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09 Electric Schedule 140 - Property Tax Tracker (UE-200269) (Eff. 05-1-20)\Workpapers\"/>
    </mc:Choice>
  </mc:AlternateContent>
  <bookViews>
    <workbookView xWindow="180" yWindow="75" windowWidth="14445" windowHeight="10470" firstSheet="2" activeTab="5"/>
  </bookViews>
  <sheets>
    <sheet name="2020 Prop Tax Rate Impacts" sheetId="12" r:id="rId1"/>
    <sheet name="FINAL 2020 Prop Tax Rate Des" sheetId="10" r:id="rId2"/>
    <sheet name="Sch 449-459 Rate Design" sheetId="37" r:id="rId3"/>
    <sheet name="2020 Street &amp; Area Lighting" sheetId="34" r:id="rId4"/>
    <sheet name="2020 FINAL Rev Req" sheetId="11" r:id="rId5"/>
    <sheet name="Typical Res Customer Sch 140" sheetId="27" r:id="rId6"/>
    <sheet name="Projected Revenue on F2019" sheetId="31" r:id="rId7"/>
    <sheet name="UE-180280 Compliance ECOS " sheetId="35" r:id="rId8"/>
    <sheet name="F2019 Demand Forecast" sheetId="38" r:id="rId9"/>
    <sheet name="2019 Final Prop Tax Rate Design" sheetId="26" r:id="rId10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9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'2020 Prop Tax Rate Impacts'!$A$1:$I$35</definedName>
    <definedName name="_xlnm.Print_Area" localSheetId="3">'2020 Street &amp; Area Lighting'!$A$1:$K$195</definedName>
    <definedName name="_xlnm.Print_Area" localSheetId="1">'FINAL 2020 Prop Tax Rate Des'!$A$1:$Q$38</definedName>
    <definedName name="_xlnm.Print_Area" localSheetId="6">'Projected Revenue on F2019'!$A$1:$S$43</definedName>
    <definedName name="_xlnm.Print_Area" localSheetId="2">'Sch 449-459 Rate Design'!$A$1:$F$29</definedName>
    <definedName name="_xlnm.Print_Area" localSheetId="5">'Typical Res Customer Sch 140'!$A$1:$V$65</definedName>
    <definedName name="_xlnm.Print_Area" localSheetId="7">'UE-180280 Compliance ECOS '!$A$1:$U$70</definedName>
    <definedName name="_xlnm.Print_Titles" localSheetId="3">'2020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T22" i="27" l="1"/>
  <c r="U22" i="27" s="1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E27" i="10" l="1"/>
  <c r="R41" i="31" l="1"/>
  <c r="R37" i="31"/>
  <c r="R35" i="31"/>
  <c r="R33" i="31"/>
  <c r="R30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R27" i="31"/>
  <c r="R24" i="31"/>
  <c r="R23" i="31"/>
  <c r="R22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R18" i="31"/>
  <c r="R17" i="31"/>
  <c r="R16" i="31"/>
  <c r="R15" i="31"/>
  <c r="R14" i="31"/>
  <c r="R13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R9" i="31"/>
  <c r="P10" i="31"/>
  <c r="O10" i="31"/>
  <c r="N10" i="31"/>
  <c r="M10" i="31"/>
  <c r="M39" i="31" s="1"/>
  <c r="L10" i="31"/>
  <c r="K10" i="31"/>
  <c r="J10" i="31"/>
  <c r="I10" i="31"/>
  <c r="H10" i="31"/>
  <c r="G10" i="31"/>
  <c r="F10" i="31"/>
  <c r="E10" i="31"/>
  <c r="E39" i="31" s="1"/>
  <c r="D10" i="31"/>
  <c r="K23" i="10"/>
  <c r="D24" i="12"/>
  <c r="I39" i="31" l="1"/>
  <c r="G39" i="31"/>
  <c r="G43" i="31" s="1"/>
  <c r="O39" i="31"/>
  <c r="O43" i="31" s="1"/>
  <c r="K39" i="31"/>
  <c r="K43" i="31" s="1"/>
  <c r="F39" i="31"/>
  <c r="F43" i="31" s="1"/>
  <c r="J39" i="31"/>
  <c r="J43" i="31" s="1"/>
  <c r="N39" i="31"/>
  <c r="N43" i="31" s="1"/>
  <c r="H39" i="31"/>
  <c r="H43" i="31" s="1"/>
  <c r="L39" i="31"/>
  <c r="L43" i="31" s="1"/>
  <c r="P39" i="31"/>
  <c r="D31" i="31"/>
  <c r="R8" i="31"/>
  <c r="R10" i="31" s="1"/>
  <c r="D19" i="31"/>
  <c r="R21" i="31"/>
  <c r="R25" i="31" s="1"/>
  <c r="D25" i="31"/>
  <c r="R12" i="31"/>
  <c r="R19" i="31" s="1"/>
  <c r="R29" i="31"/>
  <c r="R31" i="31" s="1"/>
  <c r="E43" i="31"/>
  <c r="I43" i="31"/>
  <c r="M43" i="31"/>
  <c r="P43" i="31"/>
  <c r="Q37" i="31"/>
  <c r="S37" i="31" s="1"/>
  <c r="D39" i="31" l="1"/>
  <c r="D43" i="31" s="1"/>
  <c r="R39" i="31"/>
  <c r="R43" i="31" s="1"/>
  <c r="N26" i="27"/>
  <c r="M26" i="27"/>
  <c r="H58" i="27"/>
  <c r="G50" i="27"/>
  <c r="G45" i="27"/>
  <c r="G49" i="27"/>
  <c r="G48" i="27"/>
  <c r="G47" i="27"/>
  <c r="H49" i="27"/>
  <c r="H48" i="27"/>
  <c r="H47" i="27"/>
  <c r="H50" i="27"/>
  <c r="H39" i="27"/>
  <c r="H40" i="27"/>
  <c r="E27" i="37"/>
  <c r="D27" i="37"/>
  <c r="C27" i="37"/>
  <c r="E26" i="37"/>
  <c r="D26" i="37"/>
  <c r="C26" i="37"/>
  <c r="E25" i="37"/>
  <c r="D25" i="37"/>
  <c r="C25" i="37"/>
  <c r="E24" i="37"/>
  <c r="D24" i="37"/>
  <c r="C24" i="37"/>
  <c r="E23" i="37"/>
  <c r="D23" i="37"/>
  <c r="C23" i="37"/>
  <c r="E22" i="37"/>
  <c r="D22" i="37"/>
  <c r="C22" i="37"/>
  <c r="E21" i="37"/>
  <c r="D21" i="37"/>
  <c r="C21" i="37"/>
  <c r="E20" i="37"/>
  <c r="D20" i="37"/>
  <c r="C20" i="37"/>
  <c r="E19" i="37"/>
  <c r="D19" i="37"/>
  <c r="C19" i="37"/>
  <c r="E18" i="37"/>
  <c r="D18" i="37"/>
  <c r="C18" i="37"/>
  <c r="E17" i="37"/>
  <c r="D17" i="37"/>
  <c r="C17" i="37"/>
  <c r="E16" i="37"/>
  <c r="D16" i="37"/>
  <c r="C16" i="37"/>
  <c r="F33" i="12" l="1"/>
  <c r="F31" i="12"/>
  <c r="F27" i="12"/>
  <c r="F24" i="12"/>
  <c r="F21" i="12"/>
  <c r="F19" i="12"/>
  <c r="F14" i="12"/>
  <c r="F13" i="12"/>
  <c r="F12" i="12"/>
  <c r="F8" i="12"/>
  <c r="H37" i="10" l="1"/>
  <c r="G37" i="10"/>
  <c r="E28" i="37" l="1"/>
  <c r="D28" i="37"/>
  <c r="C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A9" i="37"/>
  <c r="A10" i="37" s="1"/>
  <c r="A8" i="37"/>
  <c r="F28" i="37" l="1"/>
  <c r="C8" i="37" s="1"/>
  <c r="E82" i="27" l="1"/>
  <c r="E80" i="27"/>
  <c r="E78" i="27"/>
  <c r="E76" i="27"/>
  <c r="E74" i="27"/>
  <c r="E72" i="27"/>
  <c r="E71" i="27" l="1"/>
  <c r="E73" i="27"/>
  <c r="E75" i="27"/>
  <c r="E77" i="27"/>
  <c r="E79" i="27"/>
  <c r="E81" i="27"/>
  <c r="M69" i="35" l="1"/>
  <c r="E69" i="35" s="1"/>
  <c r="M68" i="35"/>
  <c r="E68" i="35" s="1"/>
  <c r="S64" i="35"/>
  <c r="R64" i="35"/>
  <c r="Q64" i="35"/>
  <c r="O64" i="35"/>
  <c r="N64" i="35"/>
  <c r="M64" i="35"/>
  <c r="L64" i="35"/>
  <c r="K64" i="35"/>
  <c r="J64" i="35"/>
  <c r="I64" i="35"/>
  <c r="H64" i="35"/>
  <c r="G64" i="35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T54" i="35"/>
  <c r="U53" i="35"/>
  <c r="T53" i="35"/>
  <c r="S50" i="35"/>
  <c r="R50" i="35"/>
  <c r="Q50" i="35"/>
  <c r="O50" i="35"/>
  <c r="N50" i="35"/>
  <c r="M50" i="35"/>
  <c r="L50" i="35"/>
  <c r="K50" i="35"/>
  <c r="J50" i="35"/>
  <c r="I50" i="35"/>
  <c r="H50" i="35"/>
  <c r="G50" i="35"/>
  <c r="F50" i="35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U31" i="35"/>
  <c r="T31" i="35"/>
  <c r="U30" i="35"/>
  <c r="T30" i="35"/>
  <c r="U29" i="35"/>
  <c r="U50" i="35" s="1"/>
  <c r="T29" i="35"/>
  <c r="S26" i="35"/>
  <c r="R26" i="35"/>
  <c r="Q26" i="35"/>
  <c r="O26" i="35"/>
  <c r="N26" i="35"/>
  <c r="M26" i="35"/>
  <c r="L26" i="35"/>
  <c r="K26" i="35"/>
  <c r="J26" i="35"/>
  <c r="I26" i="35"/>
  <c r="H26" i="35"/>
  <c r="G26" i="35"/>
  <c r="F26" i="35"/>
  <c r="E26" i="35"/>
  <c r="U25" i="35"/>
  <c r="T25" i="35"/>
  <c r="U24" i="35"/>
  <c r="T24" i="35"/>
  <c r="U23" i="35"/>
  <c r="U26" i="35" s="1"/>
  <c r="T23" i="35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8" i="35"/>
  <c r="H66" i="35" l="1"/>
  <c r="H70" i="35" s="1"/>
  <c r="D14" i="10" s="1"/>
  <c r="E66" i="35"/>
  <c r="E70" i="35" s="1"/>
  <c r="I66" i="35"/>
  <c r="I70" i="35" s="1"/>
  <c r="D15" i="10" s="1"/>
  <c r="M66" i="35"/>
  <c r="M70" i="35" s="1"/>
  <c r="D29" i="10" s="1"/>
  <c r="R66" i="35"/>
  <c r="R70" i="35" s="1"/>
  <c r="T50" i="35"/>
  <c r="T64" i="35"/>
  <c r="T66" i="35" s="1"/>
  <c r="T70" i="35" s="1"/>
  <c r="L66" i="35"/>
  <c r="L70" i="35" s="1"/>
  <c r="D25" i="10" s="1"/>
  <c r="Q66" i="35"/>
  <c r="Q70" i="35" s="1"/>
  <c r="F66" i="35"/>
  <c r="F70" i="35" s="1"/>
  <c r="D9" i="10" s="1"/>
  <c r="J66" i="35"/>
  <c r="J70" i="35" s="1"/>
  <c r="N66" i="35"/>
  <c r="N70" i="35" s="1"/>
  <c r="D27" i="10" s="1"/>
  <c r="S66" i="35"/>
  <c r="S70" i="35" s="1"/>
  <c r="D20" i="10" s="1"/>
  <c r="U64" i="35"/>
  <c r="T14" i="35"/>
  <c r="T20" i="35"/>
  <c r="T26" i="35"/>
  <c r="G66" i="35"/>
  <c r="G70" i="35" s="1"/>
  <c r="D13" i="10" s="1"/>
  <c r="K66" i="35"/>
  <c r="K70" i="35" s="1"/>
  <c r="D23" i="10" s="1"/>
  <c r="O66" i="35"/>
  <c r="O70" i="35" s="1"/>
  <c r="D33" i="10" s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U66" i="35"/>
  <c r="U70" i="35" s="1"/>
  <c r="D19" i="10" s="1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62" i="34"/>
  <c r="B154" i="34"/>
  <c r="B155" i="34" s="1"/>
  <c r="B156" i="34" s="1"/>
  <c r="B157" i="34" s="1"/>
  <c r="B147" i="34"/>
  <c r="B159" i="34" s="1"/>
  <c r="B160" i="34" s="1"/>
  <c r="B161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1" i="34"/>
  <c r="B52" i="34" s="1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0" i="10" l="1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C10" i="31" l="1"/>
  <c r="C19" i="31"/>
  <c r="C31" i="31"/>
  <c r="C25" i="31"/>
  <c r="H59" i="27"/>
  <c r="H61" i="27"/>
  <c r="H60" i="27"/>
  <c r="G62" i="27"/>
  <c r="H57" i="27"/>
  <c r="H54" i="27"/>
  <c r="H53" i="27"/>
  <c r="H45" i="27"/>
  <c r="H44" i="27"/>
  <c r="H41" i="27"/>
  <c r="H38" i="27"/>
  <c r="H36" i="27"/>
  <c r="H35" i="27"/>
  <c r="G33" i="27"/>
  <c r="H32" i="27"/>
  <c r="H31" i="27"/>
  <c r="C39" i="31" l="1"/>
  <c r="C43" i="31" s="1"/>
  <c r="H33" i="27"/>
  <c r="C83" i="27"/>
  <c r="D83" i="27"/>
  <c r="H62" i="27"/>
  <c r="Q17" i="31" l="1"/>
  <c r="S17" i="31" s="1"/>
  <c r="Q13" i="31"/>
  <c r="S13" i="31" s="1"/>
  <c r="Q9" i="31"/>
  <c r="S9" i="31" s="1"/>
  <c r="Q8" i="31"/>
  <c r="S8" i="31" l="1"/>
  <c r="Q10" i="31"/>
  <c r="Q22" i="31"/>
  <c r="S22" i="31" s="1"/>
  <c r="Q29" i="31"/>
  <c r="Q41" i="31"/>
  <c r="Q23" i="31"/>
  <c r="S23" i="31" s="1"/>
  <c r="E20" i="12" s="1"/>
  <c r="Q15" i="31"/>
  <c r="S15" i="31" s="1"/>
  <c r="Q18" i="31"/>
  <c r="S18" i="31" s="1"/>
  <c r="E15" i="12" s="1"/>
  <c r="Q24" i="31"/>
  <c r="S24" i="31" s="1"/>
  <c r="E21" i="12" s="1"/>
  <c r="Q33" i="31"/>
  <c r="S33" i="31" s="1"/>
  <c r="E31" i="12" s="1"/>
  <c r="Q14" i="31"/>
  <c r="S14" i="31" s="1"/>
  <c r="Q30" i="31"/>
  <c r="S30" i="31" s="1"/>
  <c r="E28" i="12" s="1"/>
  <c r="Q12" i="31"/>
  <c r="Q16" i="31"/>
  <c r="S16" i="31" s="1"/>
  <c r="E14" i="12" s="1"/>
  <c r="Q21" i="31"/>
  <c r="Q27" i="31"/>
  <c r="S27" i="31" s="1"/>
  <c r="E24" i="12" s="1"/>
  <c r="Q35" i="31"/>
  <c r="S35" i="31" s="1"/>
  <c r="E33" i="12" s="1"/>
  <c r="G9" i="10"/>
  <c r="E13" i="12" l="1"/>
  <c r="S10" i="31"/>
  <c r="E8" i="12"/>
  <c r="S29" i="31"/>
  <c r="Q31" i="31"/>
  <c r="S21" i="31"/>
  <c r="Q25" i="31"/>
  <c r="S12" i="31"/>
  <c r="Q19" i="31"/>
  <c r="S41" i="31"/>
  <c r="H33" i="10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D33" i="12"/>
  <c r="D31" i="12"/>
  <c r="D28" i="12"/>
  <c r="D27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0" i="10"/>
  <c r="K19" i="10"/>
  <c r="K15" i="10"/>
  <c r="K14" i="10"/>
  <c r="K13" i="10"/>
  <c r="K9" i="10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F28" i="12"/>
  <c r="F20" i="12"/>
  <c r="F15" i="12"/>
  <c r="E9" i="12" l="1"/>
  <c r="S31" i="31"/>
  <c r="E27" i="12"/>
  <c r="S19" i="31"/>
  <c r="E12" i="12"/>
  <c r="S25" i="31"/>
  <c r="E19" i="12"/>
  <c r="Q39" i="31"/>
  <c r="Q43" i="31" s="1"/>
  <c r="A36" i="31"/>
  <c r="A37" i="31" s="1"/>
  <c r="A38" i="31" s="1"/>
  <c r="A39" i="31" s="1"/>
  <c r="A40" i="31" s="1"/>
  <c r="A41" i="31" s="1"/>
  <c r="A42" i="31" s="1"/>
  <c r="A43" i="31" s="1"/>
  <c r="G37" i="27"/>
  <c r="S39" i="31" l="1"/>
  <c r="S43" i="31" s="1"/>
  <c r="E29" i="12"/>
  <c r="E22" i="12"/>
  <c r="E16" i="12"/>
  <c r="G46" i="27"/>
  <c r="G51" i="27" s="1"/>
  <c r="G65" i="27" s="1"/>
  <c r="G42" i="27"/>
  <c r="G64" i="27" s="1"/>
  <c r="C18" i="27"/>
  <c r="B82" i="27"/>
  <c r="C17" i="27"/>
  <c r="B81" i="27"/>
  <c r="C16" i="27"/>
  <c r="B80" i="27"/>
  <c r="C15" i="27"/>
  <c r="B79" i="27"/>
  <c r="C14" i="27"/>
  <c r="B78" i="27"/>
  <c r="C13" i="27"/>
  <c r="B77" i="27"/>
  <c r="C12" i="27"/>
  <c r="B76" i="27"/>
  <c r="C11" i="27"/>
  <c r="B75" i="27"/>
  <c r="C10" i="27"/>
  <c r="B74" i="27"/>
  <c r="C9" i="27"/>
  <c r="B73" i="27"/>
  <c r="C8" i="27"/>
  <c r="B72" i="27"/>
  <c r="B71" i="27"/>
  <c r="P26" i="27"/>
  <c r="O26" i="27"/>
  <c r="K26" i="27"/>
  <c r="R26" i="27" s="1"/>
  <c r="J26" i="27"/>
  <c r="I26" i="27"/>
  <c r="H26" i="27"/>
  <c r="F26" i="27"/>
  <c r="E26" i="27"/>
  <c r="D26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E35" i="12" l="1"/>
  <c r="L8" i="27"/>
  <c r="N8" i="27"/>
  <c r="M8" i="27"/>
  <c r="K10" i="27"/>
  <c r="R10" i="27" s="1"/>
  <c r="N10" i="27"/>
  <c r="M10" i="27"/>
  <c r="N12" i="27"/>
  <c r="M12" i="27"/>
  <c r="N14" i="27"/>
  <c r="M14" i="27"/>
  <c r="N16" i="27"/>
  <c r="M16" i="27"/>
  <c r="J18" i="27"/>
  <c r="N18" i="27"/>
  <c r="M18" i="27"/>
  <c r="K9" i="27"/>
  <c r="R9" i="27" s="1"/>
  <c r="N9" i="27"/>
  <c r="M9" i="27"/>
  <c r="O11" i="27"/>
  <c r="N11" i="27"/>
  <c r="M11" i="27"/>
  <c r="N13" i="27"/>
  <c r="M13" i="27"/>
  <c r="G15" i="27"/>
  <c r="N15" i="27"/>
  <c r="M15" i="27"/>
  <c r="K17" i="27"/>
  <c r="R17" i="27" s="1"/>
  <c r="N17" i="27"/>
  <c r="M17" i="27"/>
  <c r="A39" i="27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I18" i="27"/>
  <c r="P18" i="27"/>
  <c r="E85" i="27"/>
  <c r="F18" i="27"/>
  <c r="I13" i="27"/>
  <c r="D13" i="27"/>
  <c r="O15" i="27"/>
  <c r="K14" i="27"/>
  <c r="R14" i="27" s="1"/>
  <c r="F14" i="27"/>
  <c r="O14" i="27"/>
  <c r="E11" i="27"/>
  <c r="J11" i="27"/>
  <c r="F15" i="27"/>
  <c r="H17" i="27"/>
  <c r="K15" i="27"/>
  <c r="R15" i="27" s="1"/>
  <c r="F10" i="27"/>
  <c r="L10" i="27"/>
  <c r="C7" i="27"/>
  <c r="O7" i="27" s="1"/>
  <c r="L12" i="27"/>
  <c r="K12" i="27"/>
  <c r="R12" i="27" s="1"/>
  <c r="F12" i="27"/>
  <c r="L16" i="27"/>
  <c r="J16" i="27"/>
  <c r="D16" i="27"/>
  <c r="E9" i="27"/>
  <c r="J8" i="27"/>
  <c r="L9" i="27"/>
  <c r="E10" i="27"/>
  <c r="J10" i="27"/>
  <c r="E14" i="27"/>
  <c r="J14" i="27"/>
  <c r="E17" i="27"/>
  <c r="O17" i="27"/>
  <c r="H10" i="27"/>
  <c r="O10" i="27"/>
  <c r="H14" i="27"/>
  <c r="P14" i="27"/>
  <c r="I17" i="27"/>
  <c r="D8" i="27"/>
  <c r="D10" i="27"/>
  <c r="I10" i="27"/>
  <c r="P10" i="27"/>
  <c r="D14" i="27"/>
  <c r="I14" i="27"/>
  <c r="D17" i="27"/>
  <c r="L17" i="27"/>
  <c r="G12" i="27"/>
  <c r="G9" i="27"/>
  <c r="F8" i="27"/>
  <c r="K8" i="27"/>
  <c r="R8" i="27" s="1"/>
  <c r="P9" i="27"/>
  <c r="J9" i="27"/>
  <c r="F9" i="27"/>
  <c r="H9" i="27"/>
  <c r="O9" i="27"/>
  <c r="F11" i="27"/>
  <c r="K11" i="27"/>
  <c r="R11" i="27" s="1"/>
  <c r="O12" i="27"/>
  <c r="I12" i="27"/>
  <c r="E12" i="27"/>
  <c r="H12" i="27"/>
  <c r="P12" i="27"/>
  <c r="E13" i="27"/>
  <c r="K13" i="27"/>
  <c r="R13" i="27" s="1"/>
  <c r="L14" i="27"/>
  <c r="L15" i="27"/>
  <c r="H15" i="27"/>
  <c r="D15" i="27"/>
  <c r="I15" i="27"/>
  <c r="P15" i="27"/>
  <c r="F16" i="27"/>
  <c r="K16" i="27"/>
  <c r="L18" i="27"/>
  <c r="H18" i="27"/>
  <c r="D18" i="27"/>
  <c r="K18" i="27"/>
  <c r="R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O18" i="27"/>
  <c r="O8" i="27"/>
  <c r="I8" i="27"/>
  <c r="E8" i="27"/>
  <c r="H8" i="27"/>
  <c r="P8" i="27"/>
  <c r="L11" i="27"/>
  <c r="H11" i="27"/>
  <c r="D11" i="27"/>
  <c r="I11" i="27"/>
  <c r="P11" i="27"/>
  <c r="P13" i="27"/>
  <c r="J13" i="27"/>
  <c r="F13" i="27"/>
  <c r="H13" i="27"/>
  <c r="O13" i="27"/>
  <c r="P16" i="27"/>
  <c r="O16" i="27"/>
  <c r="I16" i="27"/>
  <c r="E16" i="27"/>
  <c r="H16" i="27"/>
  <c r="L26" i="27"/>
  <c r="G26" i="27"/>
  <c r="G10" i="27"/>
  <c r="G14" i="27"/>
  <c r="F17" i="27"/>
  <c r="J17" i="27"/>
  <c r="P17" i="27"/>
  <c r="E83" i="27"/>
  <c r="G17" i="27"/>
  <c r="K7" i="27" l="1"/>
  <c r="R7" i="27" s="1"/>
  <c r="N7" i="27"/>
  <c r="N20" i="27" s="1"/>
  <c r="M7" i="27"/>
  <c r="M20" i="27" s="1"/>
  <c r="L7" i="27"/>
  <c r="L20" i="27" s="1"/>
  <c r="C20" i="27"/>
  <c r="C22" i="27" s="1"/>
  <c r="F7" i="27"/>
  <c r="F20" i="27" s="1"/>
  <c r="I7" i="27"/>
  <c r="I20" i="27" s="1"/>
  <c r="D7" i="27"/>
  <c r="D20" i="27" s="1"/>
  <c r="J7" i="27"/>
  <c r="J20" i="27" s="1"/>
  <c r="E7" i="27"/>
  <c r="E20" i="27" s="1"/>
  <c r="H7" i="27"/>
  <c r="H20" i="27" s="1"/>
  <c r="P7" i="27"/>
  <c r="P20" i="27" s="1"/>
  <c r="G7" i="27"/>
  <c r="Q10" i="27"/>
  <c r="O20" i="27"/>
  <c r="K20" i="27"/>
  <c r="K24" i="27" s="1"/>
  <c r="R16" i="27"/>
  <c r="R20" i="27" s="1"/>
  <c r="Q16" i="27"/>
  <c r="Q11" i="27"/>
  <c r="Q12" i="27"/>
  <c r="Q8" i="27"/>
  <c r="Q26" i="27"/>
  <c r="Q13" i="27"/>
  <c r="Q14" i="27"/>
  <c r="Q15" i="27"/>
  <c r="Q17" i="27"/>
  <c r="Q18" i="27"/>
  <c r="Q9" i="27"/>
  <c r="M24" i="27" l="1"/>
  <c r="N24" i="27"/>
  <c r="Q7" i="27"/>
  <c r="Q20" i="27" s="1"/>
  <c r="G20" i="27"/>
  <c r="G24" i="27" s="1"/>
  <c r="O24" i="27"/>
  <c r="F24" i="27"/>
  <c r="P24" i="27"/>
  <c r="H24" i="27"/>
  <c r="I24" i="27"/>
  <c r="D24" i="27"/>
  <c r="E24" i="27"/>
  <c r="J24" i="27"/>
  <c r="L24" i="27"/>
  <c r="R24" i="27"/>
  <c r="Q24" i="27" l="1"/>
  <c r="K6" i="10" l="1"/>
  <c r="I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l="1"/>
  <c r="F35" i="12" s="1"/>
  <c r="K31" i="10"/>
  <c r="K35" i="10" l="1"/>
  <c r="G33" i="10" l="1"/>
  <c r="G29" i="10"/>
  <c r="D7" i="37" s="1"/>
  <c r="G25" i="10"/>
  <c r="G19" i="10"/>
  <c r="G15" i="10"/>
  <c r="G13" i="10"/>
  <c r="G23" i="10"/>
  <c r="G27" i="10"/>
  <c r="G20" i="10"/>
  <c r="G14" i="10"/>
  <c r="I27" i="10" l="1"/>
  <c r="C7" i="37"/>
  <c r="D9" i="37"/>
  <c r="C9" i="37" s="1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N29" i="10"/>
  <c r="I33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Q29" i="10" s="1"/>
  <c r="O19" i="10"/>
  <c r="Q19" i="10" s="1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G33" i="12" l="1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Q21" i="10"/>
  <c r="M31" i="10"/>
  <c r="G35" i="10"/>
  <c r="M35" i="10" s="1"/>
  <c r="N31" i="10"/>
  <c r="H35" i="10"/>
  <c r="N35" i="10" s="1"/>
  <c r="Q9" i="10"/>
  <c r="Q10" i="10" s="1"/>
  <c r="G8" i="12"/>
  <c r="Q13" i="10"/>
  <c r="Q16" i="10" s="1"/>
  <c r="G12" i="12"/>
  <c r="H13" i="12"/>
  <c r="G15" i="12"/>
  <c r="G28" i="12"/>
  <c r="H27" i="12"/>
  <c r="H33" i="12" l="1"/>
  <c r="I33" i="12" s="1"/>
  <c r="H37" i="27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H46" i="27" l="1"/>
  <c r="H42" i="27"/>
  <c r="H64" i="27" s="1"/>
  <c r="H29" i="12"/>
  <c r="I29" i="12" s="1"/>
  <c r="H20" i="12"/>
  <c r="I20" i="12" s="1"/>
  <c r="G22" i="12"/>
  <c r="I8" i="12"/>
  <c r="H9" i="12"/>
  <c r="I12" i="12"/>
  <c r="H16" i="12"/>
  <c r="I16" i="12" s="1"/>
  <c r="H51" i="27" l="1"/>
  <c r="H65" i="27" s="1"/>
  <c r="S8" i="27"/>
  <c r="T8" i="27" s="1"/>
  <c r="S15" i="27"/>
  <c r="T15" i="27" s="1"/>
  <c r="S17" i="27"/>
  <c r="T17" i="27" s="1"/>
  <c r="S26" i="27"/>
  <c r="T26" i="27" s="1"/>
  <c r="S18" i="27"/>
  <c r="T18" i="27" s="1"/>
  <c r="S11" i="27"/>
  <c r="T11" i="27" s="1"/>
  <c r="S9" i="27"/>
  <c r="T9" i="27" s="1"/>
  <c r="S16" i="27"/>
  <c r="T16" i="27" s="1"/>
  <c r="S10" i="27"/>
  <c r="T10" i="27" s="1"/>
  <c r="S7" i="27"/>
  <c r="S12" i="27"/>
  <c r="T12" i="27" s="1"/>
  <c r="S13" i="27"/>
  <c r="T13" i="27" s="1"/>
  <c r="S14" i="27"/>
  <c r="T14" i="27" s="1"/>
  <c r="H22" i="12"/>
  <c r="I22" i="12" s="1"/>
  <c r="I9" i="12"/>
  <c r="U9" i="27" l="1"/>
  <c r="V9" i="27"/>
  <c r="S20" i="27"/>
  <c r="T7" i="27"/>
  <c r="U15" i="27"/>
  <c r="V15" i="27"/>
  <c r="U12" i="27"/>
  <c r="V12" i="27"/>
  <c r="V17" i="27"/>
  <c r="U17" i="27"/>
  <c r="V11" i="27"/>
  <c r="U11" i="27"/>
  <c r="U14" i="27"/>
  <c r="V14" i="27"/>
  <c r="U10" i="27"/>
  <c r="V10" i="27"/>
  <c r="U18" i="27"/>
  <c r="V18" i="27"/>
  <c r="V8" i="27"/>
  <c r="U8" i="27"/>
  <c r="V13" i="27"/>
  <c r="U13" i="27"/>
  <c r="V16" i="27"/>
  <c r="U16" i="27"/>
  <c r="U26" i="27"/>
  <c r="V26" i="27"/>
  <c r="U7" i="27" l="1"/>
  <c r="U20" i="27" s="1"/>
  <c r="T20" i="27"/>
  <c r="V7" i="27"/>
  <c r="S24" i="27"/>
  <c r="G35" i="12"/>
  <c r="H31" i="12"/>
  <c r="T24" i="27" l="1"/>
  <c r="V22" i="27"/>
  <c r="V20" i="27"/>
  <c r="U24" i="27"/>
  <c r="I31" i="12"/>
  <c r="H35" i="12"/>
  <c r="I35" i="12" l="1"/>
  <c r="J185" i="34" l="1"/>
  <c r="J188" i="34"/>
  <c r="J191" i="34" l="1"/>
  <c r="J189" i="34"/>
  <c r="J51" i="34"/>
  <c r="J171" i="34"/>
  <c r="J42" i="34"/>
  <c r="J32" i="34"/>
  <c r="J165" i="34"/>
  <c r="J88" i="34"/>
  <c r="J153" i="34"/>
  <c r="J139" i="34"/>
  <c r="J126" i="34"/>
  <c r="J135" i="34"/>
  <c r="J83" i="34"/>
  <c r="J55" i="34"/>
  <c r="J156" i="34"/>
  <c r="J162" i="34"/>
  <c r="J77" i="34"/>
  <c r="J116" i="34"/>
  <c r="J146" i="34"/>
  <c r="J118" i="34"/>
  <c r="J93" i="34"/>
  <c r="J90" i="34"/>
  <c r="J94" i="34"/>
  <c r="J115" i="34"/>
  <c r="J175" i="34"/>
  <c r="J122" i="34"/>
  <c r="J172" i="34"/>
  <c r="J78" i="34"/>
  <c r="J16" i="34"/>
  <c r="J68" i="34"/>
  <c r="J177" i="34"/>
  <c r="J67" i="34"/>
  <c r="J54" i="34"/>
  <c r="J64" i="34"/>
  <c r="J121" i="34"/>
  <c r="J107" i="34"/>
  <c r="J36" i="34"/>
  <c r="J41" i="34"/>
  <c r="J17" i="34"/>
  <c r="J28" i="34"/>
  <c r="J22" i="34"/>
  <c r="J10" i="34"/>
  <c r="J142" i="34"/>
  <c r="J112" i="34"/>
  <c r="J95" i="34"/>
  <c r="J123" i="34"/>
  <c r="J56" i="34"/>
  <c r="J14" i="34"/>
  <c r="J138" i="34"/>
  <c r="J46" i="34"/>
  <c r="J70" i="34"/>
  <c r="J151" i="34"/>
  <c r="J81" i="34"/>
  <c r="J179" i="34"/>
  <c r="J150" i="34"/>
  <c r="J131" i="34"/>
  <c r="J61" i="34"/>
  <c r="J57" i="34"/>
  <c r="J37" i="34"/>
  <c r="J174" i="34"/>
  <c r="J33" i="34"/>
  <c r="J45" i="34"/>
  <c r="J91" i="34"/>
  <c r="J13" i="34"/>
  <c r="J84" i="34"/>
  <c r="J21" i="34"/>
  <c r="J111" i="34"/>
  <c r="J26" i="34"/>
  <c r="J117" i="34"/>
  <c r="J133" i="34"/>
  <c r="J137" i="34"/>
  <c r="J87" i="34"/>
  <c r="J52" i="34"/>
  <c r="J147" i="34"/>
  <c r="J72" i="34"/>
  <c r="J129" i="34"/>
  <c r="J62" i="34"/>
  <c r="J89" i="34"/>
  <c r="J128" i="34"/>
  <c r="J148" i="34"/>
  <c r="J80" i="34"/>
  <c r="J154" i="34"/>
  <c r="J169" i="34"/>
  <c r="J170" i="34"/>
  <c r="J168" i="34"/>
  <c r="J58" i="34"/>
  <c r="J182" i="34"/>
  <c r="J74" i="34"/>
  <c r="J86" i="34"/>
  <c r="J97" i="34"/>
  <c r="J109" i="34"/>
  <c r="J43" i="34" l="1"/>
  <c r="J39" i="34"/>
  <c r="J71" i="34"/>
  <c r="J98" i="34"/>
  <c r="J136" i="34"/>
  <c r="J15" i="34"/>
  <c r="J96" i="34"/>
  <c r="J99" i="34"/>
  <c r="J159" i="34"/>
  <c r="J157" i="34"/>
  <c r="J155" i="34"/>
  <c r="J60" i="34"/>
  <c r="J119" i="34"/>
  <c r="J69" i="34"/>
  <c r="J120" i="34"/>
  <c r="J47" i="34"/>
  <c r="J130" i="34"/>
  <c r="J105" i="34"/>
  <c r="J50" i="34"/>
  <c r="J176" i="34"/>
  <c r="J29" i="34"/>
  <c r="J160" i="34"/>
  <c r="J106" i="34"/>
  <c r="J25" i="34"/>
  <c r="J108" i="34"/>
  <c r="J164" i="34"/>
  <c r="J127" i="34"/>
  <c r="J101" i="34"/>
  <c r="J73" i="34"/>
  <c r="J23" i="34"/>
  <c r="J66" i="34"/>
  <c r="J82" i="34"/>
  <c r="J76" i="34"/>
  <c r="J180" i="34"/>
  <c r="J110" i="34"/>
  <c r="J181" i="34"/>
  <c r="J173" i="34"/>
  <c r="J63" i="34"/>
  <c r="J141" i="34"/>
  <c r="J143" i="34"/>
  <c r="J44" i="34"/>
  <c r="J53" i="34"/>
  <c r="I185" i="34"/>
  <c r="K185" i="34" s="1"/>
  <c r="G185" i="34"/>
  <c r="I188" i="34"/>
  <c r="K188" i="34" s="1"/>
  <c r="G188" i="34"/>
  <c r="J100" i="34"/>
  <c r="J34" i="34"/>
  <c r="J27" i="34"/>
  <c r="J24" i="34"/>
  <c r="J38" i="34"/>
  <c r="J140" i="34"/>
  <c r="J161" i="34"/>
  <c r="J104" i="34"/>
  <c r="J35" i="34"/>
  <c r="J18" i="34"/>
  <c r="J12" i="34"/>
  <c r="J149" i="34"/>
  <c r="J79" i="34"/>
  <c r="J178" i="34"/>
  <c r="J193" i="34" l="1"/>
  <c r="J195" i="34" s="1"/>
  <c r="G123" i="34"/>
  <c r="I123" i="34"/>
  <c r="K123" i="34" s="1"/>
  <c r="G138" i="34"/>
  <c r="I138" i="34"/>
  <c r="K138" i="34" s="1"/>
  <c r="I179" i="34"/>
  <c r="K179" i="34" s="1"/>
  <c r="G179" i="34"/>
  <c r="G55" i="34"/>
  <c r="I55" i="34"/>
  <c r="K55" i="34" s="1"/>
  <c r="G135" i="34"/>
  <c r="I135" i="34"/>
  <c r="K135" i="34" s="1"/>
  <c r="I122" i="34"/>
  <c r="K122" i="34" s="1"/>
  <c r="G122" i="34"/>
  <c r="I64" i="34"/>
  <c r="K64" i="34" s="1"/>
  <c r="G64" i="34"/>
  <c r="I42" i="34"/>
  <c r="K42" i="34" s="1"/>
  <c r="G42" i="34"/>
  <c r="I90" i="34"/>
  <c r="K90" i="34" s="1"/>
  <c r="G90" i="34"/>
  <c r="I54" i="34"/>
  <c r="K54" i="34" s="1"/>
  <c r="G54" i="34"/>
  <c r="I84" i="34"/>
  <c r="K84" i="34" s="1"/>
  <c r="G84" i="34"/>
  <c r="I109" i="34"/>
  <c r="K109" i="34" s="1"/>
  <c r="G109" i="34"/>
  <c r="G171" i="34"/>
  <c r="I171" i="34"/>
  <c r="K171" i="34" s="1"/>
  <c r="G88" i="34"/>
  <c r="I88" i="34"/>
  <c r="K88" i="34" s="1"/>
  <c r="I46" i="34"/>
  <c r="K46" i="34" s="1"/>
  <c r="G46" i="34"/>
  <c r="I174" i="34"/>
  <c r="K174" i="34" s="1"/>
  <c r="G174" i="34"/>
  <c r="I52" i="34"/>
  <c r="K52" i="34" s="1"/>
  <c r="G52" i="34"/>
  <c r="I189" i="34"/>
  <c r="K189" i="34" s="1"/>
  <c r="G189" i="34"/>
  <c r="G165" i="34"/>
  <c r="I165" i="34"/>
  <c r="K165" i="34" s="1"/>
  <c r="G68" i="34"/>
  <c r="I68" i="34"/>
  <c r="K68" i="34" s="1"/>
  <c r="G142" i="34"/>
  <c r="I142" i="34"/>
  <c r="K142" i="34" s="1"/>
  <c r="I112" i="34"/>
  <c r="K112" i="34" s="1"/>
  <c r="G112" i="34"/>
  <c r="I150" i="34"/>
  <c r="K150" i="34" s="1"/>
  <c r="G150" i="34"/>
  <c r="G37" i="34"/>
  <c r="I37" i="34"/>
  <c r="K37" i="34" s="1"/>
  <c r="G117" i="34"/>
  <c r="I117" i="34"/>
  <c r="K117" i="34" s="1"/>
  <c r="G87" i="34"/>
  <c r="I87" i="34"/>
  <c r="K87" i="34" s="1"/>
  <c r="G80" i="34"/>
  <c r="I80" i="34"/>
  <c r="K80" i="34" s="1"/>
  <c r="I86" i="34"/>
  <c r="K86" i="34" s="1"/>
  <c r="G86" i="34"/>
  <c r="I172" i="34"/>
  <c r="K172" i="34" s="1"/>
  <c r="G172" i="34"/>
  <c r="I56" i="34"/>
  <c r="K56" i="34" s="1"/>
  <c r="G56" i="34"/>
  <c r="G67" i="34"/>
  <c r="I67" i="34"/>
  <c r="K67" i="34" s="1"/>
  <c r="I148" i="34"/>
  <c r="K148" i="34" s="1"/>
  <c r="G148" i="34"/>
  <c r="G97" i="34"/>
  <c r="I97" i="34"/>
  <c r="K97" i="34" s="1"/>
  <c r="G26" i="34"/>
  <c r="I26" i="34"/>
  <c r="K26" i="34" s="1"/>
  <c r="I137" i="34"/>
  <c r="K137" i="34" s="1"/>
  <c r="G137" i="34"/>
  <c r="G128" i="34"/>
  <c r="I128" i="34"/>
  <c r="K128" i="34" s="1"/>
  <c r="I74" i="34"/>
  <c r="K74" i="34" s="1"/>
  <c r="G74" i="34"/>
  <c r="G51" i="34"/>
  <c r="I51" i="34"/>
  <c r="K51" i="34" s="1"/>
  <c r="G162" i="34"/>
  <c r="I162" i="34"/>
  <c r="K162" i="34" s="1"/>
  <c r="G118" i="34"/>
  <c r="I118" i="34"/>
  <c r="K118" i="34" s="1"/>
  <c r="G78" i="34"/>
  <c r="I78" i="34"/>
  <c r="K78" i="34" s="1"/>
  <c r="I177" i="34"/>
  <c r="K177" i="34" s="1"/>
  <c r="G177" i="34"/>
  <c r="I22" i="34"/>
  <c r="K22" i="34" s="1"/>
  <c r="G22" i="34"/>
  <c r="I57" i="34"/>
  <c r="K57" i="34" s="1"/>
  <c r="G57" i="34"/>
  <c r="I115" i="34"/>
  <c r="K115" i="34" s="1"/>
  <c r="G115" i="34"/>
  <c r="G107" i="34"/>
  <c r="I107" i="34"/>
  <c r="K107" i="34" s="1"/>
  <c r="I41" i="34"/>
  <c r="K41" i="34" s="1"/>
  <c r="G41" i="34"/>
  <c r="I61" i="34"/>
  <c r="K61" i="34" s="1"/>
  <c r="G61" i="34"/>
  <c r="G45" i="34"/>
  <c r="I45" i="34"/>
  <c r="K45" i="34" s="1"/>
  <c r="I191" i="34"/>
  <c r="K191" i="34" s="1"/>
  <c r="G191" i="34"/>
  <c r="G33" i="34" l="1"/>
  <c r="I33" i="34"/>
  <c r="K33" i="34" s="1"/>
  <c r="I69" i="34"/>
  <c r="K69" i="34" s="1"/>
  <c r="G69" i="34"/>
  <c r="G21" i="34"/>
  <c r="I21" i="34"/>
  <c r="K21" i="34" s="1"/>
  <c r="I146" i="34"/>
  <c r="K146" i="34" s="1"/>
  <c r="G146" i="34"/>
  <c r="G27" i="34"/>
  <c r="I27" i="34"/>
  <c r="K27" i="34" s="1"/>
  <c r="I140" i="34"/>
  <c r="K140" i="34" s="1"/>
  <c r="G140" i="34"/>
  <c r="I169" i="34"/>
  <c r="K169" i="34" s="1"/>
  <c r="G169" i="34"/>
  <c r="G93" i="34"/>
  <c r="I93" i="34"/>
  <c r="K93" i="34" s="1"/>
  <c r="I164" i="34"/>
  <c r="K164" i="34" s="1"/>
  <c r="G164" i="34"/>
  <c r="G36" i="34"/>
  <c r="I36" i="34"/>
  <c r="K36" i="34" s="1"/>
  <c r="I156" i="34"/>
  <c r="K156" i="34" s="1"/>
  <c r="G156" i="34"/>
  <c r="I35" i="34"/>
  <c r="K35" i="34" s="1"/>
  <c r="G35" i="34"/>
  <c r="I178" i="34"/>
  <c r="K178" i="34" s="1"/>
  <c r="G178" i="34"/>
  <c r="G127" i="34"/>
  <c r="I127" i="34"/>
  <c r="K127" i="34" s="1"/>
  <c r="G39" i="34"/>
  <c r="I39" i="34"/>
  <c r="K39" i="34" s="1"/>
  <c r="I13" i="34"/>
  <c r="K13" i="34" s="1"/>
  <c r="G13" i="34"/>
  <c r="I89" i="34"/>
  <c r="K89" i="34" s="1"/>
  <c r="G89" i="34"/>
  <c r="G100" i="34"/>
  <c r="I100" i="34"/>
  <c r="K100" i="34" s="1"/>
  <c r="G101" i="34"/>
  <c r="I101" i="34"/>
  <c r="K101" i="34" s="1"/>
  <c r="G79" i="34"/>
  <c r="I79" i="34"/>
  <c r="K79" i="34" s="1"/>
  <c r="I60" i="34"/>
  <c r="K60" i="34" s="1"/>
  <c r="G60" i="34"/>
  <c r="G159" i="34"/>
  <c r="I159" i="34"/>
  <c r="K159" i="34" s="1"/>
  <c r="G139" i="34"/>
  <c r="I139" i="34"/>
  <c r="K139" i="34" s="1"/>
  <c r="I28" i="34"/>
  <c r="K28" i="34" s="1"/>
  <c r="G28" i="34"/>
  <c r="I53" i="34"/>
  <c r="K53" i="34" s="1"/>
  <c r="G53" i="34"/>
  <c r="I131" i="34"/>
  <c r="K131" i="34" s="1"/>
  <c r="G131" i="34"/>
  <c r="G182" i="34"/>
  <c r="I182" i="34"/>
  <c r="K182" i="34" s="1"/>
  <c r="I23" i="34"/>
  <c r="K23" i="34" s="1"/>
  <c r="G23" i="34"/>
  <c r="G94" i="34"/>
  <c r="I94" i="34"/>
  <c r="K94" i="34" s="1"/>
  <c r="I32" i="34"/>
  <c r="K32" i="34" s="1"/>
  <c r="G32" i="34"/>
  <c r="G149" i="34"/>
  <c r="I149" i="34"/>
  <c r="K149" i="34" s="1"/>
  <c r="G154" i="34"/>
  <c r="I154" i="34"/>
  <c r="K154" i="34" s="1"/>
  <c r="I157" i="34"/>
  <c r="K157" i="34" s="1"/>
  <c r="G157" i="34"/>
  <c r="I119" i="34"/>
  <c r="K119" i="34" s="1"/>
  <c r="G119" i="34"/>
  <c r="I17" i="34"/>
  <c r="K17" i="34" s="1"/>
  <c r="G17" i="34"/>
  <c r="I73" i="34"/>
  <c r="K73" i="34" s="1"/>
  <c r="G73" i="34"/>
  <c r="G173" i="34"/>
  <c r="I173" i="34"/>
  <c r="K173" i="34" s="1"/>
  <c r="I104" i="34"/>
  <c r="K104" i="34" s="1"/>
  <c r="G104" i="34"/>
  <c r="G116" i="34"/>
  <c r="I116" i="34"/>
  <c r="K116" i="34" s="1"/>
  <c r="G141" i="34"/>
  <c r="I141" i="34"/>
  <c r="K141" i="34" s="1"/>
  <c r="G147" i="34"/>
  <c r="I147" i="34"/>
  <c r="K147" i="34" s="1"/>
  <c r="G14" i="34"/>
  <c r="I14" i="34"/>
  <c r="K14" i="34" s="1"/>
  <c r="I120" i="34"/>
  <c r="K120" i="34" s="1"/>
  <c r="G120" i="34"/>
  <c r="I129" i="34"/>
  <c r="K129" i="34" s="1"/>
  <c r="G129" i="34"/>
  <c r="I71" i="34"/>
  <c r="K71" i="34" s="1"/>
  <c r="G71" i="34"/>
  <c r="G15" i="34"/>
  <c r="I15" i="34"/>
  <c r="K15" i="34" s="1"/>
  <c r="G70" i="34"/>
  <c r="I70" i="34"/>
  <c r="K70" i="34" s="1"/>
  <c r="G95" i="34"/>
  <c r="I95" i="34"/>
  <c r="K95" i="34" s="1"/>
  <c r="I153" i="34"/>
  <c r="K153" i="34" s="1"/>
  <c r="G153" i="34"/>
  <c r="G50" i="34"/>
  <c r="I50" i="34"/>
  <c r="K50" i="34" s="1"/>
  <c r="G106" i="34"/>
  <c r="I106" i="34"/>
  <c r="K106" i="34" s="1"/>
  <c r="I108" i="34"/>
  <c r="K108" i="34" s="1"/>
  <c r="G108" i="34"/>
  <c r="G111" i="34"/>
  <c r="I111" i="34"/>
  <c r="K111" i="34" s="1"/>
  <c r="I81" i="34"/>
  <c r="K81" i="34" s="1"/>
  <c r="G81" i="34"/>
  <c r="I175" i="34"/>
  <c r="K175" i="34" s="1"/>
  <c r="G175" i="34"/>
  <c r="G126" i="34"/>
  <c r="I126" i="34"/>
  <c r="K126" i="34" s="1"/>
  <c r="G34" i="34"/>
  <c r="I34" i="34"/>
  <c r="K34" i="34" s="1"/>
  <c r="G38" i="34"/>
  <c r="I38" i="34"/>
  <c r="K38" i="34" s="1"/>
  <c r="I12" i="34"/>
  <c r="K12" i="34" s="1"/>
  <c r="G12" i="34"/>
  <c r="I62" i="34"/>
  <c r="K62" i="34" s="1"/>
  <c r="G62" i="34"/>
  <c r="I99" i="34"/>
  <c r="K99" i="34" s="1"/>
  <c r="G99" i="34"/>
  <c r="I130" i="34"/>
  <c r="K130" i="34" s="1"/>
  <c r="G130" i="34"/>
  <c r="I176" i="34"/>
  <c r="K176" i="34" s="1"/>
  <c r="G176" i="34"/>
  <c r="G151" i="34"/>
  <c r="I151" i="34"/>
  <c r="K151" i="34" s="1"/>
  <c r="I25" i="34"/>
  <c r="K25" i="34" s="1"/>
  <c r="G25" i="34"/>
  <c r="I133" i="34"/>
  <c r="K133" i="34" s="1"/>
  <c r="G133" i="34"/>
  <c r="I66" i="34"/>
  <c r="K66" i="34" s="1"/>
  <c r="G66" i="34"/>
  <c r="I180" i="34"/>
  <c r="K180" i="34" s="1"/>
  <c r="G180" i="34"/>
  <c r="I63" i="34"/>
  <c r="K63" i="34" s="1"/>
  <c r="G63" i="34"/>
  <c r="G44" i="34"/>
  <c r="I44" i="34"/>
  <c r="K44" i="34" s="1"/>
  <c r="G18" i="34"/>
  <c r="I18" i="34"/>
  <c r="K18" i="34" s="1"/>
  <c r="I181" i="34"/>
  <c r="K181" i="34" s="1"/>
  <c r="G181" i="34"/>
  <c r="I10" i="34"/>
  <c r="G10" i="34"/>
  <c r="G43" i="34"/>
  <c r="I43" i="34"/>
  <c r="K43" i="34" s="1"/>
  <c r="G98" i="34"/>
  <c r="I98" i="34"/>
  <c r="K98" i="34" s="1"/>
  <c r="I72" i="34"/>
  <c r="K72" i="34" s="1"/>
  <c r="G72" i="34"/>
  <c r="G96" i="34"/>
  <c r="I96" i="34"/>
  <c r="K96" i="34" s="1"/>
  <c r="I16" i="34"/>
  <c r="K16" i="34" s="1"/>
  <c r="G16" i="34"/>
  <c r="I77" i="34"/>
  <c r="K77" i="34" s="1"/>
  <c r="G77" i="34"/>
  <c r="I168" i="34"/>
  <c r="K168" i="34" s="1"/>
  <c r="G168" i="34"/>
  <c r="I110" i="34"/>
  <c r="K110" i="34" s="1"/>
  <c r="G110" i="34"/>
  <c r="I143" i="34"/>
  <c r="K143" i="34" s="1"/>
  <c r="G143" i="34"/>
  <c r="G161" i="34"/>
  <c r="I161" i="34"/>
  <c r="K161" i="34" s="1"/>
  <c r="I76" i="34"/>
  <c r="K76" i="34" s="1"/>
  <c r="G76" i="34"/>
  <c r="I136" i="34"/>
  <c r="K136" i="34" s="1"/>
  <c r="G136" i="34"/>
  <c r="G91" i="34"/>
  <c r="I91" i="34"/>
  <c r="K91" i="34" s="1"/>
  <c r="G121" i="34"/>
  <c r="I121" i="34"/>
  <c r="K121" i="34" s="1"/>
  <c r="G83" i="34"/>
  <c r="I83" i="34"/>
  <c r="K83" i="34" s="1"/>
  <c r="G47" i="34"/>
  <c r="I47" i="34"/>
  <c r="K47" i="34" s="1"/>
  <c r="I170" i="34"/>
  <c r="K170" i="34" s="1"/>
  <c r="G170" i="34"/>
  <c r="G160" i="34"/>
  <c r="I160" i="34"/>
  <c r="K160" i="34" s="1"/>
  <c r="I58" i="34"/>
  <c r="K58" i="34" s="1"/>
  <c r="G58" i="34"/>
  <c r="G155" i="34"/>
  <c r="I155" i="34"/>
  <c r="K155" i="34" s="1"/>
  <c r="I29" i="34"/>
  <c r="K29" i="34" s="1"/>
  <c r="G29" i="34"/>
  <c r="I82" i="34"/>
  <c r="K82" i="34" s="1"/>
  <c r="G82" i="34"/>
  <c r="G24" i="34"/>
  <c r="I24" i="34"/>
  <c r="K24" i="34" s="1"/>
  <c r="G105" i="34"/>
  <c r="I105" i="34"/>
  <c r="K105" i="34" s="1"/>
  <c r="K10" i="34" l="1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<sst xmlns="http://schemas.openxmlformats.org/spreadsheetml/2006/main" count="797" uniqueCount="426">
  <si>
    <t>Puget Sound Energy</t>
  </si>
  <si>
    <t>Line No.</t>
  </si>
  <si>
    <t>Voltage Level</t>
  </si>
  <si>
    <t>Schedule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</si>
  <si>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</si>
  <si>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</si>
  <si>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</si>
  <si>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</si>
  <si>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</si>
  <si>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</si>
  <si>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</si>
  <si>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</si>
  <si>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</si>
  <si>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</si>
  <si>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</si>
  <si>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</si>
  <si>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</si>
  <si>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</si>
  <si>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</si>
  <si>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</si>
  <si>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</si>
  <si>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</si>
  <si>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</si>
  <si>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</si>
  <si>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</si>
  <si>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</si>
  <si>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</si>
  <si>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</si>
  <si>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</si>
  <si>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</si>
  <si>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</si>
  <si>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</si>
  <si>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</si>
  <si>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</si>
  <si>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</si>
  <si>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</si>
  <si>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</si>
  <si>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</si>
  <si>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</si>
  <si>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</si>
  <si>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</si>
  <si>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</si>
  <si>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</si>
  <si>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</si>
  <si>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</si>
  <si>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</si>
  <si>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</si>
  <si>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</si>
  <si>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</si>
  <si>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</si>
  <si>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</si>
  <si>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</si>
  <si>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</si>
  <si>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</si>
  <si>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</si>
  <si>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</si>
  <si>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</si>
  <si>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</si>
  <si>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</si>
  <si>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</si>
  <si>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</si>
  <si>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</si>
  <si>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</si>
  <si>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</si>
  <si>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</si>
  <si>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</si>
  <si>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</si>
  <si>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</si>
  <si>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</si>
  <si>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</si>
  <si>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</si>
  <si>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</si>
  <si>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</si>
  <si>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</si>
  <si>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</si>
  <si>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</si>
  <si>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</si>
  <si>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</si>
  <si>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</si>
  <si>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</si>
  <si>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</si>
  <si>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</si>
  <si>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</si>
  <si>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</si>
  <si>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</si>
  <si>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</si>
  <si>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</si>
  <si>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</si>
  <si>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</si>
  <si>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</si>
  <si>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</si>
  <si>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</si>
  <si>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</si>
  <si>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</si>
  <si>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</si>
  <si>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</si>
  <si>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</si>
  <si>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</si>
  <si>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</si>
  <si>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</si>
  <si>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</si>
  <si>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</si>
  <si>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</si>
  <si>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</si>
  <si>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</si>
  <si>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</si>
  <si>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</si>
  <si>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</si>
  <si>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</si>
  <si>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</si>
  <si>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</si>
  <si>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</si>
  <si>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</si>
  <si>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</si>
  <si>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</si>
  <si>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</si>
  <si>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</si>
  <si>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</si>
  <si>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</si>
  <si>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</si>
  <si>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</si>
  <si>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</si>
  <si>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</si>
  <si>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</si>
  <si>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</si>
  <si>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</si>
  <si>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</si>
  <si>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</si>
  <si>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</si>
  <si>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</si>
  <si>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</si>
  <si>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</si>
  <si>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</si>
  <si>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Average</t>
  </si>
  <si>
    <t>7A (Note 1)</t>
  </si>
  <si>
    <t>26 &amp; 26P</t>
  </si>
  <si>
    <t>All Sales</t>
  </si>
  <si>
    <t>Revenue Requirement Increase / (Decrease)</t>
  </si>
  <si>
    <t>12 / 26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</si>
  <si>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</si>
  <si>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</si>
  <si>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</si>
  <si>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</si>
  <si>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</si>
  <si>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</si>
  <si>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</si>
  <si>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</si>
  <si>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</si>
  <si>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</si>
  <si>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</si>
  <si>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</si>
  <si>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</si>
  <si>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</si>
  <si>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</si>
  <si>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</si>
  <si>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</si>
  <si>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</si>
  <si>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</si>
  <si>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</si>
  <si>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</si>
  <si>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</si>
  <si>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</si>
  <si>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</si>
  <si>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</si>
  <si>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</si>
  <si>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</si>
  <si>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</si>
  <si>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</si>
  <si>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</si>
  <si>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</si>
  <si>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</si>
  <si>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</si>
  <si>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</si>
  <si>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</si>
  <si>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</si>
  <si>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</si>
  <si>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</si>
  <si>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</si>
  <si>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</si>
  <si>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</si>
  <si>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</si>
  <si>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</si>
  <si>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</si>
  <si>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</si>
  <si>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</si>
  <si>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</si>
  <si>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</si>
  <si>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</si>
  <si>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</si>
  <si>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</si>
  <si>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</si>
  <si>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</si>
  <si>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</si>
  <si>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</si>
  <si>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</si>
  <si>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= (a) + (b)</t>
  </si>
  <si>
    <t>= (e) + (f)</t>
  </si>
  <si>
    <t>Average Customer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</si>
  <si>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</si>
  <si>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</si>
  <si>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</si>
  <si>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</si>
  <si>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</si>
  <si>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</si>
  <si>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</si>
  <si>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</si>
  <si>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</si>
  <si>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</si>
  <si>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</si>
  <si>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</si>
  <si>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</si>
  <si>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</si>
  <si>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</si>
  <si>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</si>
  <si>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</si>
  <si>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</si>
  <si>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</si>
  <si>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</si>
  <si>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</si>
  <si>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</si>
  <si>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</si>
  <si>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</si>
  <si>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</si>
  <si>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</si>
  <si>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</si>
  <si>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</si>
  <si>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</si>
  <si>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</si>
  <si>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</si>
  <si>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</si>
  <si>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</si>
  <si>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</si>
  <si>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</si>
  <si>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</si>
  <si>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</si>
  <si>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</si>
  <si>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</si>
  <si>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</si>
  <si>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</si>
  <si>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</si>
  <si>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</si>
  <si>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</si>
  <si>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</si>
  <si>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</si>
  <si>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</si>
  <si>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</si>
  <si>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</si>
  <si>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</si>
  <si>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</si>
  <si>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</si>
  <si>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</si>
  <si>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</si>
  <si>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</si>
  <si>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</si>
  <si>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</si>
  <si>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</si>
  <si>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</si>
  <si>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</si>
  <si>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</si>
  <si>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</si>
  <si>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</si>
  <si>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</si>
  <si>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</si>
  <si>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</si>
  <si>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</si>
  <si>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</si>
  <si>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</si>
  <si>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</si>
  <si>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</si>
  <si>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</si>
  <si>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</si>
  <si>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</si>
  <si>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</si>
  <si>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</si>
  <si>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</si>
  <si>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</si>
  <si>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</si>
  <si>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</si>
  <si>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</si>
  <si>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</si>
  <si>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</si>
  <si>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</si>
  <si>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</si>
  <si>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</si>
  <si>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</si>
  <si>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</si>
  <si>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</si>
  <si>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</si>
  <si>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</si>
  <si>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</si>
  <si>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</si>
  <si>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</si>
  <si>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</si>
  <si>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</si>
  <si>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</si>
  <si>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</si>
  <si>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</si>
  <si>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</si>
  <si>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</si>
  <si>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</si>
  <si>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</si>
  <si>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</si>
  <si>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</si>
  <si>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</si>
  <si>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</si>
  <si>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F2018 kWh 
May 2019
to April 2020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</si>
  <si>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</si>
  <si>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</si>
  <si>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</si>
  <si>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</si>
  <si>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</si>
  <si>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</si>
  <si>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</si>
  <si>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</si>
  <si>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Effective May 1, 2019</t>
  </si>
  <si>
    <t>Schedule 140 Rider Effective 5-1-19</t>
  </si>
  <si>
    <t>Schedule 141 &amp; Sch 141x - ERF Rider - 1 Phase Basic Charge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</si>
  <si>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</si>
  <si>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</si>
  <si>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</si>
  <si>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</si>
  <si>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</si>
  <si>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</si>
  <si>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</si>
  <si>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</si>
  <si>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</si>
  <si>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</si>
  <si>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</si>
  <si>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&lt;==Check Load</t>
  </si>
  <si>
    <t>= 7 - 9</t>
  </si>
  <si>
    <t>yes</t>
  </si>
  <si>
    <t>May 1, 2020 Rate Impacts</t>
  </si>
  <si>
    <t>Campus Rate &amp; Special Contract</t>
  </si>
  <si>
    <t>40 / MSSC</t>
  </si>
  <si>
    <t>Impacts of Rate Change Effective May 1, 2020</t>
  </si>
  <si>
    <t>F2019 kWh 
May 2020
to April 2021</t>
  </si>
  <si>
    <t>Projected
Revenue 
(Based on Rates
Effective
4-30-2020)</t>
  </si>
  <si>
    <t>Current
Schedule 140
Property Tax
Effective 5-1-19</t>
  </si>
  <si>
    <t>Proposed
Schedule 140
Property Tax
Effective 5-1-20</t>
  </si>
  <si>
    <t>Effective May 1, 2020</t>
  </si>
  <si>
    <t>Proposed
Schedule 140
Property Tax
Rider - Current
Effective 5-1-20</t>
  </si>
  <si>
    <t>Proposed
Schedule 140
Property Tax
Rider - Deferred
Effective 5-1-20</t>
  </si>
  <si>
    <t>Proposed
Schedule 140
Property Tax
Rider
Effective 5-1-20</t>
  </si>
  <si>
    <t>Proposed Effective 5-1-20</t>
  </si>
  <si>
    <t>2020 Revenue Increase</t>
  </si>
  <si>
    <t>F2019 kVa Demand (May 2020 to April 2021)</t>
  </si>
  <si>
    <t>F2019 Monthly Billing Demand by Rate Schedule</t>
  </si>
  <si>
    <t>Monthly kVa Projection, May 2020 - April 2021</t>
  </si>
  <si>
    <t>Monthly kW or kVa Projections, Jan. 2019 - Dec. 2024</t>
  </si>
  <si>
    <t>(After DSM Program Impacts)</t>
  </si>
  <si>
    <t>RC 05</t>
  </si>
  <si>
    <t>RC 7A</t>
  </si>
  <si>
    <t>RC 10</t>
  </si>
  <si>
    <t>RC 11</t>
  </si>
  <si>
    <t>RC 12</t>
  </si>
  <si>
    <t>RC 25C</t>
  </si>
  <si>
    <t>RC 25I</t>
  </si>
  <si>
    <t>RC 25L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</si>
  <si>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</si>
  <si>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</si>
  <si>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</si>
  <si>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</si>
  <si>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</si>
  <si>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</si>
  <si>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</si>
  <si>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</si>
  <si>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</si>
  <si>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</si>
  <si>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</si>
  <si>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</si>
  <si>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</si>
  <si>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Microsoft</t>
  </si>
  <si>
    <t>Present Rates Effective 
4-30-20</t>
  </si>
  <si>
    <t>Proposed Rates Effective 
5-1-20</t>
  </si>
  <si>
    <t>Schedule 141 ERF Rider - First 600 kWh</t>
  </si>
  <si>
    <t>Schedule 141x EDIT Rider - First 600 kWh</t>
  </si>
  <si>
    <t>Schedule 141y - TFITRC Rider - First 600 kWh</t>
  </si>
  <si>
    <t>Sch 141</t>
  </si>
  <si>
    <t>Sch 141x</t>
  </si>
  <si>
    <t>Sch 141y</t>
  </si>
  <si>
    <t>Average Residential Usage YE April 2021</t>
  </si>
  <si>
    <t>F2019
Forecast kWh</t>
  </si>
  <si>
    <t>F2019
Forecast Customer Count</t>
  </si>
  <si>
    <t>F2019
Average
Use per
Customer</t>
  </si>
  <si>
    <t>Current
Residential
Bill</t>
  </si>
  <si>
    <t>Remove:
Schedule 140</t>
  </si>
  <si>
    <t>Add:
Schedule 140</t>
  </si>
  <si>
    <t>$
Difference</t>
  </si>
  <si>
    <t>Proposed
Residential
Bill</t>
  </si>
  <si>
    <t>%
Difference</t>
  </si>
  <si>
    <t>Present
Base Rate
Bill</t>
  </si>
  <si>
    <t>Test Year ended April 2021 (F2019 Schedule Level)</t>
  </si>
  <si>
    <t>Special Contract</t>
  </si>
  <si>
    <t>Annual Estimated Revenue Excluding Schedule 140 @ Rates Effective 04/30/20</t>
  </si>
  <si>
    <t>Calculation of Proposed Schedule 140 Property Tax Rider Rate</t>
  </si>
  <si>
    <t>Test Year Ending April 30, 2021</t>
  </si>
  <si>
    <t>Proposed Current Charge Schedule 140 
Effective 5/1/2020</t>
  </si>
  <si>
    <t>Proposed Deferral Charge Schedule 140 
Effective 5/1/2020</t>
  </si>
  <si>
    <t>Total Proposed Charge Schedule 140 
Effective 5/1/2020</t>
  </si>
  <si>
    <t>2020 Property Tax Workpapers</t>
  </si>
  <si>
    <t>Annual Proposed
Sch 140 Revenue
Effective
5-1-2020</t>
  </si>
  <si>
    <t>Annual Proposed
Sch 140 Revenue
Effective
5-1-2020
[Deferal]</t>
  </si>
  <si>
    <t>Annual Proposed
Sch 140 Revenue
Effective
5-1-2020
[Current]</t>
  </si>
  <si>
    <t>2019 Annual Inventory</t>
  </si>
  <si>
    <t>= (a) * (d)</t>
  </si>
  <si>
    <t>= (b) * (d)</t>
  </si>
  <si>
    <t>30.00 - 60</t>
  </si>
  <si>
    <t>Revenue Requirement from 2019 Filing</t>
  </si>
  <si>
    <t>True-up for 2019 Load Variance</t>
  </si>
  <si>
    <t>Property Tax Revenue Requirement - FINAL Filing - April, 2020</t>
  </si>
  <si>
    <t>Cash Payment to be made 2020</t>
  </si>
  <si>
    <t>Annual kWh Delivered Sales  05/01/20 to 04/30/21 (F2019)</t>
  </si>
  <si>
    <t>Estimated Annual Base Revenue Effective 06/01/18</t>
  </si>
  <si>
    <t>Schedule 95
PCA/PCORC</t>
  </si>
  <si>
    <t>Schedule 95A
Federal Incentive Credit</t>
  </si>
  <si>
    <t>Schedule 120
Conservation</t>
  </si>
  <si>
    <t>Schedule 129
Low Income</t>
  </si>
  <si>
    <t>Schedule 132
Merger Credit</t>
  </si>
  <si>
    <t>Schedule 137 REC's</t>
  </si>
  <si>
    <t>Schedule 140
Property Tax</t>
  </si>
  <si>
    <t>Schedule 141
ERF</t>
  </si>
  <si>
    <t>Schedule 141X (Pass-back)
ERF</t>
  </si>
  <si>
    <t>Schedule 
141Y Tax Over Collection</t>
  </si>
  <si>
    <t>Schedule 142
 Deferral</t>
  </si>
  <si>
    <t>Schedule 194
BPA Res &amp; Farm Credit</t>
  </si>
  <si>
    <t>Annual Estimated Revenue @ Rates Effective 04/30/20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</si>
</sst>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07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65" fontId="3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2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7" fillId="0" borderId="0" xfId="1" applyNumberFormat="1" applyFont="1" applyFill="1"/>
    <xf numFmtId="164" fontId="17" fillId="4" borderId="0" xfId="2" applyNumberFormat="1" applyFont="1" applyFill="1"/>
    <xf numFmtId="164" fontId="17" fillId="0" borderId="0" xfId="2" applyNumberFormat="1" applyFont="1" applyFill="1"/>
    <xf numFmtId="169" fontId="0" fillId="0" borderId="0" xfId="1" applyNumberFormat="1" applyFont="1" applyFill="1"/>
    <xf numFmtId="0" fontId="19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20" fillId="0" borderId="18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12" fillId="0" borderId="0" xfId="1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0" fillId="3" borderId="1" xfId="0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42" fontId="0" fillId="3" borderId="0" xfId="0" applyNumberFormat="1" applyFill="1"/>
    <xf numFmtId="0" fontId="21" fillId="3" borderId="0" xfId="0" applyFont="1" applyFill="1" applyAlignment="1">
      <alignment horizontal="left"/>
    </xf>
    <xf numFmtId="0" fontId="0" fillId="3" borderId="0" xfId="0" applyFill="1" applyAlignment="1">
      <alignment horizontal="left" indent="1"/>
    </xf>
    <xf numFmtId="41" fontId="0" fillId="3" borderId="0" xfId="0" applyNumberFormat="1" applyFill="1"/>
    <xf numFmtId="0" fontId="0" fillId="3" borderId="5" xfId="0" applyFill="1" applyBorder="1"/>
    <xf numFmtId="41" fontId="11" fillId="3" borderId="5" xfId="0" applyNumberFormat="1" applyFont="1" applyFill="1" applyBorder="1"/>
    <xf numFmtId="0" fontId="11" fillId="3" borderId="5" xfId="0" applyFont="1" applyFill="1" applyBorder="1"/>
    <xf numFmtId="42" fontId="0" fillId="3" borderId="9" xfId="0" applyNumberFormat="1" applyFill="1" applyBorder="1"/>
    <xf numFmtId="164" fontId="0" fillId="3" borderId="0" xfId="2" applyNumberFormat="1" applyFont="1" applyFill="1"/>
    <xf numFmtId="42" fontId="0" fillId="3" borderId="3" xfId="0" applyNumberFormat="1" applyFill="1" applyBorder="1"/>
    <xf numFmtId="41" fontId="11" fillId="3" borderId="0" xfId="0" applyNumberFormat="1" applyFont="1" applyFill="1"/>
    <xf numFmtId="0" fontId="11" fillId="3" borderId="0" xfId="0" applyFont="1" applyFill="1"/>
    <xf numFmtId="164" fontId="11" fillId="3" borderId="0" xfId="0" applyNumberFormat="1" applyFont="1" applyFill="1"/>
    <xf numFmtId="0" fontId="1" fillId="3" borderId="0" xfId="0" applyFont="1" applyFill="1"/>
    <xf numFmtId="10" fontId="0" fillId="3" borderId="0" xfId="0" applyNumberFormat="1" applyFont="1" applyFill="1" applyAlignment="1">
      <alignment horizontal="center"/>
    </xf>
    <xf numFmtId="0" fontId="16" fillId="3" borderId="0" xfId="0" applyFont="1" applyFill="1"/>
    <xf numFmtId="3" fontId="0" fillId="5" borderId="17" xfId="0" applyNumberFormat="1" applyFill="1" applyBorder="1"/>
    <xf numFmtId="3" fontId="0" fillId="5" borderId="0" xfId="0" applyNumberFormat="1" applyFill="1" applyBorder="1"/>
    <xf numFmtId="3" fontId="0" fillId="5" borderId="19" xfId="0" applyNumberFormat="1" applyFill="1" applyBorder="1"/>
    <xf numFmtId="3" fontId="0" fillId="5" borderId="1" xfId="0" applyNumberFormat="1" applyFill="1" applyBorder="1"/>
    <xf numFmtId="3" fontId="0" fillId="5" borderId="16" xfId="0" applyNumberFormat="1" applyFill="1" applyBorder="1"/>
    <xf numFmtId="3" fontId="0" fillId="5" borderId="5" xfId="0" applyNumberFormat="1" applyFill="1" applyBorder="1"/>
    <xf numFmtId="3" fontId="0" fillId="5" borderId="10" xfId="0" applyNumberFormat="1" applyFill="1" applyBorder="1"/>
    <xf numFmtId="3" fontId="0" fillId="5" borderId="13" xfId="0" applyNumberFormat="1" applyFill="1" applyBorder="1"/>
    <xf numFmtId="3" fontId="0" fillId="5" borderId="15" xfId="0" applyNumberFormat="1" applyFill="1" applyBorder="1"/>
    <xf numFmtId="0" fontId="0" fillId="0" borderId="0" xfId="0" quotePrefix="1" applyFill="1" applyAlignment="1">
      <alignment horizontal="center" wrapText="1"/>
    </xf>
    <xf numFmtId="165" fontId="0" fillId="0" borderId="0" xfId="1" applyNumberFormat="1" applyFont="1" applyFill="1"/>
    <xf numFmtId="165" fontId="0" fillId="0" borderId="2" xfId="1" applyNumberFormat="1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Fill="1" applyBorder="1"/>
    <xf numFmtId="0" fontId="22" fillId="0" borderId="0" xfId="0" quotePrefix="1" applyFont="1" applyFill="1" applyAlignment="1">
      <alignment horizontal="left"/>
    </xf>
    <xf numFmtId="0" fontId="17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1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3" fontId="17" fillId="0" borderId="17" xfId="0" applyNumberFormat="1" applyFont="1" applyFill="1" applyBorder="1"/>
    <xf numFmtId="3" fontId="17" fillId="0" borderId="13" xfId="0" applyNumberFormat="1" applyFont="1" applyFill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/>
    <xf numFmtId="3" fontId="17" fillId="0" borderId="19" xfId="0" applyNumberFormat="1" applyFont="1" applyFill="1" applyBorder="1"/>
    <xf numFmtId="3" fontId="17" fillId="0" borderId="15" xfId="0" applyNumberFormat="1" applyFont="1" applyFill="1" applyBorder="1"/>
    <xf numFmtId="3" fontId="17" fillId="6" borderId="17" xfId="0" applyNumberFormat="1" applyFont="1" applyFill="1" applyBorder="1"/>
    <xf numFmtId="3" fontId="17" fillId="6" borderId="0" xfId="0" applyNumberFormat="1" applyFont="1" applyFill="1" applyBorder="1"/>
    <xf numFmtId="3" fontId="17" fillId="6" borderId="13" xfId="0" applyNumberFormat="1" applyFont="1" applyFill="1" applyBorder="1"/>
    <xf numFmtId="3" fontId="17" fillId="6" borderId="19" xfId="0" applyNumberFormat="1" applyFont="1" applyFill="1" applyBorder="1"/>
    <xf numFmtId="3" fontId="17" fillId="6" borderId="1" xfId="0" applyNumberFormat="1" applyFont="1" applyFill="1" applyBorder="1"/>
    <xf numFmtId="3" fontId="17" fillId="6" borderId="15" xfId="0" applyNumberFormat="1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8" fillId="0" borderId="17" xfId="0" quotePrefix="1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8" fillId="0" borderId="16" xfId="0" quotePrefix="1" applyFont="1" applyFill="1" applyBorder="1" applyAlignment="1">
      <alignment horizontal="center"/>
    </xf>
    <xf numFmtId="0" fontId="18" fillId="0" borderId="5" xfId="0" quotePrefix="1" applyFont="1" applyFill="1" applyBorder="1" applyAlignment="1">
      <alignment horizontal="center"/>
    </xf>
    <xf numFmtId="0" fontId="18" fillId="0" borderId="10" xfId="0" quotePrefix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133350</xdr:colOff>
      <xdr:row>28</xdr:row>
      <xdr:rowOff>295275</xdr:rowOff>
    </xdr:from>
    <xdr:to>
      <xdr:col>48</xdr:col>
      <xdr:colOff>103607</xdr:colOff>
      <xdr:row>57</xdr:row>
      <xdr:rowOff>27839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2325" y="6257925"/>
          <a:ext cx="9342857" cy="5885714"/>
        </a:xfrm>
        <a:prstGeom prst="rect">
          <a:avLst/>
        </a:prstGeom>
      </xdr:spPr>
    </xdr:pic>
    <xdr:clientData/>
  </xdr:twoCellAnchor>
  <xdr:twoCellAnchor editAs="oneCell">
    <xdr:from>
      <xdr:col>23</xdr:col>
      <xdr:colOff>171450</xdr:colOff>
      <xdr:row>5</xdr:row>
      <xdr:rowOff>381000</xdr:rowOff>
    </xdr:from>
    <xdr:to>
      <xdr:col>46</xdr:col>
      <xdr:colOff>246518</xdr:colOff>
      <xdr:row>26</xdr:row>
      <xdr:rowOff>66161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1333500"/>
          <a:ext cx="9057143" cy="41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132043</xdr:colOff>
      <xdr:row>7</xdr:row>
      <xdr:rowOff>157931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17527074" y="2384400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5-1-2019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27" sqref="M27"/>
    </sheetView>
  </sheetViews>
  <sheetFormatPr defaultColWidth="5.7109375" defaultRowHeight="12.75" x14ac:dyDescent="0.2"/>
  <cols>
    <col min="1" max="1" width="4.42578125" style="12" bestFit="1" customWidth="1"/>
    <col min="2" max="2" width="33.28515625" style="12" bestFit="1" customWidth="1"/>
    <col min="3" max="3" width="10.140625" style="12" bestFit="1" customWidth="1"/>
    <col min="4" max="5" width="14.7109375" style="12" bestFit="1" customWidth="1"/>
    <col min="6" max="7" width="13.85546875" style="12" bestFit="1" customWidth="1"/>
    <col min="8" max="8" width="11.85546875" style="12" bestFit="1" customWidth="1"/>
    <col min="9" max="9" width="11.28515625" style="12" bestFit="1" customWidth="1"/>
    <col min="10" max="16384" width="5.7109375" style="12"/>
  </cols>
  <sheetData>
    <row r="1" spans="1:11" ht="12.75" customHeight="1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</row>
    <row r="2" spans="1:11" x14ac:dyDescent="0.2">
      <c r="A2" s="285" t="s">
        <v>77</v>
      </c>
      <c r="B2" s="285"/>
      <c r="C2" s="285"/>
      <c r="D2" s="285"/>
      <c r="E2" s="285"/>
      <c r="F2" s="285"/>
      <c r="G2" s="285"/>
      <c r="H2" s="285"/>
      <c r="I2" s="285"/>
    </row>
    <row r="3" spans="1:11" x14ac:dyDescent="0.2">
      <c r="A3" s="286" t="s">
        <v>334</v>
      </c>
      <c r="B3" s="285"/>
      <c r="C3" s="285"/>
      <c r="D3" s="285"/>
      <c r="E3" s="285"/>
      <c r="F3" s="285"/>
      <c r="G3" s="285"/>
      <c r="H3" s="285"/>
      <c r="I3" s="285"/>
    </row>
    <row r="4" spans="1:11" x14ac:dyDescent="0.2">
      <c r="B4" s="31"/>
      <c r="C4" s="31"/>
      <c r="D4" s="31"/>
      <c r="E4" s="31"/>
    </row>
    <row r="5" spans="1:11" s="16" customFormat="1" ht="63.75" x14ac:dyDescent="0.2">
      <c r="A5" s="28" t="s">
        <v>1</v>
      </c>
      <c r="B5" s="28" t="s">
        <v>2</v>
      </c>
      <c r="C5" s="28" t="s">
        <v>3</v>
      </c>
      <c r="D5" s="27" t="s">
        <v>335</v>
      </c>
      <c r="E5" s="27" t="s">
        <v>336</v>
      </c>
      <c r="F5" s="27" t="s">
        <v>337</v>
      </c>
      <c r="G5" s="27" t="s">
        <v>338</v>
      </c>
      <c r="H5" s="27" t="s">
        <v>78</v>
      </c>
      <c r="I5" s="27" t="s">
        <v>79</v>
      </c>
    </row>
    <row r="6" spans="1:11" s="16" customFormat="1" ht="25.5" x14ac:dyDescent="0.2">
      <c r="A6" s="25"/>
      <c r="B6" s="3" t="s">
        <v>32</v>
      </c>
      <c r="C6" s="75" t="s">
        <v>31</v>
      </c>
      <c r="D6" s="75" t="s">
        <v>30</v>
      </c>
      <c r="E6" s="75" t="s">
        <v>34</v>
      </c>
      <c r="F6" s="2" t="s">
        <v>33</v>
      </c>
      <c r="G6" s="2" t="s">
        <v>29</v>
      </c>
      <c r="H6" s="75" t="s">
        <v>97</v>
      </c>
      <c r="I6" s="75" t="s">
        <v>98</v>
      </c>
    </row>
    <row r="7" spans="1:11" s="16" customFormat="1" x14ac:dyDescent="0.2">
      <c r="A7" s="16">
        <v>1</v>
      </c>
      <c r="B7" s="26" t="s">
        <v>7</v>
      </c>
      <c r="C7" s="25"/>
      <c r="D7" s="25"/>
      <c r="E7" s="24"/>
      <c r="H7" s="24"/>
      <c r="I7" s="24"/>
    </row>
    <row r="8" spans="1:11" x14ac:dyDescent="0.2">
      <c r="A8" s="16">
        <f t="shared" ref="A8:A35" si="0">+A7+1</f>
        <v>2</v>
      </c>
      <c r="B8" s="20" t="s">
        <v>7</v>
      </c>
      <c r="C8" s="34">
        <v>7</v>
      </c>
      <c r="D8" s="42">
        <f>SUM('Projected Revenue on F2019'!C8)</f>
        <v>10790076000</v>
      </c>
      <c r="E8" s="41">
        <f>SUM('Projected Revenue on F2019'!S8)</f>
        <v>1056635000</v>
      </c>
      <c r="F8" s="37">
        <f>+'2019 Final Prop Tax Rate Design'!O9</f>
        <v>3.228E-3</v>
      </c>
      <c r="G8" s="37">
        <f>+'FINAL 2020 Prop Tax Rate Des'!O9</f>
        <v>3.209E-3</v>
      </c>
      <c r="H8" s="41">
        <f>SUM(G8,-F8)*D8</f>
        <v>-205011.44399999914</v>
      </c>
      <c r="I8" s="50">
        <f>H8/SUM(E8,D8*F8)</f>
        <v>-1.8783137835838744E-4</v>
      </c>
      <c r="K8" s="13"/>
    </row>
    <row r="9" spans="1:11" x14ac:dyDescent="0.2">
      <c r="A9" s="16">
        <f t="shared" si="0"/>
        <v>3</v>
      </c>
      <c r="B9" s="18" t="s">
        <v>28</v>
      </c>
      <c r="D9" s="43">
        <f>SUM(D8:D8)</f>
        <v>10790076000</v>
      </c>
      <c r="E9" s="47">
        <f>SUM(E8:E8)</f>
        <v>1056635000</v>
      </c>
      <c r="F9" s="38">
        <f>+F8</f>
        <v>3.228E-3</v>
      </c>
      <c r="G9" s="38">
        <f>+G8</f>
        <v>3.209E-3</v>
      </c>
      <c r="H9" s="47">
        <f>SUM(H8:H8)</f>
        <v>-205011.44399999914</v>
      </c>
      <c r="I9" s="51">
        <f>H9/SUM(E9,D9*F9)</f>
        <v>-1.8783137835838744E-4</v>
      </c>
      <c r="K9" s="13"/>
    </row>
    <row r="10" spans="1:11" x14ac:dyDescent="0.2">
      <c r="A10" s="16">
        <f t="shared" si="0"/>
        <v>4</v>
      </c>
      <c r="D10" s="44"/>
      <c r="E10" s="48"/>
      <c r="F10" s="39"/>
      <c r="G10" s="39"/>
      <c r="H10" s="48"/>
      <c r="I10" s="52"/>
      <c r="K10" s="13"/>
    </row>
    <row r="11" spans="1:11" x14ac:dyDescent="0.2">
      <c r="A11" s="16">
        <f t="shared" si="0"/>
        <v>5</v>
      </c>
      <c r="B11" s="12" t="s">
        <v>8</v>
      </c>
      <c r="D11" s="44"/>
      <c r="E11" s="48"/>
      <c r="F11" s="39"/>
      <c r="G11" s="39"/>
      <c r="H11" s="48"/>
      <c r="I11" s="52"/>
      <c r="K11" s="13"/>
    </row>
    <row r="12" spans="1:11" x14ac:dyDescent="0.2">
      <c r="A12" s="16">
        <f t="shared" si="0"/>
        <v>6</v>
      </c>
      <c r="B12" s="22" t="s">
        <v>9</v>
      </c>
      <c r="C12" s="60" t="s">
        <v>88</v>
      </c>
      <c r="D12" s="44">
        <f>SUM('Projected Revenue on F2019'!C12:C13)</f>
        <v>2853340000</v>
      </c>
      <c r="E12" s="48">
        <f>SUM('Projected Revenue on F2019'!S12:S13)</f>
        <v>285760000</v>
      </c>
      <c r="F12" s="37">
        <f>+'2019 Final Prop Tax Rate Design'!O13</f>
        <v>2.4450000000000001E-3</v>
      </c>
      <c r="G12" s="37">
        <f>+'FINAL 2020 Prop Tax Rate Des'!O13</f>
        <v>2.6420000000000003E-3</v>
      </c>
      <c r="H12" s="48">
        <f t="shared" ref="H12:H15" si="1">SUM(G12,-F12)*D12</f>
        <v>562107.98000000033</v>
      </c>
      <c r="I12" s="52">
        <f t="shared" ref="I12:I16" si="2">H12/SUM(E12,D12*F12)</f>
        <v>1.9201846736551728E-3</v>
      </c>
      <c r="K12" s="13"/>
    </row>
    <row r="13" spans="1:11" x14ac:dyDescent="0.2">
      <c r="A13" s="16">
        <f t="shared" si="0"/>
        <v>7</v>
      </c>
      <c r="B13" s="22" t="s">
        <v>10</v>
      </c>
      <c r="C13" s="60" t="s">
        <v>89</v>
      </c>
      <c r="D13" s="44">
        <f>SUM('Projected Revenue on F2019'!C9,'Projected Revenue on F2019'!C14:C15)</f>
        <v>3025245000</v>
      </c>
      <c r="E13" s="48">
        <f>SUM('Projected Revenue on F2019'!S9,'Projected Revenue on F2019'!S14:S15)</f>
        <v>271643000</v>
      </c>
      <c r="F13" s="37">
        <f>+'2019 Final Prop Tax Rate Design'!O14</f>
        <v>2.1359999999999999E-3</v>
      </c>
      <c r="G13" s="37">
        <f>+'FINAL 2020 Prop Tax Rate Des'!O14</f>
        <v>2.2929999999999999E-3</v>
      </c>
      <c r="H13" s="48">
        <f t="shared" si="1"/>
        <v>474963.46500000008</v>
      </c>
      <c r="I13" s="52">
        <f t="shared" si="2"/>
        <v>1.7078570897987512E-3</v>
      </c>
      <c r="K13" s="13"/>
    </row>
    <row r="14" spans="1:11" x14ac:dyDescent="0.2">
      <c r="A14" s="16">
        <f t="shared" si="0"/>
        <v>8</v>
      </c>
      <c r="B14" s="22" t="s">
        <v>11</v>
      </c>
      <c r="C14" s="118" t="s">
        <v>138</v>
      </c>
      <c r="D14" s="44">
        <f>SUM('Projected Revenue on F2019'!C16:C17)</f>
        <v>1779828000</v>
      </c>
      <c r="E14" s="48">
        <f>SUM('Projected Revenue on F2019'!S16:S17)</f>
        <v>149776000</v>
      </c>
      <c r="F14" s="37">
        <f>+'2019 Final Prop Tax Rate Design'!O15</f>
        <v>2.0959999999999998E-3</v>
      </c>
      <c r="G14" s="37">
        <f>+'FINAL 2020 Prop Tax Rate Des'!O15</f>
        <v>2.264E-3</v>
      </c>
      <c r="H14" s="48">
        <f t="shared" si="1"/>
        <v>299011.10400000034</v>
      </c>
      <c r="I14" s="52">
        <f t="shared" si="2"/>
        <v>1.9478723444275264E-3</v>
      </c>
      <c r="K14" s="13"/>
    </row>
    <row r="15" spans="1:11" x14ac:dyDescent="0.2">
      <c r="A15" s="16">
        <f t="shared" si="0"/>
        <v>9</v>
      </c>
      <c r="B15" s="20" t="s">
        <v>27</v>
      </c>
      <c r="C15" s="34">
        <v>29</v>
      </c>
      <c r="D15" s="44">
        <f>SUM('Projected Revenue on F2019'!C18)</f>
        <v>15090000</v>
      </c>
      <c r="E15" s="48">
        <f>SUM('Projected Revenue on F2019'!S18)</f>
        <v>1083000</v>
      </c>
      <c r="F15" s="37">
        <f>+F13</f>
        <v>2.1359999999999999E-3</v>
      </c>
      <c r="G15" s="37">
        <f>+G13</f>
        <v>2.2929999999999999E-3</v>
      </c>
      <c r="H15" s="48">
        <f t="shared" si="1"/>
        <v>2369.13</v>
      </c>
      <c r="I15" s="52">
        <f t="shared" si="2"/>
        <v>2.1243377971210732E-3</v>
      </c>
      <c r="K15" s="13"/>
    </row>
    <row r="16" spans="1:11" x14ac:dyDescent="0.2">
      <c r="A16" s="16">
        <f t="shared" si="0"/>
        <v>10</v>
      </c>
      <c r="B16" s="15" t="s">
        <v>12</v>
      </c>
      <c r="D16" s="43">
        <f>SUM(D12:D15)</f>
        <v>7673503000</v>
      </c>
      <c r="E16" s="47">
        <f>SUM(E12:E15)</f>
        <v>708262000</v>
      </c>
      <c r="F16" s="38">
        <f>SUMPRODUCT(D12:D15,F12:F15)/SUM(D12:D15)</f>
        <v>2.2416217662259335E-3</v>
      </c>
      <c r="G16" s="38">
        <f>SUMPRODUCT(D12:D15,G12:G15)/SUM(D12:D15)</f>
        <v>2.4160468858877102E-3</v>
      </c>
      <c r="H16" s="47">
        <f>SUM(H12:H15)</f>
        <v>1338451.6790000007</v>
      </c>
      <c r="I16" s="51">
        <f t="shared" si="2"/>
        <v>1.8449617836697827E-3</v>
      </c>
      <c r="K16" s="13"/>
    </row>
    <row r="17" spans="1:11" x14ac:dyDescent="0.2">
      <c r="A17" s="16">
        <f t="shared" si="0"/>
        <v>11</v>
      </c>
      <c r="D17" s="44"/>
      <c r="E17" s="48"/>
      <c r="F17" s="39"/>
      <c r="G17" s="39"/>
      <c r="H17" s="48"/>
      <c r="I17" s="52"/>
      <c r="K17" s="13"/>
    </row>
    <row r="18" spans="1:11" x14ac:dyDescent="0.2">
      <c r="A18" s="16">
        <f t="shared" si="0"/>
        <v>12</v>
      </c>
      <c r="B18" s="12" t="s">
        <v>13</v>
      </c>
      <c r="D18" s="44"/>
      <c r="E18" s="48"/>
      <c r="F18" s="39"/>
      <c r="G18" s="39"/>
      <c r="H18" s="48"/>
      <c r="I18" s="52"/>
      <c r="K18" s="13"/>
    </row>
    <row r="19" spans="1:11" x14ac:dyDescent="0.2">
      <c r="A19" s="16">
        <f t="shared" si="0"/>
        <v>13</v>
      </c>
      <c r="B19" s="22" t="s">
        <v>24</v>
      </c>
      <c r="C19" s="60" t="s">
        <v>90</v>
      </c>
      <c r="D19" s="44">
        <f>SUM('Projected Revenue on F2019'!C21:C22)</f>
        <v>1312396000</v>
      </c>
      <c r="E19" s="48">
        <f>SUM('Projected Revenue on F2019'!S21:S22)</f>
        <v>107144000</v>
      </c>
      <c r="F19" s="37">
        <f>+'2019 Final Prop Tax Rate Design'!O19</f>
        <v>1.9780000000000002E-3</v>
      </c>
      <c r="G19" s="39">
        <f>+'FINAL 2020 Prop Tax Rate Des'!O19</f>
        <v>2.1180000000000001E-3</v>
      </c>
      <c r="H19" s="48">
        <f t="shared" ref="H19:H21" si="3">SUM(G19,-F19)*D19</f>
        <v>183735.43999999992</v>
      </c>
      <c r="I19" s="52">
        <f t="shared" ref="I19:I22" si="4">H19/SUM(E19,D19*F19)</f>
        <v>1.6742808012989972E-3</v>
      </c>
      <c r="K19" s="13"/>
    </row>
    <row r="20" spans="1:11" x14ac:dyDescent="0.2">
      <c r="A20" s="16">
        <f t="shared" si="0"/>
        <v>14</v>
      </c>
      <c r="B20" s="20" t="s">
        <v>27</v>
      </c>
      <c r="C20" s="34">
        <v>35</v>
      </c>
      <c r="D20" s="44">
        <f>SUM('Projected Revenue on F2019'!C23)</f>
        <v>4566000</v>
      </c>
      <c r="E20" s="48">
        <f>SUM('Projected Revenue on F2019'!S23)</f>
        <v>236000</v>
      </c>
      <c r="F20" s="37">
        <f>+F19</f>
        <v>1.9780000000000002E-3</v>
      </c>
      <c r="G20" s="39">
        <f>+G19</f>
        <v>2.1180000000000001E-3</v>
      </c>
      <c r="H20" s="48">
        <f t="shared" si="3"/>
        <v>639.23999999999967</v>
      </c>
      <c r="I20" s="52">
        <f t="shared" si="4"/>
        <v>2.6088069279960623E-3</v>
      </c>
      <c r="K20" s="13"/>
    </row>
    <row r="21" spans="1:11" x14ac:dyDescent="0.2">
      <c r="A21" s="16">
        <f t="shared" si="0"/>
        <v>15</v>
      </c>
      <c r="B21" s="20" t="s">
        <v>14</v>
      </c>
      <c r="C21" s="34">
        <v>43</v>
      </c>
      <c r="D21" s="44">
        <f>SUM('Projected Revenue on F2019'!C24)</f>
        <v>117556000</v>
      </c>
      <c r="E21" s="48">
        <f>SUM('Projected Revenue on F2019'!S24)</f>
        <v>10262000</v>
      </c>
      <c r="F21" s="37">
        <f>+'2019 Final Prop Tax Rate Design'!O20</f>
        <v>2.8159999999999999E-3</v>
      </c>
      <c r="G21" s="39">
        <f>+'FINAL 2020 Prop Tax Rate Des'!O20</f>
        <v>3.0140000000000002E-3</v>
      </c>
      <c r="H21" s="48">
        <f t="shared" si="3"/>
        <v>23276.088000000029</v>
      </c>
      <c r="I21" s="52">
        <f t="shared" si="4"/>
        <v>2.1973005919528853E-3</v>
      </c>
      <c r="K21" s="13"/>
    </row>
    <row r="22" spans="1:11" x14ac:dyDescent="0.2">
      <c r="A22" s="16">
        <f t="shared" si="0"/>
        <v>16</v>
      </c>
      <c r="B22" s="18" t="s">
        <v>15</v>
      </c>
      <c r="D22" s="43">
        <f>SUM(D19:D21)</f>
        <v>1434518000</v>
      </c>
      <c r="E22" s="47">
        <f>SUM(E19:E21)</f>
        <v>117642000</v>
      </c>
      <c r="F22" s="38">
        <f>SUMPRODUCT(D19:D21,F19:F21)/SUM(D19:D21)</f>
        <v>2.0466724934786458E-3</v>
      </c>
      <c r="G22" s="38">
        <f>SUMPRODUCT(D19:D21,G19:G21)/SUM(D19:D21)</f>
        <v>2.1914254822874304E-3</v>
      </c>
      <c r="H22" s="47">
        <f>SUM(H19:H21)</f>
        <v>207650.76799999992</v>
      </c>
      <c r="I22" s="51">
        <f t="shared" si="4"/>
        <v>1.7221283132028017E-3</v>
      </c>
      <c r="K22" s="13"/>
    </row>
    <row r="23" spans="1:11" x14ac:dyDescent="0.2">
      <c r="A23" s="16">
        <f t="shared" si="0"/>
        <v>17</v>
      </c>
      <c r="D23" s="45"/>
      <c r="E23" s="35"/>
      <c r="F23" s="36"/>
      <c r="G23" s="36"/>
      <c r="H23" s="35"/>
      <c r="I23" s="53"/>
      <c r="K23" s="13"/>
    </row>
    <row r="24" spans="1:11" x14ac:dyDescent="0.2">
      <c r="A24" s="16">
        <f t="shared" si="0"/>
        <v>18</v>
      </c>
      <c r="B24" s="15" t="s">
        <v>332</v>
      </c>
      <c r="C24" s="34" t="s">
        <v>333</v>
      </c>
      <c r="D24" s="43">
        <f>SUM('Projected Revenue on F2019'!C27,'Projected Revenue on F2019'!C37)</f>
        <v>609719000</v>
      </c>
      <c r="E24" s="47">
        <f>SUM('Projected Revenue on F2019'!S27,'Projected Revenue on F2019'!S37)</f>
        <v>17015000</v>
      </c>
      <c r="F24" s="38">
        <f>+'2019 Final Prop Tax Rate Design'!O23</f>
        <v>2.186E-3</v>
      </c>
      <c r="G24" s="38">
        <f>+'FINAL 2020 Prop Tax Rate Des'!O23</f>
        <v>2.0800000000000003E-3</v>
      </c>
      <c r="H24" s="47">
        <f>SUM(G24,-F24)*D24</f>
        <v>-64630.213999999854</v>
      </c>
      <c r="I24" s="51">
        <f>H24/SUM(E24,D24*F24)</f>
        <v>-3.5224960432403783E-3</v>
      </c>
      <c r="K24" s="13"/>
    </row>
    <row r="25" spans="1:11" x14ac:dyDescent="0.2">
      <c r="A25" s="16">
        <f t="shared" si="0"/>
        <v>19</v>
      </c>
      <c r="D25" s="45"/>
      <c r="E25" s="35"/>
      <c r="F25" s="36"/>
      <c r="G25" s="36"/>
      <c r="H25" s="35"/>
      <c r="I25" s="53"/>
      <c r="K25" s="13"/>
    </row>
    <row r="26" spans="1:11" x14ac:dyDescent="0.2">
      <c r="A26" s="16">
        <f t="shared" si="0"/>
        <v>20</v>
      </c>
      <c r="B26" s="12" t="s">
        <v>26</v>
      </c>
      <c r="D26" s="44"/>
      <c r="E26" s="48"/>
      <c r="F26" s="39"/>
      <c r="G26" s="39"/>
      <c r="H26" s="48"/>
      <c r="I26" s="52"/>
      <c r="K26" s="13"/>
    </row>
    <row r="27" spans="1:11" x14ac:dyDescent="0.2">
      <c r="A27" s="16">
        <f t="shared" si="0"/>
        <v>21</v>
      </c>
      <c r="B27" s="22" t="s">
        <v>25</v>
      </c>
      <c r="C27" s="34">
        <v>46</v>
      </c>
      <c r="D27" s="44">
        <f>SUM('Projected Revenue on F2019'!C29)</f>
        <v>72622000</v>
      </c>
      <c r="E27" s="48">
        <f>SUM('Projected Revenue on F2019'!S29)</f>
        <v>4912000</v>
      </c>
      <c r="F27" s="39">
        <f>+'2019 Final Prop Tax Rate Design'!O25</f>
        <v>1.5579999999999999E-3</v>
      </c>
      <c r="G27" s="39">
        <f>+'FINAL 2020 Prop Tax Rate Des'!O25</f>
        <v>1.6779999999999998E-3</v>
      </c>
      <c r="H27" s="48">
        <f t="shared" ref="H27:H28" si="5">SUM(G27,-F27)*D27</f>
        <v>8714.6399999999921</v>
      </c>
      <c r="I27" s="52">
        <f t="shared" ref="I27:I29" si="6">H27/SUM(E27,D27*F27)</f>
        <v>1.7342066484052274E-3</v>
      </c>
      <c r="K27" s="13"/>
    </row>
    <row r="28" spans="1:11" x14ac:dyDescent="0.2">
      <c r="A28" s="16">
        <f t="shared" si="0"/>
        <v>22</v>
      </c>
      <c r="B28" s="22" t="s">
        <v>24</v>
      </c>
      <c r="C28" s="34">
        <v>49</v>
      </c>
      <c r="D28" s="44">
        <f>SUM('Projected Revenue on F2019'!C30)</f>
        <v>554335000</v>
      </c>
      <c r="E28" s="48">
        <f>SUM('Projected Revenue on F2019'!S30)</f>
        <v>36753000</v>
      </c>
      <c r="F28" s="39">
        <f>+F27</f>
        <v>1.5579999999999999E-3</v>
      </c>
      <c r="G28" s="39">
        <f>+G27</f>
        <v>1.6779999999999998E-3</v>
      </c>
      <c r="H28" s="48">
        <f t="shared" si="5"/>
        <v>66520.199999999939</v>
      </c>
      <c r="I28" s="52">
        <f t="shared" si="6"/>
        <v>1.7683710019446681E-3</v>
      </c>
      <c r="K28" s="13"/>
    </row>
    <row r="29" spans="1:11" x14ac:dyDescent="0.2">
      <c r="A29" s="16">
        <f t="shared" si="0"/>
        <v>23</v>
      </c>
      <c r="B29" s="15" t="s">
        <v>17</v>
      </c>
      <c r="D29" s="43">
        <f>SUM(D27:D28)</f>
        <v>626957000</v>
      </c>
      <c r="E29" s="47">
        <f>SUM(E27:E28)</f>
        <v>41665000</v>
      </c>
      <c r="F29" s="38">
        <f>SUMPRODUCT(D27:D28,F27:F28)/SUM(D27:D28)</f>
        <v>1.5579999999999999E-3</v>
      </c>
      <c r="G29" s="38">
        <f>SUMPRODUCT(D27:D28,G27:G28)/SUM(D27:D28)</f>
        <v>1.6779999999999998E-3</v>
      </c>
      <c r="H29" s="47">
        <f>SUM(H27:H28)</f>
        <v>75234.839999999938</v>
      </c>
      <c r="I29" s="51">
        <f t="shared" si="6"/>
        <v>1.7643448858575097E-3</v>
      </c>
      <c r="K29" s="13"/>
    </row>
    <row r="30" spans="1:11" x14ac:dyDescent="0.2">
      <c r="A30" s="16">
        <f t="shared" si="0"/>
        <v>24</v>
      </c>
      <c r="D30" s="45"/>
      <c r="E30" s="35"/>
      <c r="F30" s="36"/>
      <c r="G30" s="36"/>
      <c r="H30" s="35"/>
      <c r="I30" s="53"/>
      <c r="K30" s="13"/>
    </row>
    <row r="31" spans="1:11" x14ac:dyDescent="0.2">
      <c r="A31" s="16">
        <f t="shared" si="0"/>
        <v>25</v>
      </c>
      <c r="B31" s="12" t="s">
        <v>18</v>
      </c>
      <c r="C31" s="34" t="s">
        <v>19</v>
      </c>
      <c r="D31" s="43">
        <f>SUM('Projected Revenue on F2019'!C33)</f>
        <v>67926000</v>
      </c>
      <c r="E31" s="47">
        <f>SUM('Projected Revenue on F2019'!S33)</f>
        <v>15885000</v>
      </c>
      <c r="F31" s="38">
        <f>+'2019 Final Prop Tax Rate Design'!O27</f>
        <v>9.1549999999999999E-3</v>
      </c>
      <c r="G31" s="38">
        <f>+'FINAL 2020 Prop Tax Rate Des'!O27</f>
        <v>9.5250000000000005E-3</v>
      </c>
      <c r="H31" s="47">
        <f>SUM(G31,-F31)*D31</f>
        <v>25132.620000000035</v>
      </c>
      <c r="I31" s="51">
        <f>H31/SUM(E31,D31*F31)</f>
        <v>1.5225558433241545E-3</v>
      </c>
      <c r="K31" s="13"/>
    </row>
    <row r="32" spans="1:11" x14ac:dyDescent="0.2">
      <c r="A32" s="16">
        <f t="shared" si="0"/>
        <v>26</v>
      </c>
      <c r="C32" s="34"/>
      <c r="D32" s="45"/>
      <c r="E32" s="35"/>
      <c r="F32" s="36"/>
      <c r="G32" s="36"/>
      <c r="H32" s="35"/>
      <c r="I32" s="53"/>
      <c r="K32" s="13"/>
    </row>
    <row r="33" spans="1:11" x14ac:dyDescent="0.2">
      <c r="A33" s="16">
        <f t="shared" si="0"/>
        <v>27</v>
      </c>
      <c r="B33" s="18" t="s">
        <v>23</v>
      </c>
      <c r="C33" s="59" t="s">
        <v>87</v>
      </c>
      <c r="D33" s="43">
        <f>SUM('Projected Revenue on F2019'!C35)</f>
        <v>2036910000</v>
      </c>
      <c r="E33" s="47">
        <f>SUM('Projected Revenue on F2019'!S35)</f>
        <v>10779000</v>
      </c>
      <c r="F33" s="38">
        <f>+'2019 Final Prop Tax Rate Design'!O29</f>
        <v>2.4999999999999998E-5</v>
      </c>
      <c r="G33" s="38">
        <f>+'FINAL 2020 Prop Tax Rate Des'!O29</f>
        <v>2.5000000000000001E-5</v>
      </c>
      <c r="H33" s="47">
        <f>SUM(G33,-F33)*D33</f>
        <v>6.9013195223670276E-12</v>
      </c>
      <c r="I33" s="51">
        <f t="shared" ref="I33" si="7">H33/SUM(E33,D33*F33)</f>
        <v>6.3724549857634276E-19</v>
      </c>
      <c r="K33" s="13"/>
    </row>
    <row r="34" spans="1:11" x14ac:dyDescent="0.2">
      <c r="A34" s="16">
        <f t="shared" si="0"/>
        <v>28</v>
      </c>
      <c r="D34" s="45"/>
      <c r="E34" s="35"/>
      <c r="F34" s="36"/>
      <c r="G34" s="36"/>
      <c r="H34" s="35"/>
      <c r="I34" s="53"/>
      <c r="K34" s="13"/>
    </row>
    <row r="35" spans="1:11" ht="13.5" thickBot="1" x14ac:dyDescent="0.25">
      <c r="A35" s="16">
        <f t="shared" si="0"/>
        <v>29</v>
      </c>
      <c r="B35" s="15" t="s">
        <v>20</v>
      </c>
      <c r="D35" s="46">
        <f>SUM(D9,D16,D22,D24,D29,D31,D33)</f>
        <v>23239609000</v>
      </c>
      <c r="E35" s="49">
        <f>SUM(E9,E16,E22,E24,E29,E31,E33)</f>
        <v>1967883000</v>
      </c>
      <c r="F35" s="40">
        <f>(+F9*D9+F16*D16+F22*D22+F24*D24+F29*D29+F31*D31+F33*D33)/D35</f>
        <v>2.4935821952942494E-3</v>
      </c>
      <c r="G35" s="40">
        <f>(+G9*D9+G16*D16+G22*D22+G24*D24+G29*D29+G31*D31+G33*D33)/D35</f>
        <v>2.5528270926158873E-3</v>
      </c>
      <c r="H35" s="49">
        <f>SUM(H9,H16,H22,H24,H29,H31,H33)</f>
        <v>1376828.2490000015</v>
      </c>
      <c r="I35" s="54">
        <f>H35/SUM(E35,D35*F35)</f>
        <v>6.79635652987932E-4</v>
      </c>
      <c r="K35" s="13"/>
    </row>
    <row r="36" spans="1:11" ht="13.5" thickTop="1" x14ac:dyDescent="0.2">
      <c r="A36" s="16"/>
      <c r="F36" s="36"/>
    </row>
    <row r="37" spans="1:11" x14ac:dyDescent="0.2">
      <c r="A37" s="16"/>
      <c r="B37" s="15"/>
    </row>
    <row r="38" spans="1:11" x14ac:dyDescent="0.2">
      <c r="A38" s="16"/>
    </row>
    <row r="39" spans="1:11" x14ac:dyDescent="0.2">
      <c r="A39" s="16"/>
      <c r="B39" s="15"/>
    </row>
    <row r="42" spans="1:11" x14ac:dyDescent="0.2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B1" zoomScaleNormal="100" workbookViewId="0">
      <selection activeCell="C23" sqref="C23"/>
    </sheetView>
  </sheetViews>
  <sheetFormatPr defaultColWidth="9.140625" defaultRowHeight="12.75" x14ac:dyDescent="0.2"/>
  <cols>
    <col min="1" max="1" width="9.140625" style="12" customWidth="1"/>
    <col min="2" max="2" width="32.7109375" style="12" bestFit="1" customWidth="1"/>
    <col min="3" max="3" width="15.7109375" style="12" bestFit="1" customWidth="1"/>
    <col min="4" max="4" width="16.28515625" style="12" bestFit="1" customWidth="1"/>
    <col min="5" max="5" width="8.7109375" style="12" bestFit="1" customWidth="1"/>
    <col min="6" max="6" width="3.5703125" style="12" customWidth="1"/>
    <col min="7" max="9" width="13.42578125" style="12" bestFit="1" customWidth="1"/>
    <col min="10" max="10" width="3.5703125" style="12" customWidth="1"/>
    <col min="11" max="11" width="16.28515625" style="12" bestFit="1" customWidth="1"/>
    <col min="12" max="12" width="3.5703125" style="12" customWidth="1"/>
    <col min="13" max="15" width="11.7109375" style="12" bestFit="1" customWidth="1"/>
    <col min="16" max="16" width="3.5703125" style="12" customWidth="1"/>
    <col min="17" max="17" width="9.28515625" style="12" bestFit="1" customWidth="1"/>
    <col min="18" max="21" width="3.5703125" style="12" customWidth="1"/>
    <col min="22" max="16384" width="9.140625" style="12"/>
  </cols>
  <sheetData>
    <row r="1" spans="1:17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7" x14ac:dyDescent="0.2">
      <c r="A2" s="285" t="s">
        <v>75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1:17" x14ac:dyDescent="0.2">
      <c r="A3" s="286" t="s">
        <v>314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</row>
    <row r="4" spans="1:17" x14ac:dyDescent="0.2">
      <c r="B4" s="31"/>
      <c r="C4" s="31"/>
      <c r="D4" s="31"/>
    </row>
    <row r="5" spans="1:17" x14ac:dyDescent="0.2">
      <c r="A5" s="29"/>
      <c r="B5" s="30"/>
      <c r="C5" s="30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76.5" x14ac:dyDescent="0.2">
      <c r="A6" s="28" t="s">
        <v>1</v>
      </c>
      <c r="B6" s="28" t="s">
        <v>2</v>
      </c>
      <c r="C6" s="28" t="s">
        <v>3</v>
      </c>
      <c r="D6" s="27" t="s">
        <v>306</v>
      </c>
      <c r="E6" s="28" t="s">
        <v>4</v>
      </c>
      <c r="F6" s="28"/>
      <c r="G6" s="28" t="s">
        <v>70</v>
      </c>
      <c r="H6" s="27" t="s">
        <v>116</v>
      </c>
      <c r="I6" s="28" t="s">
        <v>83</v>
      </c>
      <c r="J6" s="28"/>
      <c r="K6" s="28" t="s">
        <v>305</v>
      </c>
      <c r="L6" s="28"/>
      <c r="M6" s="28" t="s">
        <v>73</v>
      </c>
      <c r="N6" s="28" t="s">
        <v>74</v>
      </c>
      <c r="O6" s="27" t="s">
        <v>315</v>
      </c>
      <c r="P6" s="28"/>
      <c r="Q6" s="28" t="s">
        <v>84</v>
      </c>
    </row>
    <row r="7" spans="1:17" ht="25.5" x14ac:dyDescent="0.2">
      <c r="A7" s="3"/>
      <c r="B7" s="3"/>
      <c r="C7" s="75"/>
      <c r="D7" s="75" t="s">
        <v>32</v>
      </c>
      <c r="E7" s="75" t="s">
        <v>139</v>
      </c>
      <c r="F7" s="76"/>
      <c r="G7" s="4" t="s">
        <v>307</v>
      </c>
      <c r="H7" s="4" t="s">
        <v>308</v>
      </c>
      <c r="I7" s="75" t="s">
        <v>309</v>
      </c>
      <c r="J7" s="2"/>
      <c r="K7" s="75" t="s">
        <v>29</v>
      </c>
      <c r="L7" s="75"/>
      <c r="M7" s="4" t="s">
        <v>310</v>
      </c>
      <c r="N7" s="4" t="s">
        <v>311</v>
      </c>
      <c r="O7" s="4" t="s">
        <v>312</v>
      </c>
      <c r="P7" s="2"/>
      <c r="Q7" s="4" t="s">
        <v>313</v>
      </c>
    </row>
    <row r="8" spans="1:17" x14ac:dyDescent="0.2">
      <c r="A8" s="16">
        <v>1</v>
      </c>
      <c r="B8" s="26" t="s">
        <v>7</v>
      </c>
      <c r="C8" s="25"/>
      <c r="E8" s="16"/>
      <c r="G8" s="16"/>
      <c r="H8" s="16"/>
      <c r="I8" s="16"/>
      <c r="J8" s="16"/>
      <c r="K8" s="25"/>
      <c r="L8" s="25"/>
      <c r="M8" s="16"/>
      <c r="N8" s="16"/>
      <c r="O8" s="16"/>
      <c r="P8" s="16"/>
      <c r="Q8" s="16"/>
    </row>
    <row r="9" spans="1:17" x14ac:dyDescent="0.2">
      <c r="A9" s="16">
        <v>2</v>
      </c>
      <c r="B9" s="20" t="s">
        <v>7</v>
      </c>
      <c r="C9" s="213">
        <v>7</v>
      </c>
      <c r="D9" s="41">
        <v>5545457488.6787891</v>
      </c>
      <c r="E9" s="69">
        <v>0.58338223264030498</v>
      </c>
      <c r="G9" s="41">
        <v>18331619.586727317</v>
      </c>
      <c r="H9" s="41">
        <v>16660836.975282529</v>
      </c>
      <c r="I9" s="41">
        <v>34992456.562009849</v>
      </c>
      <c r="J9" s="41"/>
      <c r="K9" s="42">
        <v>10838149000</v>
      </c>
      <c r="L9" s="42"/>
      <c r="M9" s="37">
        <v>1.691E-3</v>
      </c>
      <c r="N9" s="37">
        <v>1.537E-3</v>
      </c>
      <c r="O9" s="37">
        <v>3.228E-3</v>
      </c>
      <c r="Q9" s="41">
        <v>-6911.5900098457932</v>
      </c>
    </row>
    <row r="10" spans="1:17" x14ac:dyDescent="0.2">
      <c r="A10" s="16">
        <v>3</v>
      </c>
      <c r="B10" s="18" t="s">
        <v>28</v>
      </c>
      <c r="D10" s="47">
        <v>5545457488.6787891</v>
      </c>
      <c r="E10" s="70">
        <v>0.58338223264030498</v>
      </c>
      <c r="G10" s="47">
        <v>18331619.586727317</v>
      </c>
      <c r="H10" s="47">
        <v>16660836.975282529</v>
      </c>
      <c r="I10" s="47">
        <v>34992456.562009849</v>
      </c>
      <c r="J10" s="47"/>
      <c r="K10" s="43">
        <v>10838149000</v>
      </c>
      <c r="L10" s="44"/>
      <c r="M10" s="38">
        <v>1.691E-3</v>
      </c>
      <c r="N10" s="38">
        <v>1.537E-3</v>
      </c>
      <c r="O10" s="38">
        <v>3.228E-3</v>
      </c>
      <c r="Q10" s="47">
        <v>-6911.5900098457932</v>
      </c>
    </row>
    <row r="11" spans="1:17" x14ac:dyDescent="0.2">
      <c r="A11" s="16">
        <v>4</v>
      </c>
      <c r="D11" s="48"/>
      <c r="E11" s="71"/>
      <c r="G11" s="48"/>
      <c r="H11" s="48"/>
      <c r="I11" s="48"/>
      <c r="J11" s="48"/>
      <c r="K11" s="44"/>
      <c r="L11" s="44"/>
      <c r="M11" s="39"/>
      <c r="N11" s="39"/>
      <c r="O11" s="39"/>
      <c r="Q11" s="48"/>
    </row>
    <row r="12" spans="1:17" x14ac:dyDescent="0.2">
      <c r="A12" s="16">
        <v>5</v>
      </c>
      <c r="B12" s="12" t="s">
        <v>8</v>
      </c>
      <c r="D12" s="48"/>
      <c r="E12" s="71"/>
      <c r="G12" s="48"/>
      <c r="H12" s="48"/>
      <c r="I12" s="48"/>
      <c r="J12" s="48"/>
      <c r="K12" s="44"/>
      <c r="L12" s="44"/>
      <c r="M12" s="39"/>
      <c r="N12" s="39"/>
      <c r="O12" s="39"/>
      <c r="Q12" s="48"/>
    </row>
    <row r="13" spans="1:17" x14ac:dyDescent="0.2">
      <c r="A13" s="16">
        <v>6</v>
      </c>
      <c r="B13" s="22" t="s">
        <v>9</v>
      </c>
      <c r="C13" s="213" t="s">
        <v>86</v>
      </c>
      <c r="D13" s="41">
        <v>1207741046.4684942</v>
      </c>
      <c r="E13" s="69">
        <v>0.12705438091961535</v>
      </c>
      <c r="G13" s="41">
        <v>3992429.744224987</v>
      </c>
      <c r="H13" s="41">
        <v>3628551.2466100939</v>
      </c>
      <c r="I13" s="41">
        <v>7620980.9908350809</v>
      </c>
      <c r="J13" s="41"/>
      <c r="K13" s="42">
        <v>3117609000</v>
      </c>
      <c r="L13" s="42"/>
      <c r="M13" s="37">
        <v>1.281E-3</v>
      </c>
      <c r="N13" s="37">
        <v>1.1640000000000001E-3</v>
      </c>
      <c r="O13" s="37">
        <v>2.4450000000000001E-3</v>
      </c>
      <c r="Q13" s="41">
        <v>1573.014164919965</v>
      </c>
    </row>
    <row r="14" spans="1:17" x14ac:dyDescent="0.2">
      <c r="A14" s="16">
        <v>7</v>
      </c>
      <c r="B14" s="22" t="s">
        <v>10</v>
      </c>
      <c r="C14" s="214" t="s">
        <v>95</v>
      </c>
      <c r="D14" s="41">
        <v>1116587567.8116324</v>
      </c>
      <c r="E14" s="69">
        <v>0.11746503324174867</v>
      </c>
      <c r="G14" s="41">
        <v>3691103.6772312662</v>
      </c>
      <c r="H14" s="41">
        <v>3354688.6751753073</v>
      </c>
      <c r="I14" s="41">
        <v>7045792.3524065735</v>
      </c>
      <c r="J14" s="41"/>
      <c r="K14" s="42">
        <v>3299460000</v>
      </c>
      <c r="L14" s="42"/>
      <c r="M14" s="37">
        <v>1.119E-3</v>
      </c>
      <c r="N14" s="37">
        <v>1.0169999999999999E-3</v>
      </c>
      <c r="O14" s="37">
        <v>2.1359999999999999E-3</v>
      </c>
      <c r="Q14" s="41">
        <v>1854.2075934261084</v>
      </c>
    </row>
    <row r="15" spans="1:17" x14ac:dyDescent="0.2">
      <c r="A15" s="16">
        <v>8</v>
      </c>
      <c r="B15" s="22" t="s">
        <v>11</v>
      </c>
      <c r="C15" s="214" t="s">
        <v>140</v>
      </c>
      <c r="D15" s="48">
        <v>645442293.35483623</v>
      </c>
      <c r="E15" s="71">
        <v>6.7900541462366168E-2</v>
      </c>
      <c r="G15" s="48">
        <v>2133638.6783454912</v>
      </c>
      <c r="H15" s="48">
        <v>1939174.3329547131</v>
      </c>
      <c r="I15" s="48">
        <v>4072813.0113002043</v>
      </c>
      <c r="J15" s="48"/>
      <c r="K15" s="44">
        <v>1942526000</v>
      </c>
      <c r="L15" s="44"/>
      <c r="M15" s="39">
        <v>1.098E-3</v>
      </c>
      <c r="N15" s="37">
        <v>9.9799999999999997E-4</v>
      </c>
      <c r="O15" s="39">
        <v>2.0959999999999998E-3</v>
      </c>
      <c r="Q15" s="48">
        <v>-1278.5153002049774</v>
      </c>
    </row>
    <row r="16" spans="1:17" x14ac:dyDescent="0.2">
      <c r="A16" s="16">
        <v>9</v>
      </c>
      <c r="B16" s="15" t="s">
        <v>12</v>
      </c>
      <c r="D16" s="47">
        <v>2969770907.634963</v>
      </c>
      <c r="E16" s="70">
        <v>0.31241995562373021</v>
      </c>
      <c r="G16" s="47">
        <v>9817172.0998017453</v>
      </c>
      <c r="H16" s="47">
        <v>8922414.2547401153</v>
      </c>
      <c r="I16" s="47">
        <v>18739586.354541861</v>
      </c>
      <c r="J16" s="47"/>
      <c r="K16" s="43">
        <v>8359595000</v>
      </c>
      <c r="L16" s="44"/>
      <c r="M16" s="38">
        <v>1.1739999999999999E-3</v>
      </c>
      <c r="N16" s="38">
        <v>1.067E-3</v>
      </c>
      <c r="O16" s="38">
        <v>2.2409999999999999E-3</v>
      </c>
      <c r="Q16" s="47">
        <v>2148.7064581410959</v>
      </c>
    </row>
    <row r="17" spans="1:17" x14ac:dyDescent="0.2">
      <c r="A17" s="16">
        <v>10</v>
      </c>
      <c r="D17" s="48"/>
      <c r="E17" s="71"/>
      <c r="G17" s="48"/>
      <c r="H17" s="48"/>
      <c r="I17" s="48"/>
      <c r="J17" s="48"/>
      <c r="K17" s="44"/>
      <c r="L17" s="44"/>
      <c r="M17" s="39"/>
      <c r="N17" s="39"/>
      <c r="O17" s="39"/>
      <c r="Q17" s="48"/>
    </row>
    <row r="18" spans="1:17" x14ac:dyDescent="0.2">
      <c r="A18" s="16">
        <v>11</v>
      </c>
      <c r="B18" s="12" t="s">
        <v>13</v>
      </c>
      <c r="D18" s="48"/>
      <c r="E18" s="71"/>
      <c r="G18" s="48"/>
      <c r="H18" s="48"/>
      <c r="I18" s="48"/>
      <c r="J18" s="48"/>
      <c r="K18" s="44"/>
      <c r="L18" s="44"/>
      <c r="M18" s="39"/>
      <c r="N18" s="39"/>
      <c r="O18" s="39"/>
      <c r="Q18" s="48"/>
    </row>
    <row r="19" spans="1:17" x14ac:dyDescent="0.2">
      <c r="A19" s="16">
        <v>12</v>
      </c>
      <c r="B19" s="22" t="s">
        <v>24</v>
      </c>
      <c r="C19" s="214" t="s">
        <v>96</v>
      </c>
      <c r="D19" s="41">
        <v>446875030.39957529</v>
      </c>
      <c r="E19" s="69">
        <v>4.701126164575832E-2</v>
      </c>
      <c r="G19" s="41">
        <v>1477234.8497515866</v>
      </c>
      <c r="H19" s="41">
        <v>1342596.5387006514</v>
      </c>
      <c r="I19" s="41">
        <v>2819831.3884522379</v>
      </c>
      <c r="J19" s="41"/>
      <c r="K19" s="42">
        <v>1425247000</v>
      </c>
      <c r="L19" s="42"/>
      <c r="M19" s="37">
        <v>1.036E-3</v>
      </c>
      <c r="N19" s="37">
        <v>9.4200000000000002E-4</v>
      </c>
      <c r="O19" s="37">
        <v>1.9780000000000002E-3</v>
      </c>
      <c r="Q19" s="41">
        <v>-692.82245223782957</v>
      </c>
    </row>
    <row r="20" spans="1:17" x14ac:dyDescent="0.2">
      <c r="A20" s="16">
        <v>13</v>
      </c>
      <c r="B20" s="20" t="s">
        <v>14</v>
      </c>
      <c r="C20" s="213">
        <v>43</v>
      </c>
      <c r="D20" s="41">
        <v>56760978.767045557</v>
      </c>
      <c r="E20" s="69">
        <v>5.971256039302408E-3</v>
      </c>
      <c r="G20" s="41">
        <v>187634.77535479062</v>
      </c>
      <c r="H20" s="41">
        <v>170533.34476476704</v>
      </c>
      <c r="I20" s="41">
        <v>358168.12011955766</v>
      </c>
      <c r="J20" s="41"/>
      <c r="K20" s="42">
        <v>127202000</v>
      </c>
      <c r="L20" s="42"/>
      <c r="M20" s="37">
        <v>1.475E-3</v>
      </c>
      <c r="N20" s="37">
        <v>1.341E-3</v>
      </c>
      <c r="O20" s="37">
        <v>2.8159999999999999E-3</v>
      </c>
      <c r="Q20" s="41">
        <v>32.711880442337133</v>
      </c>
    </row>
    <row r="21" spans="1:17" x14ac:dyDescent="0.2">
      <c r="A21" s="16">
        <v>14</v>
      </c>
      <c r="B21" s="18" t="s">
        <v>15</v>
      </c>
      <c r="D21" s="47">
        <v>503636009.16662085</v>
      </c>
      <c r="E21" s="70">
        <v>5.2982517685060723E-2</v>
      </c>
      <c r="G21" s="47">
        <v>1664869.6251063771</v>
      </c>
      <c r="H21" s="47">
        <v>1513129.8834654184</v>
      </c>
      <c r="I21" s="47">
        <v>3177999.5085717957</v>
      </c>
      <c r="J21" s="47"/>
      <c r="K21" s="43">
        <v>1552449000</v>
      </c>
      <c r="L21" s="44"/>
      <c r="M21" s="38">
        <v>1.072E-3</v>
      </c>
      <c r="N21" s="38">
        <v>9.7499999999999996E-4</v>
      </c>
      <c r="O21" s="38">
        <v>2.0470000000000002E-3</v>
      </c>
      <c r="Q21" s="47">
        <v>-660.11057179549243</v>
      </c>
    </row>
    <row r="22" spans="1:17" x14ac:dyDescent="0.2">
      <c r="A22" s="16">
        <v>15</v>
      </c>
      <c r="D22" s="35"/>
      <c r="E22" s="72"/>
      <c r="G22" s="35"/>
      <c r="H22" s="35"/>
      <c r="I22" s="35"/>
      <c r="J22" s="35"/>
      <c r="K22" s="45"/>
      <c r="L22" s="45"/>
      <c r="M22" s="36"/>
      <c r="N22" s="36"/>
      <c r="O22" s="36"/>
      <c r="Q22" s="35"/>
    </row>
    <row r="23" spans="1:17" x14ac:dyDescent="0.2">
      <c r="A23" s="16">
        <v>16</v>
      </c>
      <c r="B23" s="12" t="s">
        <v>16</v>
      </c>
      <c r="C23" s="213">
        <v>40</v>
      </c>
      <c r="D23" s="47">
        <v>203194457.72693482</v>
      </c>
      <c r="E23" s="70">
        <v>2.13760607940604E-2</v>
      </c>
      <c r="G23" s="47">
        <v>671699.94699012151</v>
      </c>
      <c r="H23" s="47">
        <v>610479.79204254458</v>
      </c>
      <c r="I23" s="47">
        <v>1282179.7390326662</v>
      </c>
      <c r="J23" s="47"/>
      <c r="K23" s="43">
        <v>586597000</v>
      </c>
      <c r="L23" s="44"/>
      <c r="M23" s="38">
        <v>1.145E-3</v>
      </c>
      <c r="N23" s="38">
        <v>1.041E-3</v>
      </c>
      <c r="O23" s="38">
        <v>2.186E-3</v>
      </c>
      <c r="Q23" s="47">
        <v>121.30296733370051</v>
      </c>
    </row>
    <row r="24" spans="1:17" x14ac:dyDescent="0.2">
      <c r="A24" s="16">
        <v>17</v>
      </c>
      <c r="D24" s="35"/>
      <c r="E24" s="72"/>
      <c r="G24" s="35"/>
      <c r="H24" s="35"/>
      <c r="I24" s="35"/>
      <c r="J24" s="35"/>
      <c r="K24" s="45"/>
      <c r="L24" s="45"/>
      <c r="M24" s="36"/>
      <c r="N24" s="36"/>
      <c r="O24" s="36"/>
      <c r="Q24" s="35"/>
    </row>
    <row r="25" spans="1:17" x14ac:dyDescent="0.2">
      <c r="A25" s="16">
        <v>18</v>
      </c>
      <c r="B25" s="12" t="s">
        <v>26</v>
      </c>
      <c r="C25" s="214" t="s">
        <v>71</v>
      </c>
      <c r="D25" s="47">
        <v>168505770.75160074</v>
      </c>
      <c r="E25" s="70">
        <v>1.7726810268500516E-2</v>
      </c>
      <c r="G25" s="47">
        <v>557029.54966166033</v>
      </c>
      <c r="H25" s="47">
        <v>506260.69744799868</v>
      </c>
      <c r="I25" s="47">
        <v>1063290.247109659</v>
      </c>
      <c r="J25" s="47"/>
      <c r="K25" s="43">
        <v>682326000</v>
      </c>
      <c r="L25" s="44"/>
      <c r="M25" s="38">
        <v>8.1599999999999999E-4</v>
      </c>
      <c r="N25" s="38">
        <v>7.4200000000000004E-4</v>
      </c>
      <c r="O25" s="38">
        <v>1.5579999999999999E-3</v>
      </c>
      <c r="Q25" s="47">
        <v>-226.33910965896212</v>
      </c>
    </row>
    <row r="26" spans="1:17" x14ac:dyDescent="0.2">
      <c r="A26" s="16">
        <v>19</v>
      </c>
      <c r="D26" s="35"/>
      <c r="E26" s="72"/>
      <c r="G26" s="35"/>
      <c r="H26" s="35"/>
      <c r="I26" s="35"/>
      <c r="J26" s="35"/>
      <c r="K26" s="45"/>
      <c r="L26" s="45"/>
      <c r="M26" s="36"/>
      <c r="N26" s="36"/>
      <c r="O26" s="36"/>
      <c r="Q26" s="35"/>
    </row>
    <row r="27" spans="1:17" x14ac:dyDescent="0.2">
      <c r="A27" s="16">
        <v>20</v>
      </c>
      <c r="B27" s="12" t="s">
        <v>18</v>
      </c>
      <c r="C27" s="213" t="s">
        <v>19</v>
      </c>
      <c r="D27" s="47">
        <v>103623580.21183598</v>
      </c>
      <c r="E27" s="70">
        <v>1.0901202597184708E-2</v>
      </c>
      <c r="G27" s="47">
        <v>342548.48342741164</v>
      </c>
      <c r="H27" s="47">
        <v>311327.88957973634</v>
      </c>
      <c r="I27" s="47">
        <v>653876.37300714804</v>
      </c>
      <c r="J27" s="47"/>
      <c r="K27" s="43">
        <v>71427000</v>
      </c>
      <c r="L27" s="44"/>
      <c r="M27" s="38">
        <v>4.7959999999999999E-3</v>
      </c>
      <c r="N27" s="38">
        <v>4.359E-3</v>
      </c>
      <c r="O27" s="38">
        <v>9.1549999999999999E-3</v>
      </c>
      <c r="Q27" s="47">
        <v>37.811992851900868</v>
      </c>
    </row>
    <row r="28" spans="1:17" x14ac:dyDescent="0.2">
      <c r="A28" s="16">
        <v>21</v>
      </c>
      <c r="C28" s="213"/>
      <c r="D28" s="35"/>
      <c r="E28" s="72"/>
      <c r="G28" s="35"/>
      <c r="H28" s="35"/>
      <c r="I28" s="35"/>
      <c r="J28" s="35"/>
      <c r="K28" s="45"/>
      <c r="L28" s="45"/>
      <c r="M28" s="36"/>
      <c r="N28" s="36"/>
      <c r="O28" s="36"/>
      <c r="Q28" s="35"/>
    </row>
    <row r="29" spans="1:17" x14ac:dyDescent="0.2">
      <c r="A29" s="16">
        <v>22</v>
      </c>
      <c r="B29" s="18" t="s">
        <v>23</v>
      </c>
      <c r="C29" s="214" t="s">
        <v>72</v>
      </c>
      <c r="D29" s="47">
        <v>8251261.5867248578</v>
      </c>
      <c r="E29" s="70">
        <v>8.6803287490525645E-4</v>
      </c>
      <c r="G29" s="47">
        <v>27276.196567589908</v>
      </c>
      <c r="H29" s="47">
        <v>24790.186277234803</v>
      </c>
      <c r="I29" s="47">
        <v>52066.382844824708</v>
      </c>
      <c r="J29" s="47"/>
      <c r="K29" s="43">
        <v>2024995000</v>
      </c>
      <c r="L29" s="44"/>
      <c r="M29" s="38">
        <v>1.2999999999999999E-5</v>
      </c>
      <c r="N29" s="38">
        <v>1.2E-5</v>
      </c>
      <c r="O29" s="38">
        <v>2.4999999999999998E-5</v>
      </c>
      <c r="Q29" s="47">
        <v>-1441.507844824715</v>
      </c>
    </row>
    <row r="30" spans="1:17" x14ac:dyDescent="0.2">
      <c r="A30" s="16">
        <v>23</v>
      </c>
      <c r="D30" s="35"/>
      <c r="E30" s="72"/>
      <c r="G30" s="35"/>
      <c r="H30" s="35"/>
      <c r="I30" s="35"/>
      <c r="J30" s="35"/>
      <c r="K30" s="45"/>
      <c r="L30" s="45"/>
      <c r="M30" s="36"/>
      <c r="N30" s="36"/>
      <c r="O30" s="36"/>
      <c r="Q30" s="35"/>
    </row>
    <row r="31" spans="1:17" ht="13.5" thickBot="1" x14ac:dyDescent="0.25">
      <c r="A31" s="16">
        <v>24</v>
      </c>
      <c r="B31" s="15" t="s">
        <v>20</v>
      </c>
      <c r="D31" s="49">
        <v>9502439475.7574692</v>
      </c>
      <c r="E31" s="73">
        <v>0.99965681248374683</v>
      </c>
      <c r="G31" s="49">
        <v>31412215.488282222</v>
      </c>
      <c r="H31" s="49">
        <v>28549239.678835578</v>
      </c>
      <c r="I31" s="49">
        <v>59961455.167117804</v>
      </c>
      <c r="J31" s="49"/>
      <c r="K31" s="46">
        <v>24115538000</v>
      </c>
      <c r="L31" s="44"/>
      <c r="M31" s="40">
        <v>1.3029999999999999E-3</v>
      </c>
      <c r="N31" s="40">
        <v>1.1839999999999999E-3</v>
      </c>
      <c r="O31" s="40">
        <v>2.4869999999999996E-3</v>
      </c>
      <c r="Q31" s="49">
        <v>-6931.7261177982655</v>
      </c>
    </row>
    <row r="32" spans="1:17" ht="13.5" thickTop="1" x14ac:dyDescent="0.2">
      <c r="A32" s="16">
        <v>25</v>
      </c>
      <c r="D32" s="17"/>
      <c r="E32" s="74"/>
      <c r="G32" s="17"/>
      <c r="H32" s="17"/>
      <c r="I32" s="17"/>
      <c r="J32" s="17"/>
      <c r="K32" s="33"/>
      <c r="L32" s="44"/>
      <c r="M32" s="61"/>
      <c r="N32" s="61"/>
      <c r="O32" s="61"/>
      <c r="Q32" s="17"/>
    </row>
    <row r="33" spans="1:17" x14ac:dyDescent="0.2">
      <c r="A33" s="16">
        <v>26</v>
      </c>
      <c r="B33" s="15" t="s">
        <v>22</v>
      </c>
      <c r="D33" s="47">
        <v>3262238.1614442412</v>
      </c>
      <c r="E33" s="70">
        <v>3.4318751625326557E-4</v>
      </c>
      <c r="G33" s="47">
        <v>10783.981141139086</v>
      </c>
      <c r="H33" s="47">
        <v>9801.1062736173353</v>
      </c>
      <c r="I33" s="47">
        <v>20585.087414756421</v>
      </c>
      <c r="J33" s="47"/>
      <c r="K33" s="43">
        <v>7066000</v>
      </c>
      <c r="L33" s="44"/>
      <c r="M33" s="38"/>
      <c r="N33" s="38"/>
      <c r="O33" s="38"/>
      <c r="Q33" s="47"/>
    </row>
    <row r="34" spans="1:17" x14ac:dyDescent="0.2">
      <c r="A34" s="16">
        <v>27</v>
      </c>
      <c r="D34" s="35"/>
      <c r="E34" s="72"/>
      <c r="G34" s="35"/>
      <c r="H34" s="35"/>
      <c r="I34" s="35"/>
      <c r="J34" s="35"/>
      <c r="K34" s="45"/>
      <c r="L34" s="45"/>
      <c r="M34" s="36"/>
      <c r="N34" s="36"/>
      <c r="O34" s="36"/>
      <c r="Q34" s="35"/>
    </row>
    <row r="35" spans="1:17" ht="13.5" thickBot="1" x14ac:dyDescent="0.25">
      <c r="A35" s="16">
        <v>28</v>
      </c>
      <c r="B35" s="15" t="s">
        <v>21</v>
      </c>
      <c r="D35" s="49">
        <v>9505701713.9189129</v>
      </c>
      <c r="E35" s="73">
        <v>1</v>
      </c>
      <c r="G35" s="49">
        <v>31422999.469423361</v>
      </c>
      <c r="H35" s="49">
        <v>28559040.785109196</v>
      </c>
      <c r="I35" s="49">
        <v>59982040.254532561</v>
      </c>
      <c r="J35" s="49"/>
      <c r="K35" s="46">
        <v>24122604000</v>
      </c>
      <c r="L35" s="44"/>
      <c r="M35" s="40">
        <v>1.3029999999999999E-3</v>
      </c>
      <c r="N35" s="40">
        <v>1.1839999999999999E-3</v>
      </c>
      <c r="O35" s="40">
        <v>2.4869999999999996E-3</v>
      </c>
      <c r="P35" s="56"/>
      <c r="Q35" s="49">
        <v>-6931.7261177982655</v>
      </c>
    </row>
    <row r="36" spans="1:17" ht="13.5" thickTop="1" x14ac:dyDescent="0.2">
      <c r="A36" s="16">
        <v>29</v>
      </c>
      <c r="P36" s="57"/>
    </row>
    <row r="37" spans="1:17" ht="13.5" thickBot="1" x14ac:dyDescent="0.25">
      <c r="A37" s="16">
        <v>30</v>
      </c>
      <c r="B37" s="12" t="s">
        <v>76</v>
      </c>
      <c r="D37" s="35"/>
      <c r="G37" s="182">
        <v>31422999.469423361</v>
      </c>
      <c r="H37" s="182">
        <v>28559040.785109192</v>
      </c>
      <c r="I37" s="182">
        <v>59982040.254532553</v>
      </c>
    </row>
    <row r="38" spans="1:17" ht="13.5" thickTop="1" x14ac:dyDescent="0.2">
      <c r="G38" s="55" t="s">
        <v>5</v>
      </c>
      <c r="H38" s="55" t="s">
        <v>6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61" fitToHeight="0" orientation="landscape" r:id="rId1"/>
  <headerFooter alignWithMargins="0">
    <oddFooter>&amp;L&amp;F
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pane xSplit="3" ySplit="7" topLeftCell="D14" activePane="bottomRight" state="frozen"/>
      <selection activeCell="E8" sqref="E8"/>
      <selection pane="topRight" activeCell="E8" sqref="E8"/>
      <selection pane="bottomLeft" activeCell="E8" sqref="E8"/>
      <selection pane="bottomRight" activeCell="U12" sqref="U12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0.85546875" style="12" customWidth="1"/>
    <col min="7" max="7" width="14.7109375" style="12" bestFit="1" customWidth="1"/>
    <col min="8" max="8" width="14.7109375" style="12" customWidth="1"/>
    <col min="9" max="9" width="13.140625" style="12" customWidth="1"/>
    <col min="10" max="10" width="0.85546875" style="12" customWidth="1"/>
    <col min="11" max="11" width="14.7109375" style="12" customWidth="1"/>
    <col min="12" max="12" width="0.85546875" style="12" customWidth="1"/>
    <col min="13" max="13" width="12.5703125" style="12" customWidth="1"/>
    <col min="14" max="14" width="13.140625" style="12" bestFit="1" customWidth="1"/>
    <col min="15" max="15" width="12.7109375" style="12" customWidth="1"/>
    <col min="16" max="16" width="0.85546875" style="12" customWidth="1"/>
    <col min="17" max="17" width="9.42578125" style="12" customWidth="1"/>
    <col min="18" max="18" width="2.7109375" style="12" customWidth="1"/>
    <col min="19" max="19" width="12" style="12" bestFit="1" customWidth="1"/>
    <col min="20" max="20" width="9.140625" style="12"/>
    <col min="21" max="21" width="11.28515625" style="12" customWidth="1"/>
    <col min="22" max="16384" width="9.140625" style="12"/>
  </cols>
  <sheetData>
    <row r="1" spans="1:21" ht="12.75" customHeight="1" x14ac:dyDescent="0.2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21" x14ac:dyDescent="0.2">
      <c r="A2" s="285" t="s">
        <v>394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</row>
    <row r="3" spans="1:21" x14ac:dyDescent="0.2">
      <c r="A3" s="285" t="s">
        <v>339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</row>
    <row r="4" spans="1:21" x14ac:dyDescent="0.2">
      <c r="B4" s="31"/>
      <c r="C4" s="31"/>
      <c r="D4" s="31"/>
    </row>
    <row r="5" spans="1:21" s="29" customFormat="1" x14ac:dyDescent="0.2">
      <c r="B5" s="30"/>
      <c r="C5" s="30"/>
    </row>
    <row r="6" spans="1:21" s="16" customFormat="1" ht="76.5" x14ac:dyDescent="0.2">
      <c r="A6" s="28" t="s">
        <v>1</v>
      </c>
      <c r="B6" s="28" t="s">
        <v>2</v>
      </c>
      <c r="C6" s="28" t="s">
        <v>3</v>
      </c>
      <c r="D6" s="27" t="s">
        <v>306</v>
      </c>
      <c r="E6" s="28" t="s">
        <v>4</v>
      </c>
      <c r="F6" s="28"/>
      <c r="G6" s="28" t="s">
        <v>70</v>
      </c>
      <c r="H6" s="27" t="s">
        <v>116</v>
      </c>
      <c r="I6" s="28" t="s">
        <v>83</v>
      </c>
      <c r="J6" s="28"/>
      <c r="K6" s="28" t="str">
        <f>+'2020 Prop Tax Rate Impacts'!D5</f>
        <v>F2019 kWh 
May 2020
to April 2021</v>
      </c>
      <c r="L6" s="28"/>
      <c r="M6" s="27" t="s">
        <v>340</v>
      </c>
      <c r="N6" s="27" t="s">
        <v>341</v>
      </c>
      <c r="O6" s="27" t="s">
        <v>342</v>
      </c>
      <c r="P6" s="28"/>
      <c r="Q6" s="28" t="s">
        <v>84</v>
      </c>
    </row>
    <row r="7" spans="1:21" s="16" customFormat="1" ht="25.5" x14ac:dyDescent="0.2">
      <c r="A7" s="3"/>
      <c r="B7" s="3"/>
      <c r="C7" s="75"/>
      <c r="D7" s="75" t="s">
        <v>32</v>
      </c>
      <c r="E7" s="75" t="s">
        <v>139</v>
      </c>
      <c r="F7" s="76"/>
      <c r="G7" s="4" t="s">
        <v>307</v>
      </c>
      <c r="H7" s="4" t="s">
        <v>308</v>
      </c>
      <c r="I7" s="75" t="s">
        <v>309</v>
      </c>
      <c r="J7" s="2"/>
      <c r="K7" s="75" t="s">
        <v>29</v>
      </c>
      <c r="L7" s="75"/>
      <c r="M7" s="4" t="s">
        <v>310</v>
      </c>
      <c r="N7" s="4" t="s">
        <v>311</v>
      </c>
      <c r="O7" s="4" t="s">
        <v>312</v>
      </c>
      <c r="P7" s="2"/>
      <c r="Q7" s="4" t="s">
        <v>313</v>
      </c>
    </row>
    <row r="8" spans="1:21" s="16" customFormat="1" x14ac:dyDescent="0.2">
      <c r="A8" s="16">
        <v>1</v>
      </c>
      <c r="B8" s="26" t="s">
        <v>7</v>
      </c>
      <c r="C8" s="25"/>
      <c r="D8" s="12"/>
      <c r="F8" s="12"/>
      <c r="K8" s="25"/>
      <c r="L8" s="25"/>
    </row>
    <row r="9" spans="1:21" ht="15" x14ac:dyDescent="0.25">
      <c r="A9" s="16">
        <f>+A8+1</f>
        <v>2</v>
      </c>
      <c r="B9" s="20" t="s">
        <v>7</v>
      </c>
      <c r="C9" s="19">
        <v>7</v>
      </c>
      <c r="D9" s="23">
        <f>+'UE-180280 Compliance ECOS '!F70</f>
        <v>5545457488.6787891</v>
      </c>
      <c r="E9" s="69">
        <f>+D9/$D$35</f>
        <v>0.58338223264030498</v>
      </c>
      <c r="G9" s="23">
        <f>+E9*$G$37</f>
        <v>26247480.585114736</v>
      </c>
      <c r="H9" s="41">
        <f>+E9*$H$37</f>
        <v>8374273.5413645441</v>
      </c>
      <c r="I9" s="23">
        <f>SUM(G9:H9)</f>
        <v>34621754.126479283</v>
      </c>
      <c r="J9" s="23"/>
      <c r="K9" s="14">
        <f>+'Projected Revenue on F2019'!C8</f>
        <v>10790076000</v>
      </c>
      <c r="L9" s="14"/>
      <c r="M9" s="37">
        <f>ROUND(G9/$K9,6)</f>
        <v>2.4329999999999998E-3</v>
      </c>
      <c r="N9" s="37">
        <f>ROUND((H9)/$K9,6)</f>
        <v>7.76E-4</v>
      </c>
      <c r="O9" s="37">
        <f>SUM(M9:N9)</f>
        <v>3.209E-3</v>
      </c>
      <c r="Q9" s="23">
        <f>+O9*K9-I9</f>
        <v>3599.7575207203627</v>
      </c>
      <c r="R9" s="56"/>
      <c r="S9" s="181"/>
      <c r="T9"/>
      <c r="U9"/>
    </row>
    <row r="10" spans="1:21" ht="15" x14ac:dyDescent="0.25">
      <c r="A10" s="16">
        <f>+A9+1</f>
        <v>3</v>
      </c>
      <c r="B10" s="18" t="s">
        <v>28</v>
      </c>
      <c r="D10" s="6">
        <f>SUM(D9:D9)</f>
        <v>5545457488.6787891</v>
      </c>
      <c r="E10" s="70">
        <f>+D10/$D$35</f>
        <v>0.58338223264030498</v>
      </c>
      <c r="G10" s="6">
        <f>SUM(G9:G9)</f>
        <v>26247480.585114736</v>
      </c>
      <c r="H10" s="47">
        <f>SUM(H9:H9)</f>
        <v>8374273.5413645441</v>
      </c>
      <c r="I10" s="6">
        <f>SUM(I9:I9)</f>
        <v>34621754.126479283</v>
      </c>
      <c r="J10" s="6"/>
      <c r="K10" s="5">
        <f>SUM(K9:K9)</f>
        <v>10790076000</v>
      </c>
      <c r="L10" s="8"/>
      <c r="M10" s="38">
        <f>ROUND(G10/$K10,6)</f>
        <v>2.4329999999999998E-3</v>
      </c>
      <c r="N10" s="38">
        <f t="shared" ref="N10" si="0">ROUND((H10)/$K10,6)</f>
        <v>7.76E-4</v>
      </c>
      <c r="O10" s="38">
        <f>SUM(M10:N10)</f>
        <v>3.209E-3</v>
      </c>
      <c r="Q10" s="6">
        <f>SUM(Q9:Q9)</f>
        <v>3599.7575207203627</v>
      </c>
      <c r="S10"/>
      <c r="T10"/>
      <c r="U10"/>
    </row>
    <row r="11" spans="1:21" ht="15" x14ac:dyDescent="0.25">
      <c r="A11" s="16">
        <f>+A10+1</f>
        <v>4</v>
      </c>
      <c r="D11" s="7"/>
      <c r="E11" s="71"/>
      <c r="G11" s="7"/>
      <c r="H11" s="48"/>
      <c r="I11" s="7"/>
      <c r="J11" s="7"/>
      <c r="K11" s="8"/>
      <c r="L11" s="8"/>
      <c r="M11" s="39"/>
      <c r="N11" s="39"/>
      <c r="O11" s="39"/>
      <c r="Q11" s="7"/>
      <c r="S11"/>
      <c r="T11"/>
      <c r="U11"/>
    </row>
    <row r="12" spans="1:21" ht="15" x14ac:dyDescent="0.25">
      <c r="A12" s="16">
        <f>+A11+1</f>
        <v>5</v>
      </c>
      <c r="B12" s="12" t="s">
        <v>8</v>
      </c>
      <c r="D12" s="7"/>
      <c r="E12" s="71"/>
      <c r="G12" s="7"/>
      <c r="H12" s="48"/>
      <c r="I12" s="7"/>
      <c r="J12" s="7"/>
      <c r="K12" s="8"/>
      <c r="L12" s="8"/>
      <c r="M12" s="39"/>
      <c r="N12" s="39"/>
      <c r="O12" s="39"/>
      <c r="Q12" s="7"/>
      <c r="S12"/>
      <c r="T12"/>
      <c r="U12"/>
    </row>
    <row r="13" spans="1:21" ht="15" x14ac:dyDescent="0.25">
      <c r="A13" s="16">
        <f t="shared" ref="A13:A37" si="1">+A12+1</f>
        <v>6</v>
      </c>
      <c r="B13" s="22" t="s">
        <v>9</v>
      </c>
      <c r="C13" s="19" t="s">
        <v>86</v>
      </c>
      <c r="D13" s="23">
        <f>+'UE-180280 Compliance ECOS '!G70</f>
        <v>1207741046.4684942</v>
      </c>
      <c r="E13" s="69">
        <f t="shared" ref="E13:E15" si="2">+D13/$D$35</f>
        <v>0.12705438091961535</v>
      </c>
      <c r="G13" s="23">
        <f>+E13*$G$37</f>
        <v>5716419.2014355427</v>
      </c>
      <c r="H13" s="41">
        <f t="shared" ref="H13:H15" si="3">+E13*$H$37</f>
        <v>1823826.7827152158</v>
      </c>
      <c r="I13" s="23">
        <f>SUM(G13:H13)</f>
        <v>7540245.984150758</v>
      </c>
      <c r="J13" s="23"/>
      <c r="K13" s="14">
        <f>SUM('Projected Revenue on F2019'!C12:C13)</f>
        <v>2853340000</v>
      </c>
      <c r="L13" s="14"/>
      <c r="M13" s="37">
        <f>ROUND(G13/$K13,6)</f>
        <v>2.003E-3</v>
      </c>
      <c r="N13" s="37">
        <f t="shared" ref="N13:N16" si="4">ROUND((H13)/$K13,6)</f>
        <v>6.3900000000000003E-4</v>
      </c>
      <c r="O13" s="37">
        <f t="shared" ref="O13:O15" si="5">SUM(M13:N13)</f>
        <v>2.6420000000000003E-3</v>
      </c>
      <c r="Q13" s="23">
        <f t="shared" ref="Q13:Q15" si="6">+O13*K13-I13</f>
        <v>-1721.7041507577524</v>
      </c>
      <c r="R13" s="56"/>
      <c r="S13"/>
      <c r="T13"/>
      <c r="U13"/>
    </row>
    <row r="14" spans="1:21" ht="15" x14ac:dyDescent="0.25">
      <c r="A14" s="16">
        <f t="shared" si="1"/>
        <v>7</v>
      </c>
      <c r="B14" s="22" t="s">
        <v>10</v>
      </c>
      <c r="C14" s="62" t="s">
        <v>95</v>
      </c>
      <c r="D14" s="23">
        <f>+'UE-180280 Compliance ECOS '!H70</f>
        <v>1116587567.8116324</v>
      </c>
      <c r="E14" s="69">
        <f t="shared" si="2"/>
        <v>0.11746503324174867</v>
      </c>
      <c r="G14" s="23">
        <f>+E14*$G$37</f>
        <v>5284976.1390378764</v>
      </c>
      <c r="H14" s="41">
        <f t="shared" si="3"/>
        <v>1686174.6293846958</v>
      </c>
      <c r="I14" s="23">
        <f>SUM(G14:H14)</f>
        <v>6971150.7684225719</v>
      </c>
      <c r="J14" s="23"/>
      <c r="K14" s="14">
        <f>SUM('Projected Revenue on F2019'!C9,'Projected Revenue on F2019'!C14:C15,'Projected Revenue on F2019'!C18)</f>
        <v>3040335000</v>
      </c>
      <c r="L14" s="14"/>
      <c r="M14" s="37">
        <f>ROUND(G14/$K14,6)</f>
        <v>1.738E-3</v>
      </c>
      <c r="N14" s="37">
        <f t="shared" si="4"/>
        <v>5.5500000000000005E-4</v>
      </c>
      <c r="O14" s="37">
        <f t="shared" si="5"/>
        <v>2.2929999999999999E-3</v>
      </c>
      <c r="Q14" s="23">
        <f t="shared" si="6"/>
        <v>337.38657742738724</v>
      </c>
      <c r="R14" s="56"/>
      <c r="S14"/>
      <c r="T14"/>
      <c r="U14"/>
    </row>
    <row r="15" spans="1:21" ht="15" x14ac:dyDescent="0.25">
      <c r="A15" s="16">
        <f t="shared" si="1"/>
        <v>8</v>
      </c>
      <c r="B15" s="22" t="s">
        <v>11</v>
      </c>
      <c r="C15" s="118" t="s">
        <v>140</v>
      </c>
      <c r="D15" s="7">
        <f>+'UE-180280 Compliance ECOS '!I70</f>
        <v>645442293.35483623</v>
      </c>
      <c r="E15" s="71">
        <f t="shared" si="2"/>
        <v>6.7900541462366168E-2</v>
      </c>
      <c r="G15" s="7">
        <f>+E15*$G$37</f>
        <v>3054975.0130136264</v>
      </c>
      <c r="H15" s="48">
        <f t="shared" si="3"/>
        <v>974691.50755438057</v>
      </c>
      <c r="I15" s="7">
        <f>SUM(G15:H15)</f>
        <v>4029666.5205680071</v>
      </c>
      <c r="J15" s="7"/>
      <c r="K15" s="8">
        <f>SUM('Projected Revenue on F2019'!C16:C17)</f>
        <v>1779828000</v>
      </c>
      <c r="L15" s="8"/>
      <c r="M15" s="39">
        <f>ROUND(G15/$K15,6)</f>
        <v>1.7160000000000001E-3</v>
      </c>
      <c r="N15" s="37">
        <f t="shared" si="4"/>
        <v>5.4799999999999998E-4</v>
      </c>
      <c r="O15" s="39">
        <f t="shared" si="5"/>
        <v>2.264E-3</v>
      </c>
      <c r="Q15" s="7">
        <f t="shared" si="6"/>
        <v>-135.92856800742447</v>
      </c>
      <c r="R15" s="56"/>
      <c r="S15"/>
      <c r="T15"/>
      <c r="U15"/>
    </row>
    <row r="16" spans="1:21" ht="15" x14ac:dyDescent="0.25">
      <c r="A16" s="16">
        <f t="shared" si="1"/>
        <v>9</v>
      </c>
      <c r="B16" s="15" t="s">
        <v>12</v>
      </c>
      <c r="D16" s="6">
        <f>SUM(D13:D15)</f>
        <v>2969770907.634963</v>
      </c>
      <c r="E16" s="70">
        <f>+D16/$D$35</f>
        <v>0.31241995562373021</v>
      </c>
      <c r="G16" s="6">
        <f>SUM(G13:G15)</f>
        <v>14056370.353487045</v>
      </c>
      <c r="H16" s="47">
        <f>SUM(H13:H15)</f>
        <v>4484692.9196542921</v>
      </c>
      <c r="I16" s="6">
        <f>SUM(I13:I15)</f>
        <v>18541063.273141336</v>
      </c>
      <c r="J16" s="6"/>
      <c r="K16" s="5">
        <f>SUM(K13:K15)</f>
        <v>7673503000</v>
      </c>
      <c r="L16" s="8"/>
      <c r="M16" s="38">
        <f>ROUND(G16/$K16,6)</f>
        <v>1.8320000000000001E-3</v>
      </c>
      <c r="N16" s="38">
        <f t="shared" si="4"/>
        <v>5.8399999999999999E-4</v>
      </c>
      <c r="O16" s="38">
        <f>SUM(M16:N16)</f>
        <v>2.4160000000000002E-3</v>
      </c>
      <c r="Q16" s="6">
        <f>SUM(Q13:Q15)</f>
        <v>-1520.2461413377896</v>
      </c>
      <c r="S16"/>
      <c r="T16"/>
      <c r="U16"/>
    </row>
    <row r="17" spans="1:21" ht="15" x14ac:dyDescent="0.25">
      <c r="A17" s="16">
        <f t="shared" si="1"/>
        <v>10</v>
      </c>
      <c r="D17" s="7"/>
      <c r="E17" s="71"/>
      <c r="G17" s="7"/>
      <c r="H17" s="48"/>
      <c r="I17" s="7"/>
      <c r="J17" s="7"/>
      <c r="K17" s="8"/>
      <c r="L17" s="8"/>
      <c r="M17" s="39"/>
      <c r="N17" s="39"/>
      <c r="O17" s="39"/>
      <c r="Q17" s="7"/>
      <c r="S17"/>
      <c r="T17"/>
      <c r="U17"/>
    </row>
    <row r="18" spans="1:21" ht="15" x14ac:dyDescent="0.25">
      <c r="A18" s="16">
        <f t="shared" si="1"/>
        <v>11</v>
      </c>
      <c r="B18" s="12" t="s">
        <v>13</v>
      </c>
      <c r="D18" s="7"/>
      <c r="E18" s="71"/>
      <c r="G18" s="7"/>
      <c r="H18" s="48"/>
      <c r="I18" s="7"/>
      <c r="J18" s="7"/>
      <c r="K18" s="8"/>
      <c r="L18" s="8"/>
      <c r="M18" s="39"/>
      <c r="N18" s="39"/>
      <c r="O18" s="39"/>
      <c r="Q18" s="7"/>
      <c r="S18"/>
      <c r="T18"/>
      <c r="U18"/>
    </row>
    <row r="19" spans="1:21" ht="15" x14ac:dyDescent="0.25">
      <c r="A19" s="16">
        <f t="shared" si="1"/>
        <v>12</v>
      </c>
      <c r="B19" s="22" t="s">
        <v>24</v>
      </c>
      <c r="C19" s="62" t="s">
        <v>96</v>
      </c>
      <c r="D19" s="23">
        <f>+'UE-180280 Compliance ECOS '!U70</f>
        <v>446875030.39957529</v>
      </c>
      <c r="E19" s="69">
        <f t="shared" ref="E19:E21" si="7">+D19/$D$35</f>
        <v>4.701126164575832E-2</v>
      </c>
      <c r="G19" s="23">
        <f>+E19*$G$37</f>
        <v>2115126.4270497435</v>
      </c>
      <c r="H19" s="41">
        <f t="shared" ref="H19:H20" si="8">+E19*$H$37</f>
        <v>674832.28408324451</v>
      </c>
      <c r="I19" s="23">
        <f>SUM(G19:H19)</f>
        <v>2789958.7111329879</v>
      </c>
      <c r="J19" s="23"/>
      <c r="K19" s="14">
        <f>SUM('Projected Revenue on F2019'!C21:C23)</f>
        <v>1316962000</v>
      </c>
      <c r="L19" s="14"/>
      <c r="M19" s="37">
        <f>ROUND(G19/$K19,6)</f>
        <v>1.606E-3</v>
      </c>
      <c r="N19" s="37">
        <f t="shared" ref="N19:N31" si="9">ROUND((H19)/$K19,6)</f>
        <v>5.1199999999999998E-4</v>
      </c>
      <c r="O19" s="37">
        <f t="shared" ref="O19:O20" si="10">SUM(M19:N19)</f>
        <v>2.1180000000000001E-3</v>
      </c>
      <c r="Q19" s="23">
        <f t="shared" ref="Q19:Q20" si="11">+O19*K19-I19</f>
        <v>-633.19513298757374</v>
      </c>
      <c r="R19" s="56"/>
      <c r="S19"/>
      <c r="T19"/>
      <c r="U19"/>
    </row>
    <row r="20" spans="1:21" ht="15" x14ac:dyDescent="0.25">
      <c r="A20" s="16">
        <f t="shared" si="1"/>
        <v>13</v>
      </c>
      <c r="B20" s="20" t="s">
        <v>14</v>
      </c>
      <c r="C20" s="19">
        <v>43</v>
      </c>
      <c r="D20" s="23">
        <f>+'UE-180280 Compliance ECOS '!S70</f>
        <v>56760978.767045557</v>
      </c>
      <c r="E20" s="69">
        <f t="shared" si="7"/>
        <v>5.971256039302408E-3</v>
      </c>
      <c r="G20" s="23">
        <f>+E20*$G$37</f>
        <v>268658.21101715672</v>
      </c>
      <c r="H20" s="41">
        <f t="shared" si="8"/>
        <v>85715.554332754007</v>
      </c>
      <c r="I20" s="23">
        <f>SUM(G20:H20)</f>
        <v>354373.76534991071</v>
      </c>
      <c r="J20" s="23"/>
      <c r="K20" s="14">
        <f>SUM('Projected Revenue on F2019'!C24)</f>
        <v>117556000</v>
      </c>
      <c r="L20" s="14"/>
      <c r="M20" s="37">
        <f>ROUND(G20/$K20,6)</f>
        <v>2.2850000000000001E-3</v>
      </c>
      <c r="N20" s="37">
        <f t="shared" si="9"/>
        <v>7.2900000000000005E-4</v>
      </c>
      <c r="O20" s="37">
        <f t="shared" si="10"/>
        <v>3.0140000000000002E-3</v>
      </c>
      <c r="Q20" s="23">
        <f t="shared" si="11"/>
        <v>-59.981349910667632</v>
      </c>
      <c r="R20" s="56"/>
      <c r="S20"/>
      <c r="T20"/>
      <c r="U20"/>
    </row>
    <row r="21" spans="1:21" ht="15" x14ac:dyDescent="0.25">
      <c r="A21" s="16">
        <f t="shared" si="1"/>
        <v>14</v>
      </c>
      <c r="B21" s="18" t="s">
        <v>15</v>
      </c>
      <c r="D21" s="6">
        <f>SUM(D19:D20)</f>
        <v>503636009.16662085</v>
      </c>
      <c r="E21" s="70">
        <f t="shared" si="7"/>
        <v>5.2982517685060723E-2</v>
      </c>
      <c r="G21" s="6">
        <f>SUM(G19:G20)</f>
        <v>2383784.6380669</v>
      </c>
      <c r="H21" s="47">
        <f>SUM(H19:H20)</f>
        <v>760547.8384159985</v>
      </c>
      <c r="I21" s="6">
        <f>SUM(I19:I20)</f>
        <v>3144332.4764828985</v>
      </c>
      <c r="J21" s="6"/>
      <c r="K21" s="5">
        <f>SUM(K19:K20)</f>
        <v>1434518000</v>
      </c>
      <c r="L21" s="8"/>
      <c r="M21" s="38">
        <f>ROUND(G21/$K21,6)</f>
        <v>1.6620000000000001E-3</v>
      </c>
      <c r="N21" s="38">
        <f t="shared" si="9"/>
        <v>5.2999999999999998E-4</v>
      </c>
      <c r="O21" s="38">
        <f>SUM(M21:N21)</f>
        <v>2.1919999999999999E-3</v>
      </c>
      <c r="Q21" s="6">
        <f>SUM(Q19:Q20)</f>
        <v>-693.17648289824137</v>
      </c>
      <c r="S21"/>
      <c r="T21"/>
      <c r="U21"/>
    </row>
    <row r="22" spans="1:21" ht="15" x14ac:dyDescent="0.25">
      <c r="A22" s="16">
        <f t="shared" si="1"/>
        <v>15</v>
      </c>
      <c r="D22" s="13"/>
      <c r="E22" s="72"/>
      <c r="G22" s="13"/>
      <c r="H22" s="35"/>
      <c r="I22" s="13"/>
      <c r="J22" s="13"/>
      <c r="K22" s="9"/>
      <c r="L22" s="32"/>
      <c r="M22" s="36"/>
      <c r="N22" s="36"/>
      <c r="O22" s="36"/>
      <c r="Q22" s="13"/>
      <c r="S22"/>
      <c r="T22"/>
      <c r="U22"/>
    </row>
    <row r="23" spans="1:21" ht="15" x14ac:dyDescent="0.25">
      <c r="A23" s="16">
        <f t="shared" si="1"/>
        <v>16</v>
      </c>
      <c r="B23" s="15" t="s">
        <v>332</v>
      </c>
      <c r="C23" s="213" t="s">
        <v>333</v>
      </c>
      <c r="D23" s="6">
        <f>+'UE-180280 Compliance ECOS '!K70</f>
        <v>203194457.72693482</v>
      </c>
      <c r="E23" s="70">
        <f>+D23/$D$35</f>
        <v>2.13760607940604E-2</v>
      </c>
      <c r="G23" s="6">
        <f>+E23*$G$37</f>
        <v>961749.79162292939</v>
      </c>
      <c r="H23" s="47">
        <f>+E23*$H$37</f>
        <v>306846.81553658366</v>
      </c>
      <c r="I23" s="6">
        <f>SUM(G23:H23)</f>
        <v>1268596.607159513</v>
      </c>
      <c r="J23" s="6"/>
      <c r="K23" s="5">
        <f>SUM('Projected Revenue on F2019'!C27,'Projected Revenue on F2019'!C37)</f>
        <v>609719000</v>
      </c>
      <c r="L23" s="8"/>
      <c r="M23" s="38">
        <f>ROUND(G23/$K23,6)</f>
        <v>1.5770000000000001E-3</v>
      </c>
      <c r="N23" s="38">
        <f t="shared" si="9"/>
        <v>5.0299999999999997E-4</v>
      </c>
      <c r="O23" s="38">
        <f>SUM(M23:N23)</f>
        <v>2.0800000000000003E-3</v>
      </c>
      <c r="Q23" s="6">
        <f>+O23*K23-I23</f>
        <v>-381.08715951279737</v>
      </c>
      <c r="R23" s="56"/>
      <c r="S23"/>
      <c r="T23"/>
      <c r="U23"/>
    </row>
    <row r="24" spans="1:21" ht="15" x14ac:dyDescent="0.25">
      <c r="A24" s="16">
        <f t="shared" si="1"/>
        <v>17</v>
      </c>
      <c r="D24" s="13"/>
      <c r="E24" s="72"/>
      <c r="G24" s="13"/>
      <c r="H24" s="35"/>
      <c r="I24" s="13"/>
      <c r="J24" s="13"/>
      <c r="K24" s="9"/>
      <c r="L24" s="32"/>
      <c r="M24" s="36"/>
      <c r="N24" s="36"/>
      <c r="O24" s="36"/>
      <c r="Q24" s="13"/>
      <c r="S24"/>
      <c r="T24"/>
      <c r="U24"/>
    </row>
    <row r="25" spans="1:21" ht="15" x14ac:dyDescent="0.25">
      <c r="A25" s="16">
        <f t="shared" si="1"/>
        <v>18</v>
      </c>
      <c r="B25" s="12" t="s">
        <v>26</v>
      </c>
      <c r="C25" s="62" t="s">
        <v>71</v>
      </c>
      <c r="D25" s="6">
        <f>+'UE-180280 Compliance ECOS '!L70</f>
        <v>168505770.75160074</v>
      </c>
      <c r="E25" s="70">
        <f>+D25/$D$35</f>
        <v>1.7726810268500516E-2</v>
      </c>
      <c r="G25" s="6">
        <f>+E25*$G$37</f>
        <v>797563.04242018156</v>
      </c>
      <c r="H25" s="47">
        <f>+E25*$H$37</f>
        <v>254462.94024491185</v>
      </c>
      <c r="I25" s="6">
        <f>SUM(G25:H25)</f>
        <v>1052025.9826650934</v>
      </c>
      <c r="J25" s="6"/>
      <c r="K25" s="5">
        <f>SUM('Projected Revenue on F2019'!C29:C30)</f>
        <v>626957000</v>
      </c>
      <c r="L25" s="8"/>
      <c r="M25" s="38">
        <f>ROUND(G25/$K25,6)</f>
        <v>1.2719999999999999E-3</v>
      </c>
      <c r="N25" s="38">
        <f t="shared" si="9"/>
        <v>4.06E-4</v>
      </c>
      <c r="O25" s="38">
        <f>SUM(M25:N25)</f>
        <v>1.6779999999999998E-3</v>
      </c>
      <c r="Q25" s="6">
        <f>+O25*K25-I25</f>
        <v>7.863334906520322</v>
      </c>
      <c r="R25" s="56"/>
      <c r="S25"/>
      <c r="T25"/>
      <c r="U25"/>
    </row>
    <row r="26" spans="1:21" ht="15" x14ac:dyDescent="0.25">
      <c r="A26" s="16">
        <f t="shared" si="1"/>
        <v>19</v>
      </c>
      <c r="D26" s="13"/>
      <c r="E26" s="72"/>
      <c r="G26" s="13"/>
      <c r="H26" s="35"/>
      <c r="I26" s="13"/>
      <c r="J26" s="13"/>
      <c r="K26" s="9"/>
      <c r="L26" s="32"/>
      <c r="M26" s="36"/>
      <c r="N26" s="36"/>
      <c r="O26" s="36"/>
      <c r="Q26" s="13"/>
      <c r="S26"/>
      <c r="T26"/>
      <c r="U26"/>
    </row>
    <row r="27" spans="1:21" ht="15" x14ac:dyDescent="0.25">
      <c r="A27" s="16">
        <f t="shared" si="1"/>
        <v>20</v>
      </c>
      <c r="B27" s="12" t="s">
        <v>18</v>
      </c>
      <c r="C27" s="19" t="s">
        <v>19</v>
      </c>
      <c r="D27" s="6">
        <f>+'UE-180280 Compliance ECOS '!N70</f>
        <v>103623580.21183598</v>
      </c>
      <c r="E27" s="70">
        <f>+D27/$D$35</f>
        <v>1.0901202597184708E-2</v>
      </c>
      <c r="G27" s="6">
        <f>+E27*$G$37</f>
        <v>490465.92013786285</v>
      </c>
      <c r="H27" s="47">
        <f>+E27*$H$37</f>
        <v>156483.42950983334</v>
      </c>
      <c r="I27" s="6">
        <f>SUM(G27:H27)</f>
        <v>646949.34964769613</v>
      </c>
      <c r="J27" s="6"/>
      <c r="K27" s="5">
        <f>SUM('Projected Revenue on F2019'!C33)</f>
        <v>67926000</v>
      </c>
      <c r="L27" s="8"/>
      <c r="M27" s="38">
        <f>ROUND(G27/$K27,6)</f>
        <v>7.221E-3</v>
      </c>
      <c r="N27" s="38">
        <f t="shared" si="9"/>
        <v>2.3040000000000001E-3</v>
      </c>
      <c r="O27" s="38">
        <f>SUM(M27:N27)</f>
        <v>9.5250000000000005E-3</v>
      </c>
      <c r="Q27" s="6">
        <f>+O27*K27-I27</f>
        <v>45.800352303893305</v>
      </c>
      <c r="R27" s="56"/>
      <c r="S27"/>
      <c r="T27"/>
      <c r="U27"/>
    </row>
    <row r="28" spans="1:21" ht="15" x14ac:dyDescent="0.25">
      <c r="A28" s="16">
        <f t="shared" si="1"/>
        <v>21</v>
      </c>
      <c r="C28" s="19"/>
      <c r="D28" s="13"/>
      <c r="E28" s="72"/>
      <c r="G28" s="13"/>
      <c r="H28" s="35"/>
      <c r="I28" s="13"/>
      <c r="J28" s="13"/>
      <c r="K28" s="9"/>
      <c r="L28" s="32"/>
      <c r="M28" s="36"/>
      <c r="N28" s="36"/>
      <c r="O28" s="36"/>
      <c r="Q28" s="13"/>
      <c r="S28"/>
      <c r="T28"/>
      <c r="U28"/>
    </row>
    <row r="29" spans="1:21" ht="15" x14ac:dyDescent="0.25">
      <c r="A29" s="16">
        <f t="shared" si="1"/>
        <v>22</v>
      </c>
      <c r="B29" s="18" t="s">
        <v>23</v>
      </c>
      <c r="C29" s="21" t="s">
        <v>72</v>
      </c>
      <c r="D29" s="6">
        <f>+'UE-180280 Compliance ECOS '!M70</f>
        <v>8251261.5867248578</v>
      </c>
      <c r="E29" s="70">
        <f>+D29/$D$35</f>
        <v>8.6803287490525645E-4</v>
      </c>
      <c r="G29" s="6">
        <f>+E29*$G$37</f>
        <v>39054.456506502385</v>
      </c>
      <c r="H29" s="47">
        <f>+E29*$H$37</f>
        <v>12460.346460080853</v>
      </c>
      <c r="I29" s="6">
        <f>SUM(G29:H29)</f>
        <v>51514.802966583236</v>
      </c>
      <c r="J29" s="6"/>
      <c r="K29" s="5">
        <f>SUM('Projected Revenue on F2019'!C35)</f>
        <v>2036910000</v>
      </c>
      <c r="L29" s="8"/>
      <c r="M29" s="38">
        <f>ROUND(G29/$K29,6)</f>
        <v>1.9000000000000001E-5</v>
      </c>
      <c r="N29" s="38">
        <f t="shared" si="9"/>
        <v>6.0000000000000002E-6</v>
      </c>
      <c r="O29" s="38">
        <f>SUM(M29:N29)</f>
        <v>2.5000000000000001E-5</v>
      </c>
      <c r="Q29" s="6">
        <f>+O29*K29-I29</f>
        <v>-592.05296658323641</v>
      </c>
      <c r="R29" s="56"/>
      <c r="S29"/>
      <c r="T29"/>
      <c r="U29"/>
    </row>
    <row r="30" spans="1:21" ht="15" x14ac:dyDescent="0.25">
      <c r="A30" s="16">
        <f t="shared" si="1"/>
        <v>23</v>
      </c>
      <c r="D30" s="13"/>
      <c r="E30" s="72"/>
      <c r="G30" s="13"/>
      <c r="H30" s="35"/>
      <c r="I30" s="13"/>
      <c r="J30" s="13"/>
      <c r="K30" s="9"/>
      <c r="L30" s="32"/>
      <c r="M30" s="36"/>
      <c r="N30" s="36"/>
      <c r="O30" s="36"/>
      <c r="Q30" s="13"/>
      <c r="S30"/>
      <c r="T30"/>
      <c r="U30"/>
    </row>
    <row r="31" spans="1:21" ht="15.75" thickBot="1" x14ac:dyDescent="0.3">
      <c r="A31" s="16">
        <f t="shared" si="1"/>
        <v>24</v>
      </c>
      <c r="B31" s="15" t="s">
        <v>20</v>
      </c>
      <c r="D31" s="11">
        <f>SUM(D10,D16,D21,D23,D25,D27,D29)</f>
        <v>9502439475.7574692</v>
      </c>
      <c r="E31" s="73">
        <f>+D31/$D$35</f>
        <v>0.99965681248374683</v>
      </c>
      <c r="G31" s="11">
        <f>SUM(G10,G16,G21,G23,G25,G27,G29)</f>
        <v>44976468.787356153</v>
      </c>
      <c r="H31" s="49">
        <f>SUM(H10,H16,H21,H23,H25,H27,H29)</f>
        <v>14349767.831186244</v>
      </c>
      <c r="I31" s="11">
        <f>SUM(I10,I16,I21,I23,I25,I27,I29)</f>
        <v>59326236.618542396</v>
      </c>
      <c r="J31" s="11"/>
      <c r="K31" s="10">
        <f>SUM(K10,K16,K21,K23,K25,K27,K29)</f>
        <v>23239609000</v>
      </c>
      <c r="L31" s="8"/>
      <c r="M31" s="40">
        <f>ROUND(G31/$K31,6)</f>
        <v>1.9350000000000001E-3</v>
      </c>
      <c r="N31" s="40">
        <f t="shared" si="9"/>
        <v>6.1700000000000004E-4</v>
      </c>
      <c r="O31" s="40">
        <f>SUM(M31:N31)</f>
        <v>2.552E-3</v>
      </c>
      <c r="Q31" s="11">
        <f>SUM(Q10,Q16,Q21,Q23,Q25,Q27,Q29)</f>
        <v>466.85845759871154</v>
      </c>
      <c r="S31"/>
      <c r="T31"/>
      <c r="U31"/>
    </row>
    <row r="32" spans="1:21" ht="15.75" thickTop="1" x14ac:dyDescent="0.25">
      <c r="A32" s="16">
        <f t="shared" si="1"/>
        <v>25</v>
      </c>
      <c r="D32" s="17"/>
      <c r="E32" s="74"/>
      <c r="G32" s="17"/>
      <c r="H32" s="17"/>
      <c r="I32" s="17"/>
      <c r="J32" s="17"/>
      <c r="K32" s="33"/>
      <c r="L32" s="8"/>
      <c r="M32" s="61"/>
      <c r="N32" s="61"/>
      <c r="O32" s="61"/>
      <c r="Q32" s="17"/>
      <c r="S32"/>
      <c r="T32"/>
      <c r="U32"/>
    </row>
    <row r="33" spans="1:21" ht="15" x14ac:dyDescent="0.25">
      <c r="A33" s="16">
        <f t="shared" si="1"/>
        <v>26</v>
      </c>
      <c r="B33" s="15" t="s">
        <v>22</v>
      </c>
      <c r="D33" s="6">
        <f>+'UE-180280 Compliance ECOS '!O70</f>
        <v>3262238.1614442412</v>
      </c>
      <c r="E33" s="70">
        <f>+D33/$D$35</f>
        <v>3.4318751625326557E-4</v>
      </c>
      <c r="G33" s="6">
        <f>+E33*$G$37</f>
        <v>15440.66165529807</v>
      </c>
      <c r="H33" s="47">
        <f>+E33*$H$37</f>
        <v>4926.351843249091</v>
      </c>
      <c r="I33" s="6">
        <f>SUM(G33:H33)</f>
        <v>20367.01349854716</v>
      </c>
      <c r="J33" s="6"/>
      <c r="K33" s="5">
        <f>SUM('Projected Revenue on F2019'!C41)</f>
        <v>7409000</v>
      </c>
      <c r="L33" s="8"/>
      <c r="M33" s="38"/>
      <c r="N33" s="38"/>
      <c r="O33" s="38"/>
      <c r="Q33" s="6"/>
      <c r="R33" s="56"/>
      <c r="S33"/>
      <c r="T33"/>
      <c r="U33"/>
    </row>
    <row r="34" spans="1:21" ht="15" x14ac:dyDescent="0.25">
      <c r="A34" s="16">
        <f t="shared" si="1"/>
        <v>27</v>
      </c>
      <c r="D34" s="13"/>
      <c r="E34" s="72"/>
      <c r="G34" s="13"/>
      <c r="H34" s="35"/>
      <c r="I34" s="13"/>
      <c r="J34" s="13"/>
      <c r="K34" s="9"/>
      <c r="L34" s="32"/>
      <c r="M34" s="36"/>
      <c r="N34" s="36"/>
      <c r="O34" s="36"/>
      <c r="Q34" s="13"/>
      <c r="S34"/>
      <c r="T34"/>
      <c r="U34"/>
    </row>
    <row r="35" spans="1:21" ht="15.75" thickBot="1" x14ac:dyDescent="0.3">
      <c r="A35" s="16">
        <f t="shared" si="1"/>
        <v>28</v>
      </c>
      <c r="B35" s="15" t="s">
        <v>21</v>
      </c>
      <c r="D35" s="11">
        <f>SUM(D31,D33)</f>
        <v>9505701713.9189129</v>
      </c>
      <c r="E35" s="73">
        <f>SUM(E31,E33)</f>
        <v>1</v>
      </c>
      <c r="G35" s="11">
        <f>SUM(G31,G33)</f>
        <v>44991909.449011452</v>
      </c>
      <c r="H35" s="49">
        <f>SUM(H31,H33)</f>
        <v>14354694.183029493</v>
      </c>
      <c r="I35" s="11">
        <f>SUM(I31,I33)</f>
        <v>59346603.63204094</v>
      </c>
      <c r="J35" s="11"/>
      <c r="K35" s="10">
        <f>SUM(K31,K33)</f>
        <v>23247018000</v>
      </c>
      <c r="L35" s="8"/>
      <c r="M35" s="40">
        <f>ROUND(G35/$K35,6)</f>
        <v>1.9350000000000001E-3</v>
      </c>
      <c r="N35" s="40">
        <f t="shared" ref="N35" si="12">ROUND((H35)/$K35,6)</f>
        <v>6.1700000000000004E-4</v>
      </c>
      <c r="O35" s="40">
        <f>SUM(M35:N35)</f>
        <v>2.552E-3</v>
      </c>
      <c r="P35" s="56"/>
      <c r="Q35" s="11">
        <f>SUM(Q31,Q33)</f>
        <v>466.85845759871154</v>
      </c>
      <c r="R35" s="56"/>
      <c r="S35"/>
      <c r="T35"/>
      <c r="U35"/>
    </row>
    <row r="36" spans="1:21" ht="13.5" thickTop="1" x14ac:dyDescent="0.2">
      <c r="A36" s="16">
        <f t="shared" si="1"/>
        <v>29</v>
      </c>
      <c r="P36" s="57"/>
      <c r="R36" s="56"/>
    </row>
    <row r="37" spans="1:21" ht="13.5" thickBot="1" x14ac:dyDescent="0.25">
      <c r="A37" s="16">
        <f t="shared" si="1"/>
        <v>30</v>
      </c>
      <c r="B37" s="12" t="s">
        <v>76</v>
      </c>
      <c r="D37" s="13"/>
      <c r="G37" s="182">
        <f>+'2020 FINAL Rev Req'!H18</f>
        <v>44991909.449011452</v>
      </c>
      <c r="H37" s="182">
        <f>+'2020 FINAL Rev Req'!H19</f>
        <v>14354694.183029493</v>
      </c>
      <c r="I37" s="182">
        <f>SUM(G37:H37)</f>
        <v>59346603.632040948</v>
      </c>
    </row>
    <row r="38" spans="1:21" ht="13.5" thickTop="1" x14ac:dyDescent="0.2">
      <c r="G38" s="55" t="s">
        <v>5</v>
      </c>
      <c r="H38" s="55" t="s">
        <v>6</v>
      </c>
    </row>
  </sheetData>
  <mergeCells count="3">
    <mergeCell ref="A1:Q1"/>
    <mergeCell ref="A2:Q2"/>
    <mergeCell ref="A3:Q3"/>
  </mergeCells>
  <printOptions horizontalCentered="1"/>
  <pageMargins left="0.7" right="0.7" top="0.75" bottom="0.75" header="0.3" footer="0.3"/>
  <pageSetup scale="68" fitToHeight="0" orientation="landscape" r:id="rId1"/>
  <headerFooter alignWithMargins="0">
    <oddFooter xml:space="preserve">&amp;L&amp;F
&amp;A&amp;RPage 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C16" sqref="C16"/>
    </sheetView>
  </sheetViews>
  <sheetFormatPr defaultRowHeight="15" x14ac:dyDescent="0.25"/>
  <cols>
    <col min="1" max="1" width="7.28515625" bestFit="1" customWidth="1"/>
    <col min="2" max="2" width="39.28515625" bestFit="1" customWidth="1"/>
    <col min="3" max="3" width="13.5703125" bestFit="1" customWidth="1"/>
    <col min="4" max="5" width="10.7109375" bestFit="1" customWidth="1"/>
  </cols>
  <sheetData>
    <row r="1" spans="1:6" x14ac:dyDescent="0.25">
      <c r="A1" s="290" t="s">
        <v>0</v>
      </c>
      <c r="B1" s="290"/>
      <c r="C1" s="290"/>
      <c r="D1" s="290"/>
      <c r="E1" s="290"/>
    </row>
    <row r="2" spans="1:6" x14ac:dyDescent="0.25">
      <c r="A2" s="291" t="s">
        <v>317</v>
      </c>
      <c r="B2" s="290"/>
      <c r="C2" s="290"/>
      <c r="D2" s="290"/>
      <c r="E2" s="290"/>
    </row>
    <row r="3" spans="1:6" x14ac:dyDescent="0.25">
      <c r="A3" s="291" t="s">
        <v>318</v>
      </c>
      <c r="B3" s="290"/>
      <c r="C3" s="290"/>
      <c r="D3" s="290"/>
      <c r="E3" s="290"/>
    </row>
    <row r="4" spans="1:6" x14ac:dyDescent="0.25">
      <c r="A4" s="291" t="s">
        <v>343</v>
      </c>
      <c r="B4" s="290"/>
      <c r="C4" s="290"/>
      <c r="D4" s="290"/>
      <c r="E4" s="290"/>
    </row>
    <row r="5" spans="1:6" x14ac:dyDescent="0.25">
      <c r="A5" s="63"/>
      <c r="B5" s="63"/>
      <c r="C5" s="63"/>
      <c r="D5" s="63"/>
      <c r="E5" s="63"/>
    </row>
    <row r="6" spans="1:6" ht="30" x14ac:dyDescent="0.25">
      <c r="A6" s="190" t="s">
        <v>319</v>
      </c>
      <c r="B6" s="191" t="s">
        <v>320</v>
      </c>
      <c r="C6" s="192" t="s">
        <v>37</v>
      </c>
      <c r="D6" s="192" t="s">
        <v>321</v>
      </c>
      <c r="E6" s="193" t="s">
        <v>322</v>
      </c>
    </row>
    <row r="7" spans="1:6" x14ac:dyDescent="0.25">
      <c r="A7" s="175">
        <v>1</v>
      </c>
      <c r="B7" s="215" t="s">
        <v>344</v>
      </c>
      <c r="C7" s="194">
        <f>SUM(D7:E7)</f>
        <v>51514.802966583236</v>
      </c>
      <c r="D7" s="194">
        <f>+'FINAL 2020 Prop Tax Rate Des'!G29</f>
        <v>39054.456506502385</v>
      </c>
      <c r="E7" s="194">
        <f>+'FINAL 2020 Prop Tax Rate Des'!H29</f>
        <v>12460.346460080853</v>
      </c>
    </row>
    <row r="8" spans="1:6" x14ac:dyDescent="0.25">
      <c r="A8" s="175">
        <f t="shared" ref="A8:A10" si="0">+A7+1</f>
        <v>2</v>
      </c>
      <c r="B8" s="215" t="s">
        <v>345</v>
      </c>
      <c r="C8" s="195">
        <f>+F28</f>
        <v>3578551.6056658165</v>
      </c>
      <c r="D8" s="196"/>
      <c r="E8" s="196"/>
    </row>
    <row r="9" spans="1:6" x14ac:dyDescent="0.25">
      <c r="A9" s="175">
        <f t="shared" si="0"/>
        <v>3</v>
      </c>
      <c r="B9" s="63" t="s">
        <v>323</v>
      </c>
      <c r="C9" s="197">
        <f>SUM(D9:E9)</f>
        <v>1.3999999999999999E-2</v>
      </c>
      <c r="D9" s="197">
        <f>ROUND(D7/$C$8,3)</f>
        <v>1.0999999999999999E-2</v>
      </c>
      <c r="E9" s="197">
        <f>ROUND(E7/$C$8,3)</f>
        <v>3.0000000000000001E-3</v>
      </c>
    </row>
    <row r="10" spans="1:6" x14ac:dyDescent="0.25">
      <c r="A10" s="175">
        <f t="shared" si="0"/>
        <v>4</v>
      </c>
      <c r="B10" s="63"/>
      <c r="C10" s="63"/>
      <c r="D10" s="63"/>
      <c r="E10" s="63"/>
    </row>
    <row r="11" spans="1:6" x14ac:dyDescent="0.25">
      <c r="A11" s="63"/>
      <c r="B11" s="63"/>
      <c r="C11" s="63"/>
      <c r="D11" s="63"/>
      <c r="E11" s="63"/>
    </row>
    <row r="12" spans="1:6" ht="21" x14ac:dyDescent="0.35">
      <c r="A12" s="292" t="s">
        <v>346</v>
      </c>
      <c r="B12" s="293"/>
      <c r="C12" s="293"/>
      <c r="D12" s="293"/>
      <c r="E12" s="293"/>
      <c r="F12" s="294"/>
    </row>
    <row r="13" spans="1:6" ht="21" x14ac:dyDescent="0.35">
      <c r="A13" s="287" t="s">
        <v>347</v>
      </c>
      <c r="B13" s="288"/>
      <c r="C13" s="288"/>
      <c r="D13" s="288"/>
      <c r="E13" s="288"/>
      <c r="F13" s="289"/>
    </row>
    <row r="14" spans="1:6" ht="15.75" x14ac:dyDescent="0.25">
      <c r="A14" s="198"/>
      <c r="B14" s="199"/>
      <c r="C14" s="199"/>
      <c r="D14" s="199"/>
      <c r="E14" s="199"/>
      <c r="F14" s="200"/>
    </row>
    <row r="15" spans="1:6" x14ac:dyDescent="0.25">
      <c r="A15" s="201" t="s">
        <v>324</v>
      </c>
      <c r="B15" s="202" t="s">
        <v>36</v>
      </c>
      <c r="C15" s="201" t="s">
        <v>325</v>
      </c>
      <c r="D15" s="203" t="s">
        <v>326</v>
      </c>
      <c r="E15" s="203" t="s">
        <v>327</v>
      </c>
      <c r="F15" s="202" t="s">
        <v>37</v>
      </c>
    </row>
    <row r="16" spans="1:6" x14ac:dyDescent="0.25">
      <c r="A16" s="204">
        <v>2020</v>
      </c>
      <c r="B16" s="205">
        <v>5</v>
      </c>
      <c r="C16" s="246">
        <f>+'F2019 Demand Forecast'!X23</f>
        <v>9873.0654899373021</v>
      </c>
      <c r="D16" s="247">
        <f>+'F2019 Demand Forecast'!Y23</f>
        <v>244041.77668380635</v>
      </c>
      <c r="E16" s="248">
        <f>+'F2019 Demand Forecast'!Z23</f>
        <v>44357.397502950655</v>
      </c>
      <c r="F16" s="206">
        <f t="shared" ref="F16:F27" si="1">SUM(C16:E16)</f>
        <v>298272.23967669427</v>
      </c>
    </row>
    <row r="17" spans="1:6" x14ac:dyDescent="0.25">
      <c r="A17" s="204"/>
      <c r="B17" s="205">
        <v>6</v>
      </c>
      <c r="C17" s="242">
        <f>+'F2019 Demand Forecast'!X24</f>
        <v>9770.3387880445789</v>
      </c>
      <c r="D17" s="243">
        <f>+'F2019 Demand Forecast'!Y24</f>
        <v>229174.57885052569</v>
      </c>
      <c r="E17" s="249">
        <f>+'F2019 Demand Forecast'!Z24</f>
        <v>44785.262342792441</v>
      </c>
      <c r="F17" s="206">
        <f t="shared" si="1"/>
        <v>283730.17998136271</v>
      </c>
    </row>
    <row r="18" spans="1:6" x14ac:dyDescent="0.25">
      <c r="A18" s="204"/>
      <c r="B18" s="205">
        <v>7</v>
      </c>
      <c r="C18" s="242">
        <f>+'F2019 Demand Forecast'!X25</f>
        <v>10111.98818477142</v>
      </c>
      <c r="D18" s="243">
        <f>+'F2019 Demand Forecast'!Y25</f>
        <v>242688.65205928616</v>
      </c>
      <c r="E18" s="249">
        <f>+'F2019 Demand Forecast'!Z25</f>
        <v>46581.618274752553</v>
      </c>
      <c r="F18" s="206">
        <f t="shared" si="1"/>
        <v>299382.25851881015</v>
      </c>
    </row>
    <row r="19" spans="1:6" x14ac:dyDescent="0.25">
      <c r="A19" s="204"/>
      <c r="B19" s="205">
        <v>8</v>
      </c>
      <c r="C19" s="242">
        <f>+'F2019 Demand Forecast'!X26</f>
        <v>10187.600287114832</v>
      </c>
      <c r="D19" s="243">
        <f>+'F2019 Demand Forecast'!Y26</f>
        <v>239871.65180107072</v>
      </c>
      <c r="E19" s="249">
        <f>+'F2019 Demand Forecast'!Z26</f>
        <v>45649.589382747545</v>
      </c>
      <c r="F19" s="206">
        <f t="shared" si="1"/>
        <v>295708.84147093311</v>
      </c>
    </row>
    <row r="20" spans="1:6" x14ac:dyDescent="0.25">
      <c r="A20" s="204"/>
      <c r="B20" s="205">
        <v>9</v>
      </c>
      <c r="C20" s="242">
        <f>+'F2019 Demand Forecast'!X27</f>
        <v>9898.8010145567077</v>
      </c>
      <c r="D20" s="243">
        <f>+'F2019 Demand Forecast'!Y27</f>
        <v>245448.02630767823</v>
      </c>
      <c r="E20" s="249">
        <f>+'F2019 Demand Forecast'!Z27</f>
        <v>53009.270384888609</v>
      </c>
      <c r="F20" s="206">
        <f t="shared" si="1"/>
        <v>308356.09770712355</v>
      </c>
    </row>
    <row r="21" spans="1:6" x14ac:dyDescent="0.25">
      <c r="A21" s="204"/>
      <c r="B21" s="205">
        <v>10</v>
      </c>
      <c r="C21" s="242">
        <f>+'F2019 Demand Forecast'!X28</f>
        <v>9623.509321750038</v>
      </c>
      <c r="D21" s="243">
        <f>+'F2019 Demand Forecast'!Y28</f>
        <v>233898.83510375154</v>
      </c>
      <c r="E21" s="249">
        <f>+'F2019 Demand Forecast'!Z28</f>
        <v>52172.239367814189</v>
      </c>
      <c r="F21" s="206">
        <f t="shared" si="1"/>
        <v>295694.58379331575</v>
      </c>
    </row>
    <row r="22" spans="1:6" x14ac:dyDescent="0.25">
      <c r="A22" s="204"/>
      <c r="B22" s="205">
        <v>11</v>
      </c>
      <c r="C22" s="242">
        <f>+'F2019 Demand Forecast'!X29</f>
        <v>9984.0889067075659</v>
      </c>
      <c r="D22" s="243">
        <f>+'F2019 Demand Forecast'!Y29</f>
        <v>236087.25909175561</v>
      </c>
      <c r="E22" s="249">
        <f>+'F2019 Demand Forecast'!Z29</f>
        <v>49871.636763083698</v>
      </c>
      <c r="F22" s="206">
        <f t="shared" si="1"/>
        <v>295942.98476154689</v>
      </c>
    </row>
    <row r="23" spans="1:6" x14ac:dyDescent="0.25">
      <c r="A23" s="207"/>
      <c r="B23" s="208">
        <v>12</v>
      </c>
      <c r="C23" s="244">
        <f>+'F2019 Demand Forecast'!X30</f>
        <v>9481.8468089296512</v>
      </c>
      <c r="D23" s="245">
        <f>+'F2019 Demand Forecast'!Y30</f>
        <v>235888.7807504496</v>
      </c>
      <c r="E23" s="250">
        <f>+'F2019 Demand Forecast'!Z30</f>
        <v>45729.387877966423</v>
      </c>
      <c r="F23" s="210">
        <f t="shared" si="1"/>
        <v>291100.01543734572</v>
      </c>
    </row>
    <row r="24" spans="1:6" x14ac:dyDescent="0.25">
      <c r="A24" s="204">
        <v>2021</v>
      </c>
      <c r="B24" s="205">
        <v>1</v>
      </c>
      <c r="C24" s="242">
        <f>+'F2019 Demand Forecast'!X31</f>
        <v>10175.196544411068</v>
      </c>
      <c r="D24" s="243">
        <f>+'F2019 Demand Forecast'!Y31</f>
        <v>233503.89902610634</v>
      </c>
      <c r="E24" s="249">
        <f>+'F2019 Demand Forecast'!Z31</f>
        <v>44312.740499949658</v>
      </c>
      <c r="F24" s="206">
        <f t="shared" si="1"/>
        <v>287991.83607046708</v>
      </c>
    </row>
    <row r="25" spans="1:6" x14ac:dyDescent="0.25">
      <c r="A25" s="204"/>
      <c r="B25" s="205">
        <v>2</v>
      </c>
      <c r="C25" s="242">
        <f>+'F2019 Demand Forecast'!X32</f>
        <v>10755.174012809044</v>
      </c>
      <c r="D25" s="243">
        <f>+'F2019 Demand Forecast'!Y32</f>
        <v>252860.48215042945</v>
      </c>
      <c r="E25" s="249">
        <f>+'F2019 Demand Forecast'!Z32</f>
        <v>47525.18488925149</v>
      </c>
      <c r="F25" s="206">
        <f t="shared" si="1"/>
        <v>311140.84105249</v>
      </c>
    </row>
    <row r="26" spans="1:6" x14ac:dyDescent="0.25">
      <c r="A26" s="204"/>
      <c r="B26" s="205">
        <v>3</v>
      </c>
      <c r="C26" s="242">
        <f>+'F2019 Demand Forecast'!X33</f>
        <v>9870.137692361317</v>
      </c>
      <c r="D26" s="243">
        <f>+'F2019 Demand Forecast'!Y33</f>
        <v>245001.59361781256</v>
      </c>
      <c r="E26" s="249">
        <f>+'F2019 Demand Forecast'!Z33</f>
        <v>45076.973260194129</v>
      </c>
      <c r="F26" s="206">
        <f t="shared" si="1"/>
        <v>299948.70457036799</v>
      </c>
    </row>
    <row r="27" spans="1:6" x14ac:dyDescent="0.25">
      <c r="A27" s="207"/>
      <c r="B27" s="208">
        <v>4</v>
      </c>
      <c r="C27" s="244">
        <f>+'F2019 Demand Forecast'!X34</f>
        <v>9853.8518396015388</v>
      </c>
      <c r="D27" s="245">
        <f>+'F2019 Demand Forecast'!Y34</f>
        <v>257016.7253532047</v>
      </c>
      <c r="E27" s="250">
        <f>+'F2019 Demand Forecast'!Z34</f>
        <v>44412.445432553024</v>
      </c>
      <c r="F27" s="210">
        <f t="shared" si="1"/>
        <v>311283.02262535924</v>
      </c>
    </row>
    <row r="28" spans="1:6" x14ac:dyDescent="0.25">
      <c r="A28" s="211"/>
      <c r="B28" s="78" t="s">
        <v>37</v>
      </c>
      <c r="C28" s="209">
        <f>SUM(C16:C27)</f>
        <v>119585.59889099507</v>
      </c>
      <c r="D28" s="209">
        <f>SUM(D16:D27)</f>
        <v>2895482.2607958768</v>
      </c>
      <c r="E28" s="209">
        <f>SUM(E16:E27)</f>
        <v>563483.74597894435</v>
      </c>
      <c r="F28" s="210">
        <f>SUM(F16:F27)</f>
        <v>3578551.6056658165</v>
      </c>
    </row>
  </sheetData>
  <mergeCells count="6">
    <mergeCell ref="A13:F13"/>
    <mergeCell ref="A1:E1"/>
    <mergeCell ref="A2:E2"/>
    <mergeCell ref="A3:E3"/>
    <mergeCell ref="A4:E4"/>
    <mergeCell ref="A12:F12"/>
  </mergeCells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74" activePane="bottomRight" state="frozen"/>
      <selection activeCell="E8" sqref="E8"/>
      <selection pane="topRight" activeCell="E8" sqref="E8"/>
      <selection pane="bottomLeft" activeCell="E8" sqref="E8"/>
      <selection pane="bottomRight" activeCell="N55" sqref="N55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7" width="12.85546875" customWidth="1"/>
    <col min="8" max="8" width="11.28515625" bestFit="1" customWidth="1"/>
    <col min="9" max="10" width="14.5703125" customWidth="1"/>
    <col min="11" max="11" width="11.28515625" bestFit="1" customWidth="1"/>
  </cols>
  <sheetData>
    <row r="1" spans="1:11" x14ac:dyDescent="0.2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x14ac:dyDescent="0.25">
      <c r="A2" s="295" t="s">
        <v>146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x14ac:dyDescent="0.25">
      <c r="A3" s="296" t="s">
        <v>399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1" x14ac:dyDescent="0.25">
      <c r="A4" s="296" t="s">
        <v>395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1" x14ac:dyDescent="0.25">
      <c r="A5" s="140"/>
      <c r="B5" s="285"/>
      <c r="C5" s="285"/>
      <c r="D5" s="285"/>
      <c r="E5" s="285"/>
      <c r="F5" s="285"/>
      <c r="G5" s="285"/>
      <c r="H5" s="141"/>
      <c r="I5" s="141"/>
      <c r="J5" s="141"/>
      <c r="K5" s="141"/>
    </row>
    <row r="6" spans="1:11" ht="77.25" x14ac:dyDescent="0.25">
      <c r="A6" s="28" t="s">
        <v>1</v>
      </c>
      <c r="B6" s="28" t="s">
        <v>3</v>
      </c>
      <c r="C6" s="28" t="s">
        <v>80</v>
      </c>
      <c r="D6" s="28" t="s">
        <v>147</v>
      </c>
      <c r="E6" s="27" t="s">
        <v>396</v>
      </c>
      <c r="F6" s="27" t="s">
        <v>397</v>
      </c>
      <c r="G6" s="27" t="s">
        <v>398</v>
      </c>
      <c r="H6" s="27" t="s">
        <v>403</v>
      </c>
      <c r="I6" s="27" t="s">
        <v>402</v>
      </c>
      <c r="J6" s="27" t="s">
        <v>401</v>
      </c>
      <c r="K6" s="27" t="s">
        <v>400</v>
      </c>
    </row>
    <row r="7" spans="1:11" x14ac:dyDescent="0.25">
      <c r="A7" s="140"/>
      <c r="B7" s="142"/>
      <c r="C7" s="142"/>
      <c r="D7" s="143"/>
      <c r="E7" s="142" t="s">
        <v>32</v>
      </c>
      <c r="F7" s="142" t="s">
        <v>31</v>
      </c>
      <c r="G7" s="143" t="s">
        <v>30</v>
      </c>
      <c r="H7" s="164" t="s">
        <v>34</v>
      </c>
      <c r="I7" s="164" t="s">
        <v>33</v>
      </c>
      <c r="J7" s="164" t="s">
        <v>29</v>
      </c>
      <c r="K7" s="164" t="s">
        <v>141</v>
      </c>
    </row>
    <row r="8" spans="1:11" x14ac:dyDescent="0.25">
      <c r="A8" s="140"/>
      <c r="B8" s="142"/>
      <c r="C8" s="142"/>
      <c r="D8" s="143"/>
      <c r="E8" s="143"/>
      <c r="F8" s="143"/>
      <c r="G8" s="24" t="s">
        <v>195</v>
      </c>
      <c r="H8" s="141"/>
      <c r="I8" s="144" t="s">
        <v>404</v>
      </c>
      <c r="J8" s="144" t="s">
        <v>405</v>
      </c>
      <c r="K8" s="24" t="s">
        <v>196</v>
      </c>
    </row>
    <row r="9" spans="1:11" x14ac:dyDescent="0.25">
      <c r="A9" s="140">
        <v>1</v>
      </c>
      <c r="B9" s="145" t="s">
        <v>148</v>
      </c>
      <c r="C9" s="145"/>
      <c r="D9" s="145"/>
      <c r="E9" s="145"/>
      <c r="F9" s="145"/>
      <c r="G9" s="146"/>
      <c r="H9" s="141"/>
      <c r="I9" s="141"/>
      <c r="J9" s="141"/>
      <c r="K9" s="141"/>
    </row>
    <row r="10" spans="1:11" x14ac:dyDescent="0.25">
      <c r="A10" s="140">
        <f>A9+1</f>
        <v>2</v>
      </c>
      <c r="B10" s="147" t="s">
        <v>149</v>
      </c>
      <c r="C10" s="148" t="s">
        <v>150</v>
      </c>
      <c r="D10" s="149">
        <v>22</v>
      </c>
      <c r="E10" s="150">
        <v>0.01</v>
      </c>
      <c r="F10" s="150">
        <v>0</v>
      </c>
      <c r="G10" s="150">
        <f>SUM(E10:F10)</f>
        <v>0.01</v>
      </c>
      <c r="H10" s="151">
        <v>708</v>
      </c>
      <c r="I10" s="152">
        <f>ROUND($H10*E10,0)</f>
        <v>7</v>
      </c>
      <c r="J10" s="152">
        <f>ROUND($H10*F10,0)</f>
        <v>0</v>
      </c>
      <c r="K10" s="152">
        <f>SUM(I10:J10)</f>
        <v>7</v>
      </c>
    </row>
    <row r="11" spans="1:11" x14ac:dyDescent="0.25">
      <c r="A11" s="140">
        <f t="shared" ref="A11:A74" si="0">A10+1</f>
        <v>3</v>
      </c>
      <c r="B11" s="25"/>
      <c r="C11" s="143"/>
      <c r="D11" s="24"/>
      <c r="E11" s="146"/>
      <c r="F11" s="146"/>
      <c r="G11" s="146"/>
      <c r="H11" s="151"/>
      <c r="I11" s="151"/>
      <c r="J11" s="151"/>
      <c r="K11" s="141"/>
    </row>
    <row r="12" spans="1:11" x14ac:dyDescent="0.25">
      <c r="A12" s="140">
        <f t="shared" si="0"/>
        <v>4</v>
      </c>
      <c r="B12" s="147" t="s">
        <v>151</v>
      </c>
      <c r="C12" s="153" t="s">
        <v>81</v>
      </c>
      <c r="D12" s="154">
        <v>100</v>
      </c>
      <c r="E12" s="150">
        <v>0.05</v>
      </c>
      <c r="F12" s="150">
        <v>0.01</v>
      </c>
      <c r="G12" s="150">
        <f t="shared" ref="G12:G18" si="1">SUM(E12:F12)</f>
        <v>6.0000000000000005E-2</v>
      </c>
      <c r="H12" s="151">
        <v>36</v>
      </c>
      <c r="I12" s="152">
        <f t="shared" ref="I12:I18" si="2">ROUND($H12*E12,0)</f>
        <v>2</v>
      </c>
      <c r="J12" s="152">
        <f t="shared" ref="J12:J18" si="3">ROUND($H12*F12,0)</f>
        <v>0</v>
      </c>
      <c r="K12" s="152">
        <f t="shared" ref="K12:K18" si="4">SUM(I12:J12)</f>
        <v>2</v>
      </c>
    </row>
    <row r="13" spans="1:11" x14ac:dyDescent="0.25">
      <c r="A13" s="140">
        <f t="shared" si="0"/>
        <v>5</v>
      </c>
      <c r="B13" s="147" t="str">
        <f>+B12</f>
        <v>50E-A</v>
      </c>
      <c r="C13" s="153" t="str">
        <f>+C12</f>
        <v>Mercury Vapor</v>
      </c>
      <c r="D13" s="154">
        <v>175</v>
      </c>
      <c r="E13" s="150">
        <v>0.08</v>
      </c>
      <c r="F13" s="150">
        <v>0.03</v>
      </c>
      <c r="G13" s="150">
        <f t="shared" si="1"/>
        <v>0.11</v>
      </c>
      <c r="H13" s="151">
        <v>228</v>
      </c>
      <c r="I13" s="152">
        <f t="shared" si="2"/>
        <v>18</v>
      </c>
      <c r="J13" s="152">
        <f t="shared" si="3"/>
        <v>7</v>
      </c>
      <c r="K13" s="152">
        <f t="shared" si="4"/>
        <v>25</v>
      </c>
    </row>
    <row r="14" spans="1:11" x14ac:dyDescent="0.25">
      <c r="A14" s="140">
        <f t="shared" si="0"/>
        <v>6</v>
      </c>
      <c r="B14" s="147" t="str">
        <f>+B13</f>
        <v>50E-A</v>
      </c>
      <c r="C14" s="153" t="str">
        <f>+C13</f>
        <v>Mercury Vapor</v>
      </c>
      <c r="D14" s="154">
        <v>400</v>
      </c>
      <c r="E14" s="150">
        <v>0.19</v>
      </c>
      <c r="F14" s="150">
        <v>0.06</v>
      </c>
      <c r="G14" s="150">
        <f t="shared" si="1"/>
        <v>0.25</v>
      </c>
      <c r="H14" s="151">
        <v>240</v>
      </c>
      <c r="I14" s="152">
        <f t="shared" si="2"/>
        <v>46</v>
      </c>
      <c r="J14" s="152">
        <f t="shared" si="3"/>
        <v>14</v>
      </c>
      <c r="K14" s="152">
        <f t="shared" si="4"/>
        <v>60</v>
      </c>
    </row>
    <row r="15" spans="1:11" x14ac:dyDescent="0.25">
      <c r="A15" s="140">
        <f t="shared" si="0"/>
        <v>7</v>
      </c>
      <c r="B15" s="147" t="s">
        <v>152</v>
      </c>
      <c r="C15" s="153" t="str">
        <f>+C14</f>
        <v>Mercury Vapor</v>
      </c>
      <c r="D15" s="154">
        <v>100</v>
      </c>
      <c r="E15" s="150">
        <v>0.05</v>
      </c>
      <c r="F15" s="150">
        <v>0.01</v>
      </c>
      <c r="G15" s="150">
        <f t="shared" si="1"/>
        <v>6.0000000000000005E-2</v>
      </c>
      <c r="H15" s="151">
        <v>0</v>
      </c>
      <c r="I15" s="152">
        <f t="shared" si="2"/>
        <v>0</v>
      </c>
      <c r="J15" s="152">
        <f t="shared" si="3"/>
        <v>0</v>
      </c>
      <c r="K15" s="152">
        <f t="shared" si="4"/>
        <v>0</v>
      </c>
    </row>
    <row r="16" spans="1:11" x14ac:dyDescent="0.25">
      <c r="A16" s="140">
        <f t="shared" si="0"/>
        <v>8</v>
      </c>
      <c r="B16" s="147" t="str">
        <f t="shared" ref="B16:C18" si="5">+B15</f>
        <v>50E-B</v>
      </c>
      <c r="C16" s="153" t="str">
        <f t="shared" si="5"/>
        <v>Mercury Vapor</v>
      </c>
      <c r="D16" s="154">
        <v>175</v>
      </c>
      <c r="E16" s="150">
        <v>0.08</v>
      </c>
      <c r="F16" s="150">
        <v>0.03</v>
      </c>
      <c r="G16" s="150">
        <f t="shared" si="1"/>
        <v>0.11</v>
      </c>
      <c r="H16" s="151">
        <v>12</v>
      </c>
      <c r="I16" s="152">
        <f t="shared" si="2"/>
        <v>1</v>
      </c>
      <c r="J16" s="152">
        <f t="shared" si="3"/>
        <v>0</v>
      </c>
      <c r="K16" s="152">
        <f t="shared" si="4"/>
        <v>1</v>
      </c>
    </row>
    <row r="17" spans="1:11" x14ac:dyDescent="0.25">
      <c r="A17" s="140">
        <f t="shared" si="0"/>
        <v>9</v>
      </c>
      <c r="B17" s="147" t="str">
        <f t="shared" si="5"/>
        <v>50E-B</v>
      </c>
      <c r="C17" s="153" t="str">
        <f t="shared" si="5"/>
        <v>Mercury Vapor</v>
      </c>
      <c r="D17" s="154">
        <v>400</v>
      </c>
      <c r="E17" s="150">
        <v>0.19</v>
      </c>
      <c r="F17" s="150">
        <v>0.06</v>
      </c>
      <c r="G17" s="150">
        <f t="shared" si="1"/>
        <v>0.25</v>
      </c>
      <c r="H17" s="151">
        <v>0</v>
      </c>
      <c r="I17" s="152">
        <f t="shared" si="2"/>
        <v>0</v>
      </c>
      <c r="J17" s="152">
        <f t="shared" si="3"/>
        <v>0</v>
      </c>
      <c r="K17" s="152">
        <f t="shared" si="4"/>
        <v>0</v>
      </c>
    </row>
    <row r="18" spans="1:11" x14ac:dyDescent="0.25">
      <c r="A18" s="140">
        <f t="shared" si="0"/>
        <v>10</v>
      </c>
      <c r="B18" s="147" t="str">
        <f t="shared" si="5"/>
        <v>50E-B</v>
      </c>
      <c r="C18" s="153" t="str">
        <f t="shared" si="5"/>
        <v>Mercury Vapor</v>
      </c>
      <c r="D18" s="154">
        <v>700</v>
      </c>
      <c r="E18" s="150">
        <v>0.33</v>
      </c>
      <c r="F18" s="150">
        <v>0.11</v>
      </c>
      <c r="G18" s="150">
        <f t="shared" si="1"/>
        <v>0.44</v>
      </c>
      <c r="H18" s="151">
        <v>0</v>
      </c>
      <c r="I18" s="152">
        <f t="shared" si="2"/>
        <v>0</v>
      </c>
      <c r="J18" s="152">
        <f t="shared" si="3"/>
        <v>0</v>
      </c>
      <c r="K18" s="152">
        <f t="shared" si="4"/>
        <v>0</v>
      </c>
    </row>
    <row r="19" spans="1:11" x14ac:dyDescent="0.25">
      <c r="A19" s="140">
        <f t="shared" si="0"/>
        <v>11</v>
      </c>
      <c r="B19" s="155"/>
      <c r="C19" s="156"/>
      <c r="D19" s="145"/>
      <c r="E19" s="146"/>
      <c r="F19" s="146"/>
      <c r="G19" s="146"/>
      <c r="H19" s="151"/>
      <c r="I19" s="151"/>
      <c r="J19" s="151"/>
      <c r="K19" s="141"/>
    </row>
    <row r="20" spans="1:11" x14ac:dyDescent="0.25">
      <c r="A20" s="140">
        <f t="shared" si="0"/>
        <v>12</v>
      </c>
      <c r="B20" s="155" t="s">
        <v>153</v>
      </c>
      <c r="C20" s="156"/>
      <c r="D20" s="145"/>
      <c r="E20" s="146"/>
      <c r="F20" s="146"/>
      <c r="G20" s="146"/>
      <c r="H20" s="151"/>
      <c r="I20" s="151"/>
      <c r="J20" s="151"/>
      <c r="K20" s="141"/>
    </row>
    <row r="21" spans="1:11" x14ac:dyDescent="0.25">
      <c r="A21" s="140">
        <f t="shared" si="0"/>
        <v>13</v>
      </c>
      <c r="B21" s="147" t="s">
        <v>154</v>
      </c>
      <c r="C21" s="153" t="s">
        <v>155</v>
      </c>
      <c r="D21" s="284" t="s">
        <v>406</v>
      </c>
      <c r="E21" s="150">
        <v>0.02</v>
      </c>
      <c r="F21" s="150">
        <v>0.01</v>
      </c>
      <c r="G21" s="150">
        <f t="shared" ref="G21:G29" si="6">SUM(E21:F21)</f>
        <v>0.03</v>
      </c>
      <c r="H21" s="151">
        <v>34760</v>
      </c>
      <c r="I21" s="152">
        <f t="shared" ref="I21:I29" si="7">ROUND($H21*E21,0)</f>
        <v>695</v>
      </c>
      <c r="J21" s="152">
        <f t="shared" ref="J21:J29" si="8">ROUND($H21*F21,0)</f>
        <v>348</v>
      </c>
      <c r="K21" s="152">
        <f t="shared" ref="K21:K29" si="9">SUM(I21:J21)</f>
        <v>1043</v>
      </c>
    </row>
    <row r="22" spans="1:11" x14ac:dyDescent="0.25">
      <c r="A22" s="140">
        <f t="shared" si="0"/>
        <v>14</v>
      </c>
      <c r="B22" s="147" t="s">
        <v>154</v>
      </c>
      <c r="C22" s="153" t="s">
        <v>155</v>
      </c>
      <c r="D22" s="154" t="s">
        <v>157</v>
      </c>
      <c r="E22" s="150">
        <v>0.04</v>
      </c>
      <c r="F22" s="150">
        <v>0.01</v>
      </c>
      <c r="G22" s="150">
        <f t="shared" si="6"/>
        <v>0.05</v>
      </c>
      <c r="H22" s="151">
        <v>19542</v>
      </c>
      <c r="I22" s="152">
        <f t="shared" si="7"/>
        <v>782</v>
      </c>
      <c r="J22" s="152">
        <f t="shared" si="8"/>
        <v>195</v>
      </c>
      <c r="K22" s="152">
        <f t="shared" si="9"/>
        <v>977</v>
      </c>
    </row>
    <row r="23" spans="1:11" x14ac:dyDescent="0.25">
      <c r="A23" s="140">
        <f t="shared" si="0"/>
        <v>15</v>
      </c>
      <c r="B23" s="147" t="s">
        <v>154</v>
      </c>
      <c r="C23" s="153" t="s">
        <v>155</v>
      </c>
      <c r="D23" s="154" t="s">
        <v>158</v>
      </c>
      <c r="E23" s="150">
        <v>0.05</v>
      </c>
      <c r="F23" s="150">
        <v>0.02</v>
      </c>
      <c r="G23" s="150">
        <f t="shared" si="6"/>
        <v>7.0000000000000007E-2</v>
      </c>
      <c r="H23" s="151">
        <v>9840</v>
      </c>
      <c r="I23" s="152">
        <f t="shared" si="7"/>
        <v>492</v>
      </c>
      <c r="J23" s="152">
        <f t="shared" si="8"/>
        <v>197</v>
      </c>
      <c r="K23" s="152">
        <f t="shared" si="9"/>
        <v>689</v>
      </c>
    </row>
    <row r="24" spans="1:11" x14ac:dyDescent="0.25">
      <c r="A24" s="140">
        <f t="shared" si="0"/>
        <v>16</v>
      </c>
      <c r="B24" s="147" t="s">
        <v>154</v>
      </c>
      <c r="C24" s="153" t="s">
        <v>155</v>
      </c>
      <c r="D24" s="154" t="s">
        <v>159</v>
      </c>
      <c r="E24" s="150">
        <v>0.06</v>
      </c>
      <c r="F24" s="150">
        <v>0.02</v>
      </c>
      <c r="G24" s="150">
        <f t="shared" si="6"/>
        <v>0.08</v>
      </c>
      <c r="H24" s="151">
        <v>4244</v>
      </c>
      <c r="I24" s="152">
        <f t="shared" si="7"/>
        <v>255</v>
      </c>
      <c r="J24" s="152">
        <f t="shared" si="8"/>
        <v>85</v>
      </c>
      <c r="K24" s="152">
        <f t="shared" si="9"/>
        <v>340</v>
      </c>
    </row>
    <row r="25" spans="1:11" x14ac:dyDescent="0.25">
      <c r="A25" s="140">
        <f t="shared" si="0"/>
        <v>17</v>
      </c>
      <c r="B25" s="147" t="s">
        <v>154</v>
      </c>
      <c r="C25" s="153" t="s">
        <v>155</v>
      </c>
      <c r="D25" s="154" t="s">
        <v>160</v>
      </c>
      <c r="E25" s="150">
        <v>0.08</v>
      </c>
      <c r="F25" s="150">
        <v>0.02</v>
      </c>
      <c r="G25" s="150">
        <f t="shared" si="6"/>
        <v>0.1</v>
      </c>
      <c r="H25" s="151">
        <v>596</v>
      </c>
      <c r="I25" s="152">
        <f t="shared" si="7"/>
        <v>48</v>
      </c>
      <c r="J25" s="152">
        <f t="shared" si="8"/>
        <v>12</v>
      </c>
      <c r="K25" s="152">
        <f t="shared" si="9"/>
        <v>60</v>
      </c>
    </row>
    <row r="26" spans="1:11" x14ac:dyDescent="0.25">
      <c r="A26" s="140">
        <f t="shared" si="0"/>
        <v>18</v>
      </c>
      <c r="B26" s="147" t="s">
        <v>154</v>
      </c>
      <c r="C26" s="153" t="s">
        <v>155</v>
      </c>
      <c r="D26" s="154" t="s">
        <v>161</v>
      </c>
      <c r="E26" s="150">
        <v>0.09</v>
      </c>
      <c r="F26" s="150">
        <v>0.03</v>
      </c>
      <c r="G26" s="150">
        <f t="shared" si="6"/>
        <v>0.12</v>
      </c>
      <c r="H26" s="151">
        <v>2413</v>
      </c>
      <c r="I26" s="152">
        <f t="shared" si="7"/>
        <v>217</v>
      </c>
      <c r="J26" s="152">
        <f t="shared" si="8"/>
        <v>72</v>
      </c>
      <c r="K26" s="152">
        <f t="shared" si="9"/>
        <v>289</v>
      </c>
    </row>
    <row r="27" spans="1:11" x14ac:dyDescent="0.25">
      <c r="A27" s="140">
        <f t="shared" si="0"/>
        <v>19</v>
      </c>
      <c r="B27" s="147" t="s">
        <v>154</v>
      </c>
      <c r="C27" s="153" t="s">
        <v>155</v>
      </c>
      <c r="D27" s="154" t="s">
        <v>162</v>
      </c>
      <c r="E27" s="150">
        <v>0.11</v>
      </c>
      <c r="F27" s="150">
        <v>0.03</v>
      </c>
      <c r="G27" s="150">
        <f t="shared" si="6"/>
        <v>0.14000000000000001</v>
      </c>
      <c r="H27" s="151">
        <v>405</v>
      </c>
      <c r="I27" s="152">
        <f t="shared" si="7"/>
        <v>45</v>
      </c>
      <c r="J27" s="152">
        <f t="shared" si="8"/>
        <v>12</v>
      </c>
      <c r="K27" s="152">
        <f t="shared" si="9"/>
        <v>57</v>
      </c>
    </row>
    <row r="28" spans="1:11" x14ac:dyDescent="0.25">
      <c r="A28" s="140">
        <f t="shared" si="0"/>
        <v>20</v>
      </c>
      <c r="B28" s="147" t="s">
        <v>154</v>
      </c>
      <c r="C28" s="153" t="s">
        <v>155</v>
      </c>
      <c r="D28" s="154" t="s">
        <v>163</v>
      </c>
      <c r="E28" s="150">
        <v>0.12</v>
      </c>
      <c r="F28" s="150">
        <v>0.04</v>
      </c>
      <c r="G28" s="150">
        <f t="shared" si="6"/>
        <v>0.16</v>
      </c>
      <c r="H28" s="151">
        <v>120</v>
      </c>
      <c r="I28" s="152">
        <f t="shared" si="7"/>
        <v>14</v>
      </c>
      <c r="J28" s="152">
        <f t="shared" si="8"/>
        <v>5</v>
      </c>
      <c r="K28" s="152">
        <f t="shared" si="9"/>
        <v>19</v>
      </c>
    </row>
    <row r="29" spans="1:11" x14ac:dyDescent="0.25">
      <c r="A29" s="140">
        <f t="shared" si="0"/>
        <v>21</v>
      </c>
      <c r="B29" s="147" t="s">
        <v>154</v>
      </c>
      <c r="C29" s="153" t="s">
        <v>155</v>
      </c>
      <c r="D29" s="154" t="s">
        <v>164</v>
      </c>
      <c r="E29" s="150">
        <v>0.14000000000000001</v>
      </c>
      <c r="F29" s="150">
        <v>0.04</v>
      </c>
      <c r="G29" s="150">
        <f t="shared" si="6"/>
        <v>0.18000000000000002</v>
      </c>
      <c r="H29" s="151">
        <v>925</v>
      </c>
      <c r="I29" s="152">
        <f t="shared" si="7"/>
        <v>130</v>
      </c>
      <c r="J29" s="152">
        <f t="shared" si="8"/>
        <v>37</v>
      </c>
      <c r="K29" s="152">
        <f t="shared" si="9"/>
        <v>167</v>
      </c>
    </row>
    <row r="30" spans="1:11" x14ac:dyDescent="0.25">
      <c r="A30" s="140">
        <f t="shared" si="0"/>
        <v>22</v>
      </c>
      <c r="B30" s="155"/>
      <c r="C30" s="145"/>
      <c r="D30" s="145"/>
      <c r="E30" s="146"/>
      <c r="F30" s="146"/>
      <c r="G30" s="146"/>
      <c r="H30" s="151"/>
      <c r="I30" s="151"/>
      <c r="J30" s="151"/>
      <c r="K30" s="141"/>
    </row>
    <row r="31" spans="1:11" x14ac:dyDescent="0.25">
      <c r="A31" s="140">
        <f t="shared" si="0"/>
        <v>23</v>
      </c>
      <c r="B31" s="155" t="s">
        <v>165</v>
      </c>
      <c r="C31" s="145"/>
      <c r="D31" s="145"/>
      <c r="E31" s="146"/>
      <c r="F31" s="146"/>
      <c r="G31" s="146"/>
      <c r="H31" s="151"/>
      <c r="I31" s="151"/>
      <c r="J31" s="151"/>
      <c r="K31" s="141"/>
    </row>
    <row r="32" spans="1:11" x14ac:dyDescent="0.25">
      <c r="A32" s="140">
        <f t="shared" si="0"/>
        <v>24</v>
      </c>
      <c r="B32" s="147" t="s">
        <v>166</v>
      </c>
      <c r="C32" s="8" t="s">
        <v>82</v>
      </c>
      <c r="D32" s="8">
        <v>50</v>
      </c>
      <c r="E32" s="150">
        <v>0.02</v>
      </c>
      <c r="F32" s="150">
        <v>0.01</v>
      </c>
      <c r="G32" s="150">
        <f t="shared" ref="G32:G39" si="10">SUM(E32:F32)</f>
        <v>0.03</v>
      </c>
      <c r="H32" s="151">
        <v>0</v>
      </c>
      <c r="I32" s="152">
        <f t="shared" ref="I32:I39" si="11">ROUND($H32*E32,0)</f>
        <v>0</v>
      </c>
      <c r="J32" s="152">
        <f t="shared" ref="J32:J39" si="12">ROUND($H32*F32,0)</f>
        <v>0</v>
      </c>
      <c r="K32" s="152">
        <f t="shared" ref="K32:K39" si="13">SUM(I32:J32)</f>
        <v>0</v>
      </c>
    </row>
    <row r="33" spans="1:11" x14ac:dyDescent="0.25">
      <c r="A33" s="140">
        <f t="shared" si="0"/>
        <v>25</v>
      </c>
      <c r="B33" s="147" t="str">
        <f t="shared" ref="B33:B39" si="14">+B32</f>
        <v xml:space="preserve">52E </v>
      </c>
      <c r="C33" s="8" t="s">
        <v>82</v>
      </c>
      <c r="D33" s="8">
        <v>70</v>
      </c>
      <c r="E33" s="150">
        <v>0.03</v>
      </c>
      <c r="F33" s="150">
        <v>0.01</v>
      </c>
      <c r="G33" s="150">
        <f t="shared" si="10"/>
        <v>0.04</v>
      </c>
      <c r="H33" s="151">
        <v>8494</v>
      </c>
      <c r="I33" s="152">
        <f t="shared" si="11"/>
        <v>255</v>
      </c>
      <c r="J33" s="152">
        <f t="shared" si="12"/>
        <v>85</v>
      </c>
      <c r="K33" s="152">
        <f t="shared" si="13"/>
        <v>340</v>
      </c>
    </row>
    <row r="34" spans="1:11" x14ac:dyDescent="0.25">
      <c r="A34" s="140">
        <f t="shared" si="0"/>
        <v>26</v>
      </c>
      <c r="B34" s="147" t="str">
        <f t="shared" si="14"/>
        <v xml:space="preserve">52E </v>
      </c>
      <c r="C34" s="8" t="s">
        <v>82</v>
      </c>
      <c r="D34" s="8">
        <v>100</v>
      </c>
      <c r="E34" s="150">
        <v>0.05</v>
      </c>
      <c r="F34" s="150">
        <v>0.01</v>
      </c>
      <c r="G34" s="150">
        <f t="shared" si="10"/>
        <v>6.0000000000000005E-2</v>
      </c>
      <c r="H34" s="151">
        <v>120885</v>
      </c>
      <c r="I34" s="152">
        <f t="shared" si="11"/>
        <v>6044</v>
      </c>
      <c r="J34" s="152">
        <f t="shared" si="12"/>
        <v>1209</v>
      </c>
      <c r="K34" s="152">
        <f t="shared" si="13"/>
        <v>7253</v>
      </c>
    </row>
    <row r="35" spans="1:11" x14ac:dyDescent="0.25">
      <c r="A35" s="140">
        <f t="shared" si="0"/>
        <v>27</v>
      </c>
      <c r="B35" s="147" t="str">
        <f t="shared" si="14"/>
        <v xml:space="preserve">52E </v>
      </c>
      <c r="C35" s="8" t="s">
        <v>82</v>
      </c>
      <c r="D35" s="8">
        <v>150</v>
      </c>
      <c r="E35" s="150">
        <v>7.0000000000000007E-2</v>
      </c>
      <c r="F35" s="150">
        <v>0.02</v>
      </c>
      <c r="G35" s="150">
        <f t="shared" si="10"/>
        <v>9.0000000000000011E-2</v>
      </c>
      <c r="H35" s="151">
        <v>55207</v>
      </c>
      <c r="I35" s="152">
        <f t="shared" si="11"/>
        <v>3864</v>
      </c>
      <c r="J35" s="152">
        <f t="shared" si="12"/>
        <v>1104</v>
      </c>
      <c r="K35" s="152">
        <f t="shared" si="13"/>
        <v>4968</v>
      </c>
    </row>
    <row r="36" spans="1:11" x14ac:dyDescent="0.25">
      <c r="A36" s="140">
        <f t="shared" si="0"/>
        <v>28</v>
      </c>
      <c r="B36" s="147" t="str">
        <f t="shared" si="14"/>
        <v xml:space="preserve">52E </v>
      </c>
      <c r="C36" s="8" t="s">
        <v>82</v>
      </c>
      <c r="D36" s="8">
        <v>200</v>
      </c>
      <c r="E36" s="150">
        <v>0.09</v>
      </c>
      <c r="F36" s="150">
        <v>0.03</v>
      </c>
      <c r="G36" s="150">
        <f t="shared" si="10"/>
        <v>0.12</v>
      </c>
      <c r="H36" s="151">
        <v>11890</v>
      </c>
      <c r="I36" s="152">
        <f t="shared" si="11"/>
        <v>1070</v>
      </c>
      <c r="J36" s="152">
        <f t="shared" si="12"/>
        <v>357</v>
      </c>
      <c r="K36" s="152">
        <f t="shared" si="13"/>
        <v>1427</v>
      </c>
    </row>
    <row r="37" spans="1:11" x14ac:dyDescent="0.25">
      <c r="A37" s="140">
        <f t="shared" si="0"/>
        <v>29</v>
      </c>
      <c r="B37" s="147" t="str">
        <f t="shared" si="14"/>
        <v xml:space="preserve">52E </v>
      </c>
      <c r="C37" s="8" t="s">
        <v>82</v>
      </c>
      <c r="D37" s="8">
        <v>250</v>
      </c>
      <c r="E37" s="150">
        <v>0.12</v>
      </c>
      <c r="F37" s="150">
        <v>0.04</v>
      </c>
      <c r="G37" s="150">
        <f t="shared" si="10"/>
        <v>0.16</v>
      </c>
      <c r="H37" s="151">
        <v>17377</v>
      </c>
      <c r="I37" s="152">
        <f t="shared" si="11"/>
        <v>2085</v>
      </c>
      <c r="J37" s="152">
        <f t="shared" si="12"/>
        <v>695</v>
      </c>
      <c r="K37" s="152">
        <f t="shared" si="13"/>
        <v>2780</v>
      </c>
    </row>
    <row r="38" spans="1:11" x14ac:dyDescent="0.25">
      <c r="A38" s="140">
        <f t="shared" si="0"/>
        <v>30</v>
      </c>
      <c r="B38" s="147" t="str">
        <f t="shared" si="14"/>
        <v xml:space="preserve">52E </v>
      </c>
      <c r="C38" s="8" t="s">
        <v>82</v>
      </c>
      <c r="D38" s="8">
        <v>310</v>
      </c>
      <c r="E38" s="150">
        <v>0.14000000000000001</v>
      </c>
      <c r="F38" s="150">
        <v>0.05</v>
      </c>
      <c r="G38" s="150">
        <f t="shared" si="10"/>
        <v>0.19</v>
      </c>
      <c r="H38" s="151">
        <v>1746</v>
      </c>
      <c r="I38" s="152">
        <f t="shared" si="11"/>
        <v>244</v>
      </c>
      <c r="J38" s="152">
        <f t="shared" si="12"/>
        <v>87</v>
      </c>
      <c r="K38" s="152">
        <f t="shared" si="13"/>
        <v>331</v>
      </c>
    </row>
    <row r="39" spans="1:11" x14ac:dyDescent="0.25">
      <c r="A39" s="140">
        <f t="shared" si="0"/>
        <v>31</v>
      </c>
      <c r="B39" s="147" t="str">
        <f t="shared" si="14"/>
        <v xml:space="preserve">52E </v>
      </c>
      <c r="C39" s="8" t="s">
        <v>82</v>
      </c>
      <c r="D39" s="8">
        <v>400</v>
      </c>
      <c r="E39" s="150">
        <v>0.19</v>
      </c>
      <c r="F39" s="150">
        <v>0.06</v>
      </c>
      <c r="G39" s="150">
        <f t="shared" si="10"/>
        <v>0.25</v>
      </c>
      <c r="H39" s="151">
        <v>7215</v>
      </c>
      <c r="I39" s="152">
        <f t="shared" si="11"/>
        <v>1371</v>
      </c>
      <c r="J39" s="152">
        <f t="shared" si="12"/>
        <v>433</v>
      </c>
      <c r="K39" s="152">
        <f t="shared" si="13"/>
        <v>1804</v>
      </c>
    </row>
    <row r="40" spans="1:11" x14ac:dyDescent="0.25">
      <c r="A40" s="140">
        <f t="shared" si="0"/>
        <v>32</v>
      </c>
      <c r="B40" s="157"/>
      <c r="C40" s="8"/>
      <c r="D40" s="8"/>
      <c r="E40" s="146"/>
      <c r="F40" s="146"/>
      <c r="G40" s="146"/>
      <c r="H40" s="151"/>
      <c r="I40" s="151"/>
      <c r="J40" s="151"/>
      <c r="K40" s="141"/>
    </row>
    <row r="41" spans="1:11" x14ac:dyDescent="0.25">
      <c r="A41" s="140">
        <f t="shared" si="0"/>
        <v>33</v>
      </c>
      <c r="B41" s="147" t="str">
        <f>+B36</f>
        <v xml:space="preserve">52E </v>
      </c>
      <c r="C41" s="8" t="s">
        <v>167</v>
      </c>
      <c r="D41" s="8">
        <v>70</v>
      </c>
      <c r="E41" s="150">
        <v>0.03</v>
      </c>
      <c r="F41" s="150">
        <v>0.01</v>
      </c>
      <c r="G41" s="150">
        <f t="shared" ref="G41:G47" si="15">SUM(E41:F41)</f>
        <v>0.04</v>
      </c>
      <c r="H41" s="151">
        <v>830</v>
      </c>
      <c r="I41" s="152">
        <f t="shared" ref="I41:I47" si="16">ROUND($H41*E41,0)</f>
        <v>25</v>
      </c>
      <c r="J41" s="152">
        <f t="shared" ref="J41:J47" si="17">ROUND($H41*F41,0)</f>
        <v>8</v>
      </c>
      <c r="K41" s="152">
        <f t="shared" ref="K41:K47" si="18">SUM(I41:J41)</f>
        <v>33</v>
      </c>
    </row>
    <row r="42" spans="1:11" x14ac:dyDescent="0.25">
      <c r="A42" s="140">
        <f t="shared" si="0"/>
        <v>34</v>
      </c>
      <c r="B42" s="147" t="str">
        <f>+B37</f>
        <v xml:space="preserve">52E </v>
      </c>
      <c r="C42" s="8" t="s">
        <v>167</v>
      </c>
      <c r="D42" s="8">
        <v>100</v>
      </c>
      <c r="E42" s="150">
        <v>0.05</v>
      </c>
      <c r="F42" s="150">
        <v>0.01</v>
      </c>
      <c r="G42" s="150">
        <f t="shared" si="15"/>
        <v>6.0000000000000005E-2</v>
      </c>
      <c r="H42" s="151">
        <v>44</v>
      </c>
      <c r="I42" s="152">
        <f t="shared" si="16"/>
        <v>2</v>
      </c>
      <c r="J42" s="152">
        <f t="shared" si="17"/>
        <v>0</v>
      </c>
      <c r="K42" s="152">
        <f t="shared" si="18"/>
        <v>2</v>
      </c>
    </row>
    <row r="43" spans="1:11" x14ac:dyDescent="0.25">
      <c r="A43" s="140">
        <f t="shared" si="0"/>
        <v>35</v>
      </c>
      <c r="B43" s="147" t="str">
        <f>+B38</f>
        <v xml:space="preserve">52E </v>
      </c>
      <c r="C43" s="8" t="s">
        <v>167</v>
      </c>
      <c r="D43" s="8">
        <v>150</v>
      </c>
      <c r="E43" s="150">
        <v>7.0000000000000007E-2</v>
      </c>
      <c r="F43" s="150">
        <v>0.02</v>
      </c>
      <c r="G43" s="150">
        <f t="shared" si="15"/>
        <v>9.0000000000000011E-2</v>
      </c>
      <c r="H43" s="151">
        <v>2460</v>
      </c>
      <c r="I43" s="152">
        <f t="shared" si="16"/>
        <v>172</v>
      </c>
      <c r="J43" s="152">
        <f t="shared" si="17"/>
        <v>49</v>
      </c>
      <c r="K43" s="152">
        <f t="shared" si="18"/>
        <v>221</v>
      </c>
    </row>
    <row r="44" spans="1:11" x14ac:dyDescent="0.25">
      <c r="A44" s="140">
        <f t="shared" si="0"/>
        <v>36</v>
      </c>
      <c r="B44" s="147" t="str">
        <f>+B39</f>
        <v xml:space="preserve">52E </v>
      </c>
      <c r="C44" s="8" t="s">
        <v>167</v>
      </c>
      <c r="D44" s="8">
        <v>175</v>
      </c>
      <c r="E44" s="150">
        <v>0.08</v>
      </c>
      <c r="F44" s="150">
        <v>0.03</v>
      </c>
      <c r="G44" s="150">
        <f t="shared" si="15"/>
        <v>0.11</v>
      </c>
      <c r="H44" s="151">
        <v>2664</v>
      </c>
      <c r="I44" s="152">
        <f t="shared" si="16"/>
        <v>213</v>
      </c>
      <c r="J44" s="152">
        <f t="shared" si="17"/>
        <v>80</v>
      </c>
      <c r="K44" s="152">
        <f t="shared" si="18"/>
        <v>293</v>
      </c>
    </row>
    <row r="45" spans="1:11" x14ac:dyDescent="0.25">
      <c r="A45" s="140">
        <f t="shared" si="0"/>
        <v>37</v>
      </c>
      <c r="B45" s="147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50">
        <v>0.12</v>
      </c>
      <c r="F45" s="150">
        <v>0.04</v>
      </c>
      <c r="G45" s="150">
        <f t="shared" si="15"/>
        <v>0.16</v>
      </c>
      <c r="H45" s="151">
        <v>732</v>
      </c>
      <c r="I45" s="152">
        <f t="shared" si="16"/>
        <v>88</v>
      </c>
      <c r="J45" s="152">
        <f t="shared" si="17"/>
        <v>29</v>
      </c>
      <c r="K45" s="152">
        <f t="shared" si="18"/>
        <v>117</v>
      </c>
    </row>
    <row r="46" spans="1:11" x14ac:dyDescent="0.25">
      <c r="A46" s="140">
        <f t="shared" si="0"/>
        <v>38</v>
      </c>
      <c r="B46" s="147" t="str">
        <f t="shared" si="19"/>
        <v xml:space="preserve">52E </v>
      </c>
      <c r="C46" s="8" t="str">
        <f t="shared" si="19"/>
        <v>Metal Halide</v>
      </c>
      <c r="D46" s="8">
        <v>400</v>
      </c>
      <c r="E46" s="150">
        <v>0.19</v>
      </c>
      <c r="F46" s="150">
        <v>0.06</v>
      </c>
      <c r="G46" s="150">
        <f t="shared" si="15"/>
        <v>0.25</v>
      </c>
      <c r="H46" s="151">
        <v>684</v>
      </c>
      <c r="I46" s="152">
        <f t="shared" si="16"/>
        <v>130</v>
      </c>
      <c r="J46" s="152">
        <f t="shared" si="17"/>
        <v>41</v>
      </c>
      <c r="K46" s="152">
        <f t="shared" si="18"/>
        <v>171</v>
      </c>
    </row>
    <row r="47" spans="1:11" x14ac:dyDescent="0.25">
      <c r="A47" s="140">
        <f t="shared" si="0"/>
        <v>39</v>
      </c>
      <c r="B47" s="147" t="str">
        <f t="shared" si="19"/>
        <v xml:space="preserve">52E </v>
      </c>
      <c r="C47" s="8" t="str">
        <f t="shared" si="19"/>
        <v>Metal Halide</v>
      </c>
      <c r="D47" s="8">
        <v>1000</v>
      </c>
      <c r="E47" s="150">
        <v>0.47</v>
      </c>
      <c r="F47" s="150">
        <v>0.15</v>
      </c>
      <c r="G47" s="150">
        <f t="shared" si="15"/>
        <v>0.62</v>
      </c>
      <c r="H47" s="151">
        <v>216</v>
      </c>
      <c r="I47" s="152">
        <f t="shared" si="16"/>
        <v>102</v>
      </c>
      <c r="J47" s="152">
        <f t="shared" si="17"/>
        <v>32</v>
      </c>
      <c r="K47" s="152">
        <f t="shared" si="18"/>
        <v>134</v>
      </c>
    </row>
    <row r="48" spans="1:11" x14ac:dyDescent="0.25">
      <c r="A48" s="140">
        <f t="shared" si="0"/>
        <v>40</v>
      </c>
      <c r="B48" s="155"/>
      <c r="C48" s="145"/>
      <c r="D48" s="145"/>
      <c r="E48" s="146"/>
      <c r="F48" s="146"/>
      <c r="G48" s="146"/>
      <c r="H48" s="151"/>
      <c r="I48" s="151"/>
      <c r="J48" s="151"/>
      <c r="K48" s="141"/>
    </row>
    <row r="49" spans="1:11" x14ac:dyDescent="0.25">
      <c r="A49" s="140">
        <f t="shared" si="0"/>
        <v>41</v>
      </c>
      <c r="B49" s="155" t="s">
        <v>168</v>
      </c>
      <c r="C49" s="145"/>
      <c r="D49" s="145"/>
      <c r="E49" s="146"/>
      <c r="F49" s="146"/>
      <c r="G49" s="146"/>
      <c r="H49" s="151"/>
      <c r="I49" s="151"/>
      <c r="J49" s="151"/>
      <c r="K49" s="141"/>
    </row>
    <row r="50" spans="1:11" x14ac:dyDescent="0.25">
      <c r="A50" s="140">
        <f t="shared" si="0"/>
        <v>42</v>
      </c>
      <c r="B50" s="147" t="s">
        <v>169</v>
      </c>
      <c r="C50" s="8" t="s">
        <v>82</v>
      </c>
      <c r="D50" s="8">
        <v>50</v>
      </c>
      <c r="E50" s="150">
        <v>0.39</v>
      </c>
      <c r="F50" s="150">
        <v>0.13</v>
      </c>
      <c r="G50" s="150">
        <f t="shared" ref="G50:G58" si="20">SUM(E50:F50)</f>
        <v>0.52</v>
      </c>
      <c r="H50" s="151">
        <v>0</v>
      </c>
      <c r="I50" s="152">
        <f t="shared" ref="I50:I58" si="21">ROUND($H50*E50,0)</f>
        <v>0</v>
      </c>
      <c r="J50" s="152">
        <f t="shared" ref="J50:J58" si="22">ROUND($H50*F50,0)</f>
        <v>0</v>
      </c>
      <c r="K50" s="152">
        <f t="shared" ref="K50:K58" si="23">SUM(I50:J50)</f>
        <v>0</v>
      </c>
    </row>
    <row r="51" spans="1:11" x14ac:dyDescent="0.25">
      <c r="A51" s="140">
        <f t="shared" si="0"/>
        <v>43</v>
      </c>
      <c r="B51" s="147" t="str">
        <f t="shared" ref="B51:B58" si="24">+B50</f>
        <v>53E - Company Owned</v>
      </c>
      <c r="C51" s="8" t="s">
        <v>82</v>
      </c>
      <c r="D51" s="8">
        <v>70</v>
      </c>
      <c r="E51" s="150">
        <v>0.41</v>
      </c>
      <c r="F51" s="150">
        <v>0.13</v>
      </c>
      <c r="G51" s="150">
        <f t="shared" si="20"/>
        <v>0.54</v>
      </c>
      <c r="H51" s="151">
        <v>52937</v>
      </c>
      <c r="I51" s="152">
        <f t="shared" si="21"/>
        <v>21704</v>
      </c>
      <c r="J51" s="152">
        <f t="shared" si="22"/>
        <v>6882</v>
      </c>
      <c r="K51" s="152">
        <f t="shared" si="23"/>
        <v>28586</v>
      </c>
    </row>
    <row r="52" spans="1:11" x14ac:dyDescent="0.25">
      <c r="A52" s="140">
        <f t="shared" si="0"/>
        <v>44</v>
      </c>
      <c r="B52" s="147" t="str">
        <f t="shared" si="24"/>
        <v>53E - Company Owned</v>
      </c>
      <c r="C52" s="8" t="s">
        <v>82</v>
      </c>
      <c r="D52" s="8">
        <v>100</v>
      </c>
      <c r="E52" s="150">
        <v>0.43</v>
      </c>
      <c r="F52" s="150">
        <v>0.14000000000000001</v>
      </c>
      <c r="G52" s="150">
        <f t="shared" si="20"/>
        <v>0.57000000000000006</v>
      </c>
      <c r="H52" s="151">
        <v>381842</v>
      </c>
      <c r="I52" s="152">
        <f t="shared" si="21"/>
        <v>164192</v>
      </c>
      <c r="J52" s="152">
        <f t="shared" si="22"/>
        <v>53458</v>
      </c>
      <c r="K52" s="152">
        <f t="shared" si="23"/>
        <v>217650</v>
      </c>
    </row>
    <row r="53" spans="1:11" x14ac:dyDescent="0.25">
      <c r="A53" s="140">
        <f t="shared" si="0"/>
        <v>45</v>
      </c>
      <c r="B53" s="147" t="str">
        <f t="shared" si="24"/>
        <v>53E - Company Owned</v>
      </c>
      <c r="C53" s="8" t="s">
        <v>82</v>
      </c>
      <c r="D53" s="8">
        <v>150</v>
      </c>
      <c r="E53" s="150">
        <v>0.48</v>
      </c>
      <c r="F53" s="150">
        <v>0.15</v>
      </c>
      <c r="G53" s="150">
        <f t="shared" si="20"/>
        <v>0.63</v>
      </c>
      <c r="H53" s="151">
        <v>45417</v>
      </c>
      <c r="I53" s="152">
        <f t="shared" si="21"/>
        <v>21800</v>
      </c>
      <c r="J53" s="152">
        <f t="shared" si="22"/>
        <v>6813</v>
      </c>
      <c r="K53" s="152">
        <f t="shared" si="23"/>
        <v>28613</v>
      </c>
    </row>
    <row r="54" spans="1:11" x14ac:dyDescent="0.25">
      <c r="A54" s="140">
        <f t="shared" si="0"/>
        <v>46</v>
      </c>
      <c r="B54" s="147" t="str">
        <f t="shared" si="24"/>
        <v>53E - Company Owned</v>
      </c>
      <c r="C54" s="8" t="s">
        <v>82</v>
      </c>
      <c r="D54" s="8">
        <v>200</v>
      </c>
      <c r="E54" s="150">
        <v>0.52</v>
      </c>
      <c r="F54" s="150">
        <v>0.17</v>
      </c>
      <c r="G54" s="150">
        <f t="shared" si="20"/>
        <v>0.69000000000000006</v>
      </c>
      <c r="H54" s="151">
        <v>59896</v>
      </c>
      <c r="I54" s="152">
        <f t="shared" si="21"/>
        <v>31146</v>
      </c>
      <c r="J54" s="152">
        <f t="shared" si="22"/>
        <v>10182</v>
      </c>
      <c r="K54" s="152">
        <f t="shared" si="23"/>
        <v>41328</v>
      </c>
    </row>
    <row r="55" spans="1:11" x14ac:dyDescent="0.25">
      <c r="A55" s="140">
        <f t="shared" si="0"/>
        <v>47</v>
      </c>
      <c r="B55" s="147" t="str">
        <f t="shared" si="24"/>
        <v>53E - Company Owned</v>
      </c>
      <c r="C55" s="8" t="s">
        <v>82</v>
      </c>
      <c r="D55" s="8">
        <v>250</v>
      </c>
      <c r="E55" s="150">
        <v>0.56999999999999995</v>
      </c>
      <c r="F55" s="150">
        <v>0.18</v>
      </c>
      <c r="G55" s="150">
        <f t="shared" si="20"/>
        <v>0.75</v>
      </c>
      <c r="H55" s="151">
        <v>20314</v>
      </c>
      <c r="I55" s="152">
        <f t="shared" si="21"/>
        <v>11579</v>
      </c>
      <c r="J55" s="152">
        <f t="shared" si="22"/>
        <v>3657</v>
      </c>
      <c r="K55" s="152">
        <f t="shared" si="23"/>
        <v>15236</v>
      </c>
    </row>
    <row r="56" spans="1:11" x14ac:dyDescent="0.25">
      <c r="A56" s="140">
        <f t="shared" si="0"/>
        <v>48</v>
      </c>
      <c r="B56" s="147" t="str">
        <f t="shared" si="24"/>
        <v>53E - Company Owned</v>
      </c>
      <c r="C56" s="8" t="s">
        <v>82</v>
      </c>
      <c r="D56" s="8">
        <v>310</v>
      </c>
      <c r="E56" s="150">
        <v>0.63</v>
      </c>
      <c r="F56" s="150">
        <v>0.2</v>
      </c>
      <c r="G56" s="150">
        <f t="shared" si="20"/>
        <v>0.83000000000000007</v>
      </c>
      <c r="H56" s="151">
        <v>191</v>
      </c>
      <c r="I56" s="152">
        <f t="shared" si="21"/>
        <v>120</v>
      </c>
      <c r="J56" s="152">
        <f t="shared" si="22"/>
        <v>38</v>
      </c>
      <c r="K56" s="152">
        <f t="shared" si="23"/>
        <v>158</v>
      </c>
    </row>
    <row r="57" spans="1:11" x14ac:dyDescent="0.25">
      <c r="A57" s="140">
        <f t="shared" si="0"/>
        <v>49</v>
      </c>
      <c r="B57" s="147" t="str">
        <f t="shared" si="24"/>
        <v>53E - Company Owned</v>
      </c>
      <c r="C57" s="8" t="s">
        <v>82</v>
      </c>
      <c r="D57" s="8">
        <v>400</v>
      </c>
      <c r="E57" s="150">
        <v>0.71</v>
      </c>
      <c r="F57" s="150">
        <v>0.22</v>
      </c>
      <c r="G57" s="150">
        <f t="shared" si="20"/>
        <v>0.92999999999999994</v>
      </c>
      <c r="H57" s="151">
        <v>11904</v>
      </c>
      <c r="I57" s="152">
        <f t="shared" si="21"/>
        <v>8452</v>
      </c>
      <c r="J57" s="152">
        <f t="shared" si="22"/>
        <v>2619</v>
      </c>
      <c r="K57" s="152">
        <f t="shared" si="23"/>
        <v>11071</v>
      </c>
    </row>
    <row r="58" spans="1:11" x14ac:dyDescent="0.25">
      <c r="A58" s="140">
        <f t="shared" si="0"/>
        <v>50</v>
      </c>
      <c r="B58" s="147" t="str">
        <f t="shared" si="24"/>
        <v>53E - Company Owned</v>
      </c>
      <c r="C58" s="8" t="s">
        <v>82</v>
      </c>
      <c r="D58" s="8">
        <v>1000</v>
      </c>
      <c r="E58" s="150">
        <v>1.25</v>
      </c>
      <c r="F58" s="150">
        <v>0.4</v>
      </c>
      <c r="G58" s="150">
        <f t="shared" si="20"/>
        <v>1.65</v>
      </c>
      <c r="H58" s="151">
        <v>0</v>
      </c>
      <c r="I58" s="152">
        <f t="shared" si="21"/>
        <v>0</v>
      </c>
      <c r="J58" s="152">
        <f t="shared" si="22"/>
        <v>0</v>
      </c>
      <c r="K58" s="152">
        <f t="shared" si="23"/>
        <v>0</v>
      </c>
    </row>
    <row r="59" spans="1:11" x14ac:dyDescent="0.25">
      <c r="A59" s="140">
        <f t="shared" si="0"/>
        <v>51</v>
      </c>
      <c r="B59" s="147"/>
      <c r="C59" s="8"/>
      <c r="D59" s="8"/>
      <c r="E59" s="146"/>
      <c r="F59" s="146"/>
      <c r="G59" s="146"/>
      <c r="H59" s="151"/>
      <c r="I59" s="151"/>
      <c r="J59" s="151"/>
      <c r="K59" s="141"/>
    </row>
    <row r="60" spans="1:11" x14ac:dyDescent="0.25">
      <c r="A60" s="140">
        <f t="shared" si="0"/>
        <v>52</v>
      </c>
      <c r="B60" s="147" t="str">
        <f>+B58</f>
        <v>53E - Company Owned</v>
      </c>
      <c r="C60" s="8" t="s">
        <v>167</v>
      </c>
      <c r="D60" s="8">
        <v>70</v>
      </c>
      <c r="E60" s="150">
        <v>0.44</v>
      </c>
      <c r="F60" s="150">
        <v>0.14000000000000001</v>
      </c>
      <c r="G60" s="150">
        <f t="shared" ref="G60:G64" si="25">SUM(E60:F60)</f>
        <v>0.58000000000000007</v>
      </c>
      <c r="H60" s="151">
        <v>0</v>
      </c>
      <c r="I60" s="152">
        <f t="shared" ref="I60:I64" si="26">ROUND($H60*E60,0)</f>
        <v>0</v>
      </c>
      <c r="J60" s="152">
        <f t="shared" ref="J60:J64" si="27">ROUND($H60*F60,0)</f>
        <v>0</v>
      </c>
      <c r="K60" s="152">
        <f t="shared" ref="K60:K64" si="28">SUM(I60:J60)</f>
        <v>0</v>
      </c>
    </row>
    <row r="61" spans="1:11" x14ac:dyDescent="0.25">
      <c r="A61" s="140">
        <f t="shared" si="0"/>
        <v>53</v>
      </c>
      <c r="B61" s="147" t="str">
        <f>+B60</f>
        <v>53E - Company Owned</v>
      </c>
      <c r="C61" s="8" t="s">
        <v>167</v>
      </c>
      <c r="D61" s="8">
        <v>100</v>
      </c>
      <c r="E61" s="150">
        <v>0.47</v>
      </c>
      <c r="F61" s="150">
        <v>0.15</v>
      </c>
      <c r="G61" s="150">
        <f t="shared" si="25"/>
        <v>0.62</v>
      </c>
      <c r="H61" s="151">
        <v>0</v>
      </c>
      <c r="I61" s="152">
        <f t="shared" si="26"/>
        <v>0</v>
      </c>
      <c r="J61" s="152">
        <f t="shared" si="27"/>
        <v>0</v>
      </c>
      <c r="K61" s="152">
        <f t="shared" si="28"/>
        <v>0</v>
      </c>
    </row>
    <row r="62" spans="1:11" x14ac:dyDescent="0.25">
      <c r="A62" s="140">
        <f t="shared" si="0"/>
        <v>54</v>
      </c>
      <c r="B62" s="147" t="str">
        <f>+B61</f>
        <v>53E - Company Owned</v>
      </c>
      <c r="C62" s="8" t="s">
        <v>167</v>
      </c>
      <c r="D62" s="8">
        <v>150</v>
      </c>
      <c r="E62" s="150">
        <v>0.52</v>
      </c>
      <c r="F62" s="150">
        <v>0.17</v>
      </c>
      <c r="G62" s="150">
        <f t="shared" si="25"/>
        <v>0.69000000000000006</v>
      </c>
      <c r="H62" s="151">
        <v>0</v>
      </c>
      <c r="I62" s="152">
        <f t="shared" si="26"/>
        <v>0</v>
      </c>
      <c r="J62" s="152">
        <f t="shared" si="27"/>
        <v>0</v>
      </c>
      <c r="K62" s="152">
        <f t="shared" si="28"/>
        <v>0</v>
      </c>
    </row>
    <row r="63" spans="1:11" x14ac:dyDescent="0.25">
      <c r="A63" s="140">
        <f t="shared" si="0"/>
        <v>55</v>
      </c>
      <c r="B63" s="147" t="str">
        <f>B62</f>
        <v>53E - Company Owned</v>
      </c>
      <c r="C63" s="8" t="s">
        <v>167</v>
      </c>
      <c r="D63" s="8">
        <v>250</v>
      </c>
      <c r="E63" s="150">
        <v>0.62</v>
      </c>
      <c r="F63" s="150">
        <v>0.2</v>
      </c>
      <c r="G63" s="150">
        <f t="shared" si="25"/>
        <v>0.82000000000000006</v>
      </c>
      <c r="H63" s="151">
        <v>0</v>
      </c>
      <c r="I63" s="152">
        <f t="shared" si="26"/>
        <v>0</v>
      </c>
      <c r="J63" s="152">
        <f t="shared" si="27"/>
        <v>0</v>
      </c>
      <c r="K63" s="152">
        <f t="shared" si="28"/>
        <v>0</v>
      </c>
    </row>
    <row r="64" spans="1:11" x14ac:dyDescent="0.25">
      <c r="A64" s="140">
        <f t="shared" si="0"/>
        <v>56</v>
      </c>
      <c r="B64" s="147" t="str">
        <f>B63</f>
        <v>53E - Company Owned</v>
      </c>
      <c r="C64" s="8" t="s">
        <v>167</v>
      </c>
      <c r="D64" s="8">
        <v>400</v>
      </c>
      <c r="E64" s="150">
        <v>0.78</v>
      </c>
      <c r="F64" s="150">
        <v>0.25</v>
      </c>
      <c r="G64" s="150">
        <f t="shared" si="25"/>
        <v>1.03</v>
      </c>
      <c r="H64" s="151">
        <v>0</v>
      </c>
      <c r="I64" s="152">
        <f t="shared" si="26"/>
        <v>0</v>
      </c>
      <c r="J64" s="152">
        <f t="shared" si="27"/>
        <v>0</v>
      </c>
      <c r="K64" s="152">
        <f t="shared" si="28"/>
        <v>0</v>
      </c>
    </row>
    <row r="65" spans="1:11" x14ac:dyDescent="0.25">
      <c r="A65" s="140">
        <f t="shared" si="0"/>
        <v>57</v>
      </c>
      <c r="B65" s="147"/>
      <c r="C65" s="8"/>
      <c r="D65" s="8"/>
      <c r="E65" s="146"/>
      <c r="F65" s="146"/>
      <c r="G65" s="146"/>
      <c r="H65" s="151"/>
      <c r="I65" s="151"/>
      <c r="J65" s="151"/>
      <c r="K65" s="141"/>
    </row>
    <row r="66" spans="1:11" x14ac:dyDescent="0.25">
      <c r="A66" s="140">
        <f t="shared" si="0"/>
        <v>58</v>
      </c>
      <c r="B66" s="147" t="str">
        <f>+B64</f>
        <v>53E - Company Owned</v>
      </c>
      <c r="C66" s="8" t="s">
        <v>155</v>
      </c>
      <c r="D66" s="284" t="s">
        <v>406</v>
      </c>
      <c r="E66" s="150">
        <v>0.45</v>
      </c>
      <c r="F66" s="150">
        <v>0.14000000000000001</v>
      </c>
      <c r="G66" s="150">
        <f t="shared" ref="G66:G74" si="29">SUM(E66:F66)</f>
        <v>0.59000000000000008</v>
      </c>
      <c r="H66" s="151">
        <v>228767</v>
      </c>
      <c r="I66" s="152">
        <f t="shared" ref="I66:I74" si="30">ROUND($H66*E66,0)</f>
        <v>102945</v>
      </c>
      <c r="J66" s="152">
        <f t="shared" ref="J66:J74" si="31">ROUND($H66*F66,0)</f>
        <v>32027</v>
      </c>
      <c r="K66" s="152">
        <f t="shared" ref="K66:K74" si="32">SUM(I66:J66)</f>
        <v>134972</v>
      </c>
    </row>
    <row r="67" spans="1:11" x14ac:dyDescent="0.25">
      <c r="A67" s="140">
        <f t="shared" si="0"/>
        <v>59</v>
      </c>
      <c r="B67" s="147" t="str">
        <f>B66</f>
        <v>53E - Company Owned</v>
      </c>
      <c r="C67" s="8" t="s">
        <v>155</v>
      </c>
      <c r="D67" s="154" t="s">
        <v>157</v>
      </c>
      <c r="E67" s="150">
        <v>0.46</v>
      </c>
      <c r="F67" s="150">
        <v>0.15</v>
      </c>
      <c r="G67" s="150">
        <f t="shared" si="29"/>
        <v>0.61</v>
      </c>
      <c r="H67" s="151">
        <v>2034</v>
      </c>
      <c r="I67" s="152">
        <f t="shared" si="30"/>
        <v>936</v>
      </c>
      <c r="J67" s="152">
        <f t="shared" si="31"/>
        <v>305</v>
      </c>
      <c r="K67" s="152">
        <f t="shared" si="32"/>
        <v>1241</v>
      </c>
    </row>
    <row r="68" spans="1:11" x14ac:dyDescent="0.25">
      <c r="A68" s="140">
        <f t="shared" si="0"/>
        <v>60</v>
      </c>
      <c r="B68" s="147" t="str">
        <f t="shared" ref="B68:B74" si="33">B67</f>
        <v>53E - Company Owned</v>
      </c>
      <c r="C68" s="8" t="s">
        <v>155</v>
      </c>
      <c r="D68" s="154" t="s">
        <v>158</v>
      </c>
      <c r="E68" s="150">
        <v>0.49</v>
      </c>
      <c r="F68" s="150">
        <v>0.15</v>
      </c>
      <c r="G68" s="150">
        <f t="shared" si="29"/>
        <v>0.64</v>
      </c>
      <c r="H68" s="151">
        <v>25126</v>
      </c>
      <c r="I68" s="152">
        <f t="shared" si="30"/>
        <v>12312</v>
      </c>
      <c r="J68" s="152">
        <f t="shared" si="31"/>
        <v>3769</v>
      </c>
      <c r="K68" s="152">
        <f t="shared" si="32"/>
        <v>16081</v>
      </c>
    </row>
    <row r="69" spans="1:11" x14ac:dyDescent="0.25">
      <c r="A69" s="140">
        <f t="shared" si="0"/>
        <v>61</v>
      </c>
      <c r="B69" s="147" t="str">
        <f t="shared" si="33"/>
        <v>53E - Company Owned</v>
      </c>
      <c r="C69" s="8" t="s">
        <v>155</v>
      </c>
      <c r="D69" s="154" t="s">
        <v>159</v>
      </c>
      <c r="E69" s="150">
        <v>0.51</v>
      </c>
      <c r="F69" s="150">
        <v>0.16</v>
      </c>
      <c r="G69" s="150">
        <f t="shared" si="29"/>
        <v>0.67</v>
      </c>
      <c r="H69" s="151">
        <v>21405</v>
      </c>
      <c r="I69" s="152">
        <f t="shared" si="30"/>
        <v>10917</v>
      </c>
      <c r="J69" s="152">
        <f t="shared" si="31"/>
        <v>3425</v>
      </c>
      <c r="K69" s="152">
        <f t="shared" si="32"/>
        <v>14342</v>
      </c>
    </row>
    <row r="70" spans="1:11" x14ac:dyDescent="0.25">
      <c r="A70" s="140">
        <f t="shared" si="0"/>
        <v>62</v>
      </c>
      <c r="B70" s="147" t="str">
        <f t="shared" si="33"/>
        <v>53E - Company Owned</v>
      </c>
      <c r="C70" s="8" t="s">
        <v>155</v>
      </c>
      <c r="D70" s="154" t="s">
        <v>160</v>
      </c>
      <c r="E70" s="150">
        <v>0.53</v>
      </c>
      <c r="F70" s="150">
        <v>0.17</v>
      </c>
      <c r="G70" s="150">
        <f t="shared" si="29"/>
        <v>0.70000000000000007</v>
      </c>
      <c r="H70" s="151">
        <v>1045</v>
      </c>
      <c r="I70" s="152">
        <f t="shared" si="30"/>
        <v>554</v>
      </c>
      <c r="J70" s="152">
        <f t="shared" si="31"/>
        <v>178</v>
      </c>
      <c r="K70" s="152">
        <f t="shared" si="32"/>
        <v>732</v>
      </c>
    </row>
    <row r="71" spans="1:11" x14ac:dyDescent="0.25">
      <c r="A71" s="140">
        <f t="shared" si="0"/>
        <v>63</v>
      </c>
      <c r="B71" s="147" t="str">
        <f t="shared" si="33"/>
        <v>53E - Company Owned</v>
      </c>
      <c r="C71" s="8" t="s">
        <v>155</v>
      </c>
      <c r="D71" s="154" t="s">
        <v>161</v>
      </c>
      <c r="E71" s="150">
        <v>0.55000000000000004</v>
      </c>
      <c r="F71" s="150">
        <v>0.18</v>
      </c>
      <c r="G71" s="150">
        <f t="shared" si="29"/>
        <v>0.73</v>
      </c>
      <c r="H71" s="151">
        <v>5084</v>
      </c>
      <c r="I71" s="152">
        <f t="shared" si="30"/>
        <v>2796</v>
      </c>
      <c r="J71" s="152">
        <f t="shared" si="31"/>
        <v>915</v>
      </c>
      <c r="K71" s="152">
        <f t="shared" si="32"/>
        <v>3711</v>
      </c>
    </row>
    <row r="72" spans="1:11" x14ac:dyDescent="0.25">
      <c r="A72" s="140">
        <f t="shared" si="0"/>
        <v>64</v>
      </c>
      <c r="B72" s="147" t="str">
        <f t="shared" si="33"/>
        <v>53E - Company Owned</v>
      </c>
      <c r="C72" s="8" t="s">
        <v>155</v>
      </c>
      <c r="D72" s="154" t="s">
        <v>162</v>
      </c>
      <c r="E72" s="150">
        <v>0.57999999999999996</v>
      </c>
      <c r="F72" s="150">
        <v>0.18</v>
      </c>
      <c r="G72" s="150">
        <f t="shared" si="29"/>
        <v>0.76</v>
      </c>
      <c r="H72" s="151">
        <v>147</v>
      </c>
      <c r="I72" s="152">
        <f t="shared" si="30"/>
        <v>85</v>
      </c>
      <c r="J72" s="152">
        <f t="shared" si="31"/>
        <v>26</v>
      </c>
      <c r="K72" s="152">
        <f t="shared" si="32"/>
        <v>111</v>
      </c>
    </row>
    <row r="73" spans="1:11" x14ac:dyDescent="0.25">
      <c r="A73" s="140">
        <f t="shared" si="0"/>
        <v>65</v>
      </c>
      <c r="B73" s="147" t="str">
        <f t="shared" si="33"/>
        <v>53E - Company Owned</v>
      </c>
      <c r="C73" s="8" t="s">
        <v>155</v>
      </c>
      <c r="D73" s="154" t="s">
        <v>163</v>
      </c>
      <c r="E73" s="150">
        <v>0.59</v>
      </c>
      <c r="F73" s="150">
        <v>0.19</v>
      </c>
      <c r="G73" s="150">
        <f t="shared" si="29"/>
        <v>0.78</v>
      </c>
      <c r="H73" s="151">
        <v>288</v>
      </c>
      <c r="I73" s="152">
        <f t="shared" si="30"/>
        <v>170</v>
      </c>
      <c r="J73" s="152">
        <f t="shared" si="31"/>
        <v>55</v>
      </c>
      <c r="K73" s="152">
        <f t="shared" si="32"/>
        <v>225</v>
      </c>
    </row>
    <row r="74" spans="1:11" x14ac:dyDescent="0.25">
      <c r="A74" s="140">
        <f t="shared" si="0"/>
        <v>66</v>
      </c>
      <c r="B74" s="147" t="str">
        <f t="shared" si="33"/>
        <v>53E - Company Owned</v>
      </c>
      <c r="C74" s="8" t="s">
        <v>155</v>
      </c>
      <c r="D74" s="154" t="s">
        <v>164</v>
      </c>
      <c r="E74" s="150">
        <v>0.61</v>
      </c>
      <c r="F74" s="150">
        <v>0.2</v>
      </c>
      <c r="G74" s="150">
        <f t="shared" si="29"/>
        <v>0.81</v>
      </c>
      <c r="H74" s="151">
        <v>1600</v>
      </c>
      <c r="I74" s="152">
        <f t="shared" si="30"/>
        <v>976</v>
      </c>
      <c r="J74" s="152">
        <f t="shared" si="31"/>
        <v>320</v>
      </c>
      <c r="K74" s="152">
        <f t="shared" si="32"/>
        <v>1296</v>
      </c>
    </row>
    <row r="75" spans="1:11" x14ac:dyDescent="0.25">
      <c r="A75" s="140">
        <f t="shared" ref="A75:A138" si="34">A74+1</f>
        <v>67</v>
      </c>
      <c r="B75" s="147"/>
      <c r="C75" s="8"/>
      <c r="D75" s="8"/>
      <c r="E75" s="146"/>
      <c r="F75" s="146"/>
      <c r="G75" s="146"/>
      <c r="H75" s="151"/>
      <c r="I75" s="151"/>
      <c r="J75" s="151"/>
      <c r="K75" s="141"/>
    </row>
    <row r="76" spans="1:11" x14ac:dyDescent="0.25">
      <c r="A76" s="140">
        <f t="shared" si="34"/>
        <v>68</v>
      </c>
      <c r="B76" s="147" t="s">
        <v>170</v>
      </c>
      <c r="C76" s="8" t="s">
        <v>82</v>
      </c>
      <c r="D76" s="8">
        <v>50</v>
      </c>
      <c r="E76" s="150">
        <v>0.02</v>
      </c>
      <c r="F76" s="150">
        <v>0.01</v>
      </c>
      <c r="G76" s="150">
        <f t="shared" ref="G76:G84" si="35">SUM(E76:F76)</f>
        <v>0.03</v>
      </c>
      <c r="H76" s="151">
        <v>0</v>
      </c>
      <c r="I76" s="152">
        <f t="shared" ref="I76:I84" si="36">ROUND($H76*E76,0)</f>
        <v>0</v>
      </c>
      <c r="J76" s="152">
        <f t="shared" ref="J76:J84" si="37">ROUND($H76*F76,0)</f>
        <v>0</v>
      </c>
      <c r="K76" s="152">
        <f t="shared" ref="K76:K84" si="38">SUM(I76:J76)</f>
        <v>0</v>
      </c>
    </row>
    <row r="77" spans="1:11" x14ac:dyDescent="0.25">
      <c r="A77" s="140">
        <f t="shared" si="34"/>
        <v>69</v>
      </c>
      <c r="B77" s="147" t="str">
        <f t="shared" ref="B77:B84" si="39">+B76</f>
        <v>53E - Customer Owned</v>
      </c>
      <c r="C77" s="8" t="s">
        <v>82</v>
      </c>
      <c r="D77" s="8">
        <v>70</v>
      </c>
      <c r="E77" s="150">
        <v>0.03</v>
      </c>
      <c r="F77" s="150">
        <v>0.01</v>
      </c>
      <c r="G77" s="150">
        <f t="shared" si="35"/>
        <v>0.04</v>
      </c>
      <c r="H77" s="151">
        <v>653</v>
      </c>
      <c r="I77" s="152">
        <f t="shared" si="36"/>
        <v>20</v>
      </c>
      <c r="J77" s="152">
        <f t="shared" si="37"/>
        <v>7</v>
      </c>
      <c r="K77" s="152">
        <f t="shared" si="38"/>
        <v>27</v>
      </c>
    </row>
    <row r="78" spans="1:11" x14ac:dyDescent="0.25">
      <c r="A78" s="140">
        <f t="shared" si="34"/>
        <v>70</v>
      </c>
      <c r="B78" s="147" t="str">
        <f t="shared" si="39"/>
        <v>53E - Customer Owned</v>
      </c>
      <c r="C78" s="8" t="s">
        <v>82</v>
      </c>
      <c r="D78" s="8">
        <v>100</v>
      </c>
      <c r="E78" s="150">
        <v>0.05</v>
      </c>
      <c r="F78" s="150">
        <v>0.01</v>
      </c>
      <c r="G78" s="150">
        <f t="shared" si="35"/>
        <v>6.0000000000000005E-2</v>
      </c>
      <c r="H78" s="151">
        <v>2781</v>
      </c>
      <c r="I78" s="152">
        <f t="shared" si="36"/>
        <v>139</v>
      </c>
      <c r="J78" s="152">
        <f t="shared" si="37"/>
        <v>28</v>
      </c>
      <c r="K78" s="152">
        <f t="shared" si="38"/>
        <v>167</v>
      </c>
    </row>
    <row r="79" spans="1:11" x14ac:dyDescent="0.25">
      <c r="A79" s="140">
        <f t="shared" si="34"/>
        <v>71</v>
      </c>
      <c r="B79" s="147" t="str">
        <f t="shared" si="39"/>
        <v>53E - Customer Owned</v>
      </c>
      <c r="C79" s="8" t="s">
        <v>82</v>
      </c>
      <c r="D79" s="8">
        <v>150</v>
      </c>
      <c r="E79" s="150">
        <v>7.0000000000000007E-2</v>
      </c>
      <c r="F79" s="150">
        <v>0.02</v>
      </c>
      <c r="G79" s="150">
        <f t="shared" si="35"/>
        <v>9.0000000000000011E-2</v>
      </c>
      <c r="H79" s="151">
        <v>1459</v>
      </c>
      <c r="I79" s="152">
        <f t="shared" si="36"/>
        <v>102</v>
      </c>
      <c r="J79" s="152">
        <f t="shared" si="37"/>
        <v>29</v>
      </c>
      <c r="K79" s="152">
        <f t="shared" si="38"/>
        <v>131</v>
      </c>
    </row>
    <row r="80" spans="1:11" x14ac:dyDescent="0.25">
      <c r="A80" s="140">
        <f t="shared" si="34"/>
        <v>72</v>
      </c>
      <c r="B80" s="147" t="str">
        <f t="shared" si="39"/>
        <v>53E - Customer Owned</v>
      </c>
      <c r="C80" s="8" t="s">
        <v>82</v>
      </c>
      <c r="D80" s="8">
        <v>200</v>
      </c>
      <c r="E80" s="150">
        <v>0.09</v>
      </c>
      <c r="F80" s="150">
        <v>0.03</v>
      </c>
      <c r="G80" s="150">
        <f t="shared" si="35"/>
        <v>0.12</v>
      </c>
      <c r="H80" s="151">
        <v>4973</v>
      </c>
      <c r="I80" s="152">
        <f t="shared" si="36"/>
        <v>448</v>
      </c>
      <c r="J80" s="152">
        <f t="shared" si="37"/>
        <v>149</v>
      </c>
      <c r="K80" s="152">
        <f t="shared" si="38"/>
        <v>597</v>
      </c>
    </row>
    <row r="81" spans="1:11" x14ac:dyDescent="0.25">
      <c r="A81" s="140">
        <f t="shared" si="34"/>
        <v>73</v>
      </c>
      <c r="B81" s="147" t="str">
        <f t="shared" si="39"/>
        <v>53E - Customer Owned</v>
      </c>
      <c r="C81" s="8" t="s">
        <v>82</v>
      </c>
      <c r="D81" s="8">
        <v>250</v>
      </c>
      <c r="E81" s="150">
        <v>0.12</v>
      </c>
      <c r="F81" s="150">
        <v>0.04</v>
      </c>
      <c r="G81" s="150">
        <f t="shared" si="35"/>
        <v>0.16</v>
      </c>
      <c r="H81" s="151">
        <v>3282</v>
      </c>
      <c r="I81" s="152">
        <f t="shared" si="36"/>
        <v>394</v>
      </c>
      <c r="J81" s="152">
        <f t="shared" si="37"/>
        <v>131</v>
      </c>
      <c r="K81" s="152">
        <f t="shared" si="38"/>
        <v>525</v>
      </c>
    </row>
    <row r="82" spans="1:11" x14ac:dyDescent="0.25">
      <c r="A82" s="140">
        <f t="shared" si="34"/>
        <v>74</v>
      </c>
      <c r="B82" s="147" t="str">
        <f t="shared" si="39"/>
        <v>53E - Customer Owned</v>
      </c>
      <c r="C82" s="8" t="s">
        <v>82</v>
      </c>
      <c r="D82" s="8">
        <v>310</v>
      </c>
      <c r="E82" s="150">
        <v>0.14000000000000001</v>
      </c>
      <c r="F82" s="150">
        <v>0.05</v>
      </c>
      <c r="G82" s="150">
        <f t="shared" si="35"/>
        <v>0.19</v>
      </c>
      <c r="H82" s="151">
        <v>84</v>
      </c>
      <c r="I82" s="152">
        <f t="shared" si="36"/>
        <v>12</v>
      </c>
      <c r="J82" s="152">
        <f t="shared" si="37"/>
        <v>4</v>
      </c>
      <c r="K82" s="152">
        <f t="shared" si="38"/>
        <v>16</v>
      </c>
    </row>
    <row r="83" spans="1:11" x14ac:dyDescent="0.25">
      <c r="A83" s="140">
        <f t="shared" si="34"/>
        <v>75</v>
      </c>
      <c r="B83" s="147" t="str">
        <f t="shared" si="39"/>
        <v>53E - Customer Owned</v>
      </c>
      <c r="C83" s="8" t="s">
        <v>82</v>
      </c>
      <c r="D83" s="8">
        <v>400</v>
      </c>
      <c r="E83" s="150">
        <v>0.19</v>
      </c>
      <c r="F83" s="150">
        <v>0.06</v>
      </c>
      <c r="G83" s="150">
        <f t="shared" si="35"/>
        <v>0.25</v>
      </c>
      <c r="H83" s="151">
        <v>4939</v>
      </c>
      <c r="I83" s="152">
        <f t="shared" si="36"/>
        <v>938</v>
      </c>
      <c r="J83" s="152">
        <f t="shared" si="37"/>
        <v>296</v>
      </c>
      <c r="K83" s="152">
        <f t="shared" si="38"/>
        <v>1234</v>
      </c>
    </row>
    <row r="84" spans="1:11" x14ac:dyDescent="0.25">
      <c r="A84" s="140">
        <f t="shared" si="34"/>
        <v>76</v>
      </c>
      <c r="B84" s="147" t="str">
        <f t="shared" si="39"/>
        <v>53E - Customer Owned</v>
      </c>
      <c r="C84" s="8" t="s">
        <v>82</v>
      </c>
      <c r="D84" s="8">
        <v>1000</v>
      </c>
      <c r="E84" s="150">
        <v>0.47</v>
      </c>
      <c r="F84" s="150">
        <v>0.15</v>
      </c>
      <c r="G84" s="150">
        <f t="shared" si="35"/>
        <v>0.62</v>
      </c>
      <c r="H84" s="151">
        <v>0</v>
      </c>
      <c r="I84" s="152">
        <f t="shared" si="36"/>
        <v>0</v>
      </c>
      <c r="J84" s="152">
        <f t="shared" si="37"/>
        <v>0</v>
      </c>
      <c r="K84" s="152">
        <f t="shared" si="38"/>
        <v>0</v>
      </c>
    </row>
    <row r="85" spans="1:11" x14ac:dyDescent="0.25">
      <c r="A85" s="140">
        <f t="shared" si="34"/>
        <v>77</v>
      </c>
      <c r="B85" s="147"/>
      <c r="C85" s="8"/>
      <c r="D85" s="8"/>
      <c r="E85" s="146"/>
      <c r="F85" s="146"/>
      <c r="G85" s="146"/>
      <c r="H85" s="151"/>
      <c r="I85" s="151"/>
      <c r="J85" s="151"/>
      <c r="K85" s="141"/>
    </row>
    <row r="86" spans="1:11" x14ac:dyDescent="0.25">
      <c r="A86" s="140">
        <f t="shared" si="34"/>
        <v>78</v>
      </c>
      <c r="B86" s="147" t="str">
        <f>+B84</f>
        <v>53E - Customer Owned</v>
      </c>
      <c r="C86" s="8" t="s">
        <v>167</v>
      </c>
      <c r="D86" s="8">
        <v>70</v>
      </c>
      <c r="E86" s="150">
        <v>0.03</v>
      </c>
      <c r="F86" s="150">
        <v>0.01</v>
      </c>
      <c r="G86" s="150">
        <f t="shared" ref="G86:G91" si="40">SUM(E86:F86)</f>
        <v>0.04</v>
      </c>
      <c r="H86" s="151">
        <v>0</v>
      </c>
      <c r="I86" s="152">
        <f t="shared" ref="I86:I91" si="41">ROUND($H86*E86,0)</f>
        <v>0</v>
      </c>
      <c r="J86" s="152">
        <f t="shared" ref="J86:J91" si="42">ROUND($H86*F86,0)</f>
        <v>0</v>
      </c>
      <c r="K86" s="152">
        <f t="shared" ref="K86:K91" si="43">SUM(I86:J86)</f>
        <v>0</v>
      </c>
    </row>
    <row r="87" spans="1:11" x14ac:dyDescent="0.25">
      <c r="A87" s="140">
        <f t="shared" si="34"/>
        <v>79</v>
      </c>
      <c r="B87" s="147" t="str">
        <f>+B86</f>
        <v>53E - Customer Owned</v>
      </c>
      <c r="C87" s="8" t="s">
        <v>167</v>
      </c>
      <c r="D87" s="8">
        <v>100</v>
      </c>
      <c r="E87" s="150">
        <v>0.05</v>
      </c>
      <c r="F87" s="150">
        <v>0.01</v>
      </c>
      <c r="G87" s="150">
        <f t="shared" si="40"/>
        <v>6.0000000000000005E-2</v>
      </c>
      <c r="H87" s="151">
        <v>0</v>
      </c>
      <c r="I87" s="152">
        <f t="shared" si="41"/>
        <v>0</v>
      </c>
      <c r="J87" s="152">
        <f t="shared" si="42"/>
        <v>0</v>
      </c>
      <c r="K87" s="152">
        <f t="shared" si="43"/>
        <v>0</v>
      </c>
    </row>
    <row r="88" spans="1:11" x14ac:dyDescent="0.25">
      <c r="A88" s="140">
        <f t="shared" si="34"/>
        <v>80</v>
      </c>
      <c r="B88" s="147" t="str">
        <f>+B87</f>
        <v>53E - Customer Owned</v>
      </c>
      <c r="C88" s="8" t="s">
        <v>167</v>
      </c>
      <c r="D88" s="8">
        <v>150</v>
      </c>
      <c r="E88" s="150">
        <v>7.0000000000000007E-2</v>
      </c>
      <c r="F88" s="150">
        <v>0.02</v>
      </c>
      <c r="G88" s="150">
        <f t="shared" si="40"/>
        <v>9.0000000000000011E-2</v>
      </c>
      <c r="H88" s="151">
        <v>0</v>
      </c>
      <c r="I88" s="152">
        <f t="shared" si="41"/>
        <v>0</v>
      </c>
      <c r="J88" s="152">
        <f t="shared" si="42"/>
        <v>0</v>
      </c>
      <c r="K88" s="152">
        <f t="shared" si="43"/>
        <v>0</v>
      </c>
    </row>
    <row r="89" spans="1:11" x14ac:dyDescent="0.25">
      <c r="A89" s="140">
        <f t="shared" si="34"/>
        <v>81</v>
      </c>
      <c r="B89" s="147" t="str">
        <f>+B88</f>
        <v>53E - Customer Owned</v>
      </c>
      <c r="C89" s="8" t="s">
        <v>167</v>
      </c>
      <c r="D89" s="8">
        <v>175</v>
      </c>
      <c r="E89" s="150">
        <v>0.08</v>
      </c>
      <c r="F89" s="150">
        <v>0.03</v>
      </c>
      <c r="G89" s="150">
        <f t="shared" si="40"/>
        <v>0.11</v>
      </c>
      <c r="H89" s="151">
        <v>48</v>
      </c>
      <c r="I89" s="152">
        <f t="shared" si="41"/>
        <v>4</v>
      </c>
      <c r="J89" s="152">
        <f t="shared" si="42"/>
        <v>1</v>
      </c>
      <c r="K89" s="152">
        <f t="shared" si="43"/>
        <v>5</v>
      </c>
    </row>
    <row r="90" spans="1:11" x14ac:dyDescent="0.25">
      <c r="A90" s="140">
        <f t="shared" si="34"/>
        <v>82</v>
      </c>
      <c r="B90" s="147" t="str">
        <f>+B89</f>
        <v>53E - Customer Owned</v>
      </c>
      <c r="C90" s="8" t="s">
        <v>167</v>
      </c>
      <c r="D90" s="8">
        <v>250</v>
      </c>
      <c r="E90" s="150">
        <v>0.12</v>
      </c>
      <c r="F90" s="150">
        <v>0.04</v>
      </c>
      <c r="G90" s="150">
        <f t="shared" si="40"/>
        <v>0.16</v>
      </c>
      <c r="H90" s="151">
        <v>0</v>
      </c>
      <c r="I90" s="152">
        <f t="shared" si="41"/>
        <v>0</v>
      </c>
      <c r="J90" s="152">
        <f t="shared" si="42"/>
        <v>0</v>
      </c>
      <c r="K90" s="152">
        <f t="shared" si="43"/>
        <v>0</v>
      </c>
    </row>
    <row r="91" spans="1:11" x14ac:dyDescent="0.25">
      <c r="A91" s="140">
        <f t="shared" si="34"/>
        <v>83</v>
      </c>
      <c r="B91" s="147" t="str">
        <f>+B90</f>
        <v>53E - Customer Owned</v>
      </c>
      <c r="C91" s="8" t="s">
        <v>167</v>
      </c>
      <c r="D91" s="8">
        <v>400</v>
      </c>
      <c r="E91" s="150">
        <v>0.19</v>
      </c>
      <c r="F91" s="150">
        <v>0.06</v>
      </c>
      <c r="G91" s="150">
        <f t="shared" si="40"/>
        <v>0.25</v>
      </c>
      <c r="H91" s="151">
        <v>0</v>
      </c>
      <c r="I91" s="152">
        <f t="shared" si="41"/>
        <v>0</v>
      </c>
      <c r="J91" s="152">
        <f t="shared" si="42"/>
        <v>0</v>
      </c>
      <c r="K91" s="152">
        <f t="shared" si="43"/>
        <v>0</v>
      </c>
    </row>
    <row r="92" spans="1:11" x14ac:dyDescent="0.25">
      <c r="A92" s="140">
        <f t="shared" si="34"/>
        <v>84</v>
      </c>
      <c r="B92" s="147"/>
      <c r="C92" s="8"/>
      <c r="D92" s="8"/>
      <c r="E92" s="146"/>
      <c r="F92" s="146"/>
      <c r="G92" s="146"/>
      <c r="H92" s="151"/>
      <c r="I92" s="151"/>
      <c r="J92" s="151"/>
      <c r="K92" s="141"/>
    </row>
    <row r="93" spans="1:11" x14ac:dyDescent="0.25">
      <c r="A93" s="140">
        <f t="shared" si="34"/>
        <v>85</v>
      </c>
      <c r="B93" s="147" t="str">
        <f>+B91</f>
        <v>53E - Customer Owned</v>
      </c>
      <c r="C93" s="8" t="s">
        <v>155</v>
      </c>
      <c r="D93" s="284" t="s">
        <v>406</v>
      </c>
      <c r="E93" s="150">
        <v>0.02</v>
      </c>
      <c r="F93" s="150">
        <v>0.01</v>
      </c>
      <c r="G93" s="150">
        <f t="shared" ref="G93:G101" si="44">SUM(E93:F93)</f>
        <v>0.03</v>
      </c>
      <c r="H93" s="151">
        <v>7620</v>
      </c>
      <c r="I93" s="152">
        <f t="shared" ref="I93:I101" si="45">ROUND($H93*E93,0)</f>
        <v>152</v>
      </c>
      <c r="J93" s="152">
        <f t="shared" ref="J93:J101" si="46">ROUND($H93*F93,0)</f>
        <v>76</v>
      </c>
      <c r="K93" s="152">
        <f t="shared" ref="K93:K101" si="47">SUM(I93:J93)</f>
        <v>228</v>
      </c>
    </row>
    <row r="94" spans="1:11" x14ac:dyDescent="0.25">
      <c r="A94" s="140">
        <f t="shared" si="34"/>
        <v>86</v>
      </c>
      <c r="B94" s="147" t="str">
        <f>B93</f>
        <v>53E - Customer Owned</v>
      </c>
      <c r="C94" s="8" t="s">
        <v>155</v>
      </c>
      <c r="D94" s="154" t="s">
        <v>157</v>
      </c>
      <c r="E94" s="150">
        <v>0.04</v>
      </c>
      <c r="F94" s="150">
        <v>0.01</v>
      </c>
      <c r="G94" s="150">
        <f t="shared" si="44"/>
        <v>0.05</v>
      </c>
      <c r="H94" s="151">
        <v>7560</v>
      </c>
      <c r="I94" s="152">
        <f t="shared" si="45"/>
        <v>302</v>
      </c>
      <c r="J94" s="152">
        <f t="shared" si="46"/>
        <v>76</v>
      </c>
      <c r="K94" s="152">
        <f t="shared" si="47"/>
        <v>378</v>
      </c>
    </row>
    <row r="95" spans="1:11" x14ac:dyDescent="0.25">
      <c r="A95" s="140">
        <f t="shared" si="34"/>
        <v>87</v>
      </c>
      <c r="B95" s="147" t="str">
        <f t="shared" ref="B95:B101" si="48">B94</f>
        <v>53E - Customer Owned</v>
      </c>
      <c r="C95" s="8" t="s">
        <v>155</v>
      </c>
      <c r="D95" s="154" t="s">
        <v>158</v>
      </c>
      <c r="E95" s="150">
        <v>0.05</v>
      </c>
      <c r="F95" s="150">
        <v>0.02</v>
      </c>
      <c r="G95" s="150">
        <f t="shared" si="44"/>
        <v>7.0000000000000007E-2</v>
      </c>
      <c r="H95" s="151">
        <v>10123</v>
      </c>
      <c r="I95" s="152">
        <f t="shared" si="45"/>
        <v>506</v>
      </c>
      <c r="J95" s="152">
        <f t="shared" si="46"/>
        <v>202</v>
      </c>
      <c r="K95" s="152">
        <f t="shared" si="47"/>
        <v>708</v>
      </c>
    </row>
    <row r="96" spans="1:11" x14ac:dyDescent="0.25">
      <c r="A96" s="140">
        <f t="shared" si="34"/>
        <v>88</v>
      </c>
      <c r="B96" s="147" t="str">
        <f t="shared" si="48"/>
        <v>53E - Customer Owned</v>
      </c>
      <c r="C96" s="8" t="s">
        <v>155</v>
      </c>
      <c r="D96" s="154" t="s">
        <v>159</v>
      </c>
      <c r="E96" s="150">
        <v>0.06</v>
      </c>
      <c r="F96" s="150">
        <v>0.02</v>
      </c>
      <c r="G96" s="150">
        <f t="shared" si="44"/>
        <v>0.08</v>
      </c>
      <c r="H96" s="151">
        <v>984</v>
      </c>
      <c r="I96" s="152">
        <f t="shared" si="45"/>
        <v>59</v>
      </c>
      <c r="J96" s="152">
        <f t="shared" si="46"/>
        <v>20</v>
      </c>
      <c r="K96" s="152">
        <f t="shared" si="47"/>
        <v>79</v>
      </c>
    </row>
    <row r="97" spans="1:11" x14ac:dyDescent="0.25">
      <c r="A97" s="140">
        <f t="shared" si="34"/>
        <v>89</v>
      </c>
      <c r="B97" s="147" t="str">
        <f t="shared" si="48"/>
        <v>53E - Customer Owned</v>
      </c>
      <c r="C97" s="8" t="s">
        <v>155</v>
      </c>
      <c r="D97" s="154" t="s">
        <v>160</v>
      </c>
      <c r="E97" s="150">
        <v>0.08</v>
      </c>
      <c r="F97" s="150">
        <v>0.02</v>
      </c>
      <c r="G97" s="150">
        <f t="shared" si="44"/>
        <v>0.1</v>
      </c>
      <c r="H97" s="151">
        <v>15882</v>
      </c>
      <c r="I97" s="152">
        <f t="shared" si="45"/>
        <v>1271</v>
      </c>
      <c r="J97" s="152">
        <f t="shared" si="46"/>
        <v>318</v>
      </c>
      <c r="K97" s="152">
        <f t="shared" si="47"/>
        <v>1589</v>
      </c>
    </row>
    <row r="98" spans="1:11" x14ac:dyDescent="0.25">
      <c r="A98" s="140">
        <f t="shared" si="34"/>
        <v>90</v>
      </c>
      <c r="B98" s="147" t="str">
        <f t="shared" si="48"/>
        <v>53E - Customer Owned</v>
      </c>
      <c r="C98" s="8" t="s">
        <v>155</v>
      </c>
      <c r="D98" s="154" t="s">
        <v>161</v>
      </c>
      <c r="E98" s="150">
        <v>0.09</v>
      </c>
      <c r="F98" s="150">
        <v>0.03</v>
      </c>
      <c r="G98" s="150">
        <f t="shared" si="44"/>
        <v>0.12</v>
      </c>
      <c r="H98" s="151">
        <v>1245</v>
      </c>
      <c r="I98" s="152">
        <f t="shared" si="45"/>
        <v>112</v>
      </c>
      <c r="J98" s="152">
        <f t="shared" si="46"/>
        <v>37</v>
      </c>
      <c r="K98" s="152">
        <f t="shared" si="47"/>
        <v>149</v>
      </c>
    </row>
    <row r="99" spans="1:11" x14ac:dyDescent="0.25">
      <c r="A99" s="140">
        <f t="shared" si="34"/>
        <v>91</v>
      </c>
      <c r="B99" s="147" t="str">
        <f t="shared" si="48"/>
        <v>53E - Customer Owned</v>
      </c>
      <c r="C99" s="8" t="s">
        <v>155</v>
      </c>
      <c r="D99" s="154" t="s">
        <v>162</v>
      </c>
      <c r="E99" s="150">
        <v>0.11</v>
      </c>
      <c r="F99" s="150">
        <v>0.03</v>
      </c>
      <c r="G99" s="150">
        <f t="shared" si="44"/>
        <v>0.14000000000000001</v>
      </c>
      <c r="H99" s="151">
        <v>0</v>
      </c>
      <c r="I99" s="152">
        <f t="shared" si="45"/>
        <v>0</v>
      </c>
      <c r="J99" s="152">
        <f t="shared" si="46"/>
        <v>0</v>
      </c>
      <c r="K99" s="152">
        <f t="shared" si="47"/>
        <v>0</v>
      </c>
    </row>
    <row r="100" spans="1:11" x14ac:dyDescent="0.25">
      <c r="A100" s="140">
        <f t="shared" si="34"/>
        <v>92</v>
      </c>
      <c r="B100" s="147" t="str">
        <f t="shared" si="48"/>
        <v>53E - Customer Owned</v>
      </c>
      <c r="C100" s="8" t="s">
        <v>155</v>
      </c>
      <c r="D100" s="154" t="s">
        <v>163</v>
      </c>
      <c r="E100" s="150">
        <v>0.12</v>
      </c>
      <c r="F100" s="150">
        <v>0.04</v>
      </c>
      <c r="G100" s="150">
        <f t="shared" si="44"/>
        <v>0.16</v>
      </c>
      <c r="H100" s="151">
        <v>2</v>
      </c>
      <c r="I100" s="152">
        <f t="shared" si="45"/>
        <v>0</v>
      </c>
      <c r="J100" s="152">
        <f t="shared" si="46"/>
        <v>0</v>
      </c>
      <c r="K100" s="152">
        <f t="shared" si="47"/>
        <v>0</v>
      </c>
    </row>
    <row r="101" spans="1:11" x14ac:dyDescent="0.25">
      <c r="A101" s="140">
        <f t="shared" si="34"/>
        <v>93</v>
      </c>
      <c r="B101" s="147" t="str">
        <f t="shared" si="48"/>
        <v>53E - Customer Owned</v>
      </c>
      <c r="C101" s="8" t="s">
        <v>155</v>
      </c>
      <c r="D101" s="154" t="s">
        <v>164</v>
      </c>
      <c r="E101" s="150">
        <v>0.14000000000000001</v>
      </c>
      <c r="F101" s="150">
        <v>0.04</v>
      </c>
      <c r="G101" s="150">
        <f t="shared" si="44"/>
        <v>0.18000000000000002</v>
      </c>
      <c r="H101" s="151">
        <v>0</v>
      </c>
      <c r="I101" s="152">
        <f t="shared" si="45"/>
        <v>0</v>
      </c>
      <c r="J101" s="152">
        <f t="shared" si="46"/>
        <v>0</v>
      </c>
      <c r="K101" s="152">
        <f t="shared" si="47"/>
        <v>0</v>
      </c>
    </row>
    <row r="102" spans="1:11" x14ac:dyDescent="0.25">
      <c r="A102" s="140">
        <f t="shared" si="34"/>
        <v>94</v>
      </c>
      <c r="B102" s="158"/>
      <c r="C102" s="8"/>
      <c r="D102" s="8"/>
      <c r="E102" s="146"/>
      <c r="F102" s="146"/>
      <c r="G102" s="146"/>
      <c r="H102" s="151"/>
      <c r="I102" s="151"/>
      <c r="J102" s="151"/>
      <c r="K102" s="141"/>
    </row>
    <row r="103" spans="1:11" x14ac:dyDescent="0.25">
      <c r="A103" s="140">
        <f t="shared" si="34"/>
        <v>95</v>
      </c>
      <c r="B103" s="145" t="s">
        <v>171</v>
      </c>
      <c r="C103" s="145"/>
      <c r="D103" s="145"/>
      <c r="E103" s="146"/>
      <c r="F103" s="146"/>
      <c r="G103" s="146"/>
      <c r="H103" s="151"/>
      <c r="I103" s="151"/>
      <c r="J103" s="151"/>
      <c r="K103" s="141"/>
    </row>
    <row r="104" spans="1:11" x14ac:dyDescent="0.25">
      <c r="A104" s="140">
        <f t="shared" si="34"/>
        <v>96</v>
      </c>
      <c r="B104" s="147" t="s">
        <v>172</v>
      </c>
      <c r="C104" s="8" t="s">
        <v>82</v>
      </c>
      <c r="D104" s="8">
        <v>50</v>
      </c>
      <c r="E104" s="150">
        <v>0.02</v>
      </c>
      <c r="F104" s="150">
        <v>0.01</v>
      </c>
      <c r="G104" s="150">
        <f t="shared" ref="G104:G112" si="49">SUM(E104:F104)</f>
        <v>0.03</v>
      </c>
      <c r="H104" s="151">
        <v>456</v>
      </c>
      <c r="I104" s="152">
        <f t="shared" ref="I104:I112" si="50">ROUND($H104*E104,0)</f>
        <v>9</v>
      </c>
      <c r="J104" s="152">
        <f t="shared" ref="J104:J112" si="51">ROUND($H104*F104,0)</f>
        <v>5</v>
      </c>
      <c r="K104" s="152">
        <f t="shared" ref="K104:K112" si="52">SUM(I104:J104)</f>
        <v>14</v>
      </c>
    </row>
    <row r="105" spans="1:11" x14ac:dyDescent="0.25">
      <c r="A105" s="140">
        <f t="shared" si="34"/>
        <v>97</v>
      </c>
      <c r="B105" s="147" t="str">
        <f t="shared" ref="B105:B112" si="53">+B104</f>
        <v>54E</v>
      </c>
      <c r="C105" s="8" t="s">
        <v>82</v>
      </c>
      <c r="D105" s="8">
        <v>70</v>
      </c>
      <c r="E105" s="150">
        <v>0.03</v>
      </c>
      <c r="F105" s="150">
        <v>0.01</v>
      </c>
      <c r="G105" s="150">
        <f t="shared" si="49"/>
        <v>0.04</v>
      </c>
      <c r="H105" s="151">
        <v>8700</v>
      </c>
      <c r="I105" s="152">
        <f t="shared" si="50"/>
        <v>261</v>
      </c>
      <c r="J105" s="152">
        <f t="shared" si="51"/>
        <v>87</v>
      </c>
      <c r="K105" s="152">
        <f t="shared" si="52"/>
        <v>348</v>
      </c>
    </row>
    <row r="106" spans="1:11" x14ac:dyDescent="0.25">
      <c r="A106" s="140">
        <f t="shared" si="34"/>
        <v>98</v>
      </c>
      <c r="B106" s="147" t="str">
        <f t="shared" si="53"/>
        <v>54E</v>
      </c>
      <c r="C106" s="8" t="s">
        <v>82</v>
      </c>
      <c r="D106" s="8">
        <v>100</v>
      </c>
      <c r="E106" s="150">
        <v>0.05</v>
      </c>
      <c r="F106" s="150">
        <v>0.01</v>
      </c>
      <c r="G106" s="150">
        <f t="shared" si="49"/>
        <v>6.0000000000000005E-2</v>
      </c>
      <c r="H106" s="151">
        <v>19865</v>
      </c>
      <c r="I106" s="152">
        <f t="shared" si="50"/>
        <v>993</v>
      </c>
      <c r="J106" s="152">
        <f t="shared" si="51"/>
        <v>199</v>
      </c>
      <c r="K106" s="152">
        <f t="shared" si="52"/>
        <v>1192</v>
      </c>
    </row>
    <row r="107" spans="1:11" x14ac:dyDescent="0.25">
      <c r="A107" s="140">
        <f t="shared" si="34"/>
        <v>99</v>
      </c>
      <c r="B107" s="147" t="str">
        <f t="shared" si="53"/>
        <v>54E</v>
      </c>
      <c r="C107" s="8" t="s">
        <v>82</v>
      </c>
      <c r="D107" s="8">
        <v>150</v>
      </c>
      <c r="E107" s="150">
        <v>7.0000000000000007E-2</v>
      </c>
      <c r="F107" s="150">
        <v>0.02</v>
      </c>
      <c r="G107" s="150">
        <f t="shared" si="49"/>
        <v>9.0000000000000011E-2</v>
      </c>
      <c r="H107" s="151">
        <v>5924</v>
      </c>
      <c r="I107" s="152">
        <f t="shared" si="50"/>
        <v>415</v>
      </c>
      <c r="J107" s="152">
        <f t="shared" si="51"/>
        <v>118</v>
      </c>
      <c r="K107" s="152">
        <f t="shared" si="52"/>
        <v>533</v>
      </c>
    </row>
    <row r="108" spans="1:11" x14ac:dyDescent="0.25">
      <c r="A108" s="140">
        <f t="shared" si="34"/>
        <v>100</v>
      </c>
      <c r="B108" s="147" t="str">
        <f t="shared" si="53"/>
        <v>54E</v>
      </c>
      <c r="C108" s="8" t="s">
        <v>82</v>
      </c>
      <c r="D108" s="8">
        <v>200</v>
      </c>
      <c r="E108" s="150">
        <v>0.09</v>
      </c>
      <c r="F108" s="150">
        <v>0.03</v>
      </c>
      <c r="G108" s="150">
        <f t="shared" si="49"/>
        <v>0.12</v>
      </c>
      <c r="H108" s="151">
        <v>7622</v>
      </c>
      <c r="I108" s="152">
        <f t="shared" si="50"/>
        <v>686</v>
      </c>
      <c r="J108" s="152">
        <f t="shared" si="51"/>
        <v>229</v>
      </c>
      <c r="K108" s="152">
        <f t="shared" si="52"/>
        <v>915</v>
      </c>
    </row>
    <row r="109" spans="1:11" x14ac:dyDescent="0.25">
      <c r="A109" s="140">
        <f t="shared" si="34"/>
        <v>101</v>
      </c>
      <c r="B109" s="147" t="str">
        <f t="shared" si="53"/>
        <v>54E</v>
      </c>
      <c r="C109" s="8" t="s">
        <v>82</v>
      </c>
      <c r="D109" s="8">
        <v>250</v>
      </c>
      <c r="E109" s="150">
        <v>0.12</v>
      </c>
      <c r="F109" s="150">
        <v>0.04</v>
      </c>
      <c r="G109" s="150">
        <f t="shared" si="49"/>
        <v>0.16</v>
      </c>
      <c r="H109" s="151">
        <v>18019</v>
      </c>
      <c r="I109" s="152">
        <f t="shared" si="50"/>
        <v>2162</v>
      </c>
      <c r="J109" s="152">
        <f t="shared" si="51"/>
        <v>721</v>
      </c>
      <c r="K109" s="152">
        <f t="shared" si="52"/>
        <v>2883</v>
      </c>
    </row>
    <row r="110" spans="1:11" x14ac:dyDescent="0.25">
      <c r="A110" s="140">
        <f t="shared" si="34"/>
        <v>102</v>
      </c>
      <c r="B110" s="147" t="str">
        <f t="shared" si="53"/>
        <v>54E</v>
      </c>
      <c r="C110" s="8" t="s">
        <v>82</v>
      </c>
      <c r="D110" s="8">
        <v>310</v>
      </c>
      <c r="E110" s="150">
        <v>0.14000000000000001</v>
      </c>
      <c r="F110" s="150">
        <v>0.05</v>
      </c>
      <c r="G110" s="150">
        <f t="shared" si="49"/>
        <v>0.19</v>
      </c>
      <c r="H110" s="151">
        <v>914</v>
      </c>
      <c r="I110" s="152">
        <f t="shared" si="50"/>
        <v>128</v>
      </c>
      <c r="J110" s="152">
        <f t="shared" si="51"/>
        <v>46</v>
      </c>
      <c r="K110" s="152">
        <f t="shared" si="52"/>
        <v>174</v>
      </c>
    </row>
    <row r="111" spans="1:11" x14ac:dyDescent="0.25">
      <c r="A111" s="140">
        <f t="shared" si="34"/>
        <v>103</v>
      </c>
      <c r="B111" s="147" t="str">
        <f t="shared" si="53"/>
        <v>54E</v>
      </c>
      <c r="C111" s="8" t="s">
        <v>82</v>
      </c>
      <c r="D111" s="8">
        <v>400</v>
      </c>
      <c r="E111" s="150">
        <v>0.19</v>
      </c>
      <c r="F111" s="150">
        <v>0.06</v>
      </c>
      <c r="G111" s="150">
        <f t="shared" si="49"/>
        <v>0.25</v>
      </c>
      <c r="H111" s="151">
        <v>8391</v>
      </c>
      <c r="I111" s="152">
        <f t="shared" si="50"/>
        <v>1594</v>
      </c>
      <c r="J111" s="152">
        <f t="shared" si="51"/>
        <v>503</v>
      </c>
      <c r="K111" s="152">
        <f t="shared" si="52"/>
        <v>2097</v>
      </c>
    </row>
    <row r="112" spans="1:11" x14ac:dyDescent="0.25">
      <c r="A112" s="140">
        <f t="shared" si="34"/>
        <v>104</v>
      </c>
      <c r="B112" s="147" t="str">
        <f t="shared" si="53"/>
        <v>54E</v>
      </c>
      <c r="C112" s="8" t="s">
        <v>82</v>
      </c>
      <c r="D112" s="8">
        <v>1000</v>
      </c>
      <c r="E112" s="150">
        <v>0.47</v>
      </c>
      <c r="F112" s="150">
        <v>0.15</v>
      </c>
      <c r="G112" s="150">
        <f t="shared" si="49"/>
        <v>0.62</v>
      </c>
      <c r="H112" s="151">
        <v>132</v>
      </c>
      <c r="I112" s="152">
        <f t="shared" si="50"/>
        <v>62</v>
      </c>
      <c r="J112" s="152">
        <f t="shared" si="51"/>
        <v>20</v>
      </c>
      <c r="K112" s="152">
        <f t="shared" si="52"/>
        <v>82</v>
      </c>
    </row>
    <row r="113" spans="1:11" x14ac:dyDescent="0.25">
      <c r="A113" s="140">
        <f t="shared" si="34"/>
        <v>105</v>
      </c>
      <c r="B113" s="158"/>
      <c r="C113" s="8"/>
      <c r="D113" s="8"/>
      <c r="E113" s="146"/>
      <c r="F113" s="146"/>
      <c r="G113" s="146"/>
      <c r="H113" s="151"/>
      <c r="I113" s="151"/>
      <c r="J113" s="151"/>
      <c r="K113" s="141"/>
    </row>
    <row r="114" spans="1:11" x14ac:dyDescent="0.25">
      <c r="A114" s="140">
        <f t="shared" si="34"/>
        <v>106</v>
      </c>
      <c r="B114" s="158"/>
      <c r="C114" s="8"/>
      <c r="D114" s="8"/>
      <c r="E114" s="146"/>
      <c r="F114" s="146"/>
      <c r="G114" s="146"/>
      <c r="H114" s="151"/>
      <c r="I114" s="151"/>
      <c r="J114" s="151"/>
      <c r="K114" s="141"/>
    </row>
    <row r="115" spans="1:11" x14ac:dyDescent="0.25">
      <c r="A115" s="140">
        <f t="shared" si="34"/>
        <v>107</v>
      </c>
      <c r="B115" s="147" t="str">
        <f>+B112</f>
        <v>54E</v>
      </c>
      <c r="C115" s="8" t="s">
        <v>155</v>
      </c>
      <c r="D115" s="154" t="s">
        <v>156</v>
      </c>
      <c r="E115" s="150">
        <v>0.02</v>
      </c>
      <c r="F115" s="150">
        <v>0.01</v>
      </c>
      <c r="G115" s="150">
        <f t="shared" ref="G115:G123" si="54">SUM(E115:F115)</f>
        <v>0.03</v>
      </c>
      <c r="H115" s="151">
        <v>20592</v>
      </c>
      <c r="I115" s="152">
        <f t="shared" ref="I115:I123" si="55">ROUND($H115*E115,0)</f>
        <v>412</v>
      </c>
      <c r="J115" s="152">
        <f t="shared" ref="J115:J123" si="56">ROUND($H115*F115,0)</f>
        <v>206</v>
      </c>
      <c r="K115" s="152">
        <f t="shared" ref="K115:K123" si="57">SUM(I115:J115)</f>
        <v>618</v>
      </c>
    </row>
    <row r="116" spans="1:11" x14ac:dyDescent="0.25">
      <c r="A116" s="140">
        <f t="shared" si="34"/>
        <v>108</v>
      </c>
      <c r="B116" s="147" t="str">
        <f t="shared" ref="B116:B123" si="58">+B115</f>
        <v>54E</v>
      </c>
      <c r="C116" s="8" t="s">
        <v>155</v>
      </c>
      <c r="D116" s="154" t="s">
        <v>157</v>
      </c>
      <c r="E116" s="150">
        <v>0.04</v>
      </c>
      <c r="F116" s="150">
        <v>0.01</v>
      </c>
      <c r="G116" s="150">
        <f t="shared" si="54"/>
        <v>0.05</v>
      </c>
      <c r="H116" s="151">
        <v>1906</v>
      </c>
      <c r="I116" s="152">
        <f t="shared" si="55"/>
        <v>76</v>
      </c>
      <c r="J116" s="152">
        <f t="shared" si="56"/>
        <v>19</v>
      </c>
      <c r="K116" s="152">
        <f t="shared" si="57"/>
        <v>95</v>
      </c>
    </row>
    <row r="117" spans="1:11" x14ac:dyDescent="0.25">
      <c r="A117" s="140">
        <f t="shared" si="34"/>
        <v>109</v>
      </c>
      <c r="B117" s="147" t="str">
        <f t="shared" si="58"/>
        <v>54E</v>
      </c>
      <c r="C117" s="8" t="s">
        <v>155</v>
      </c>
      <c r="D117" s="154" t="s">
        <v>158</v>
      </c>
      <c r="E117" s="150">
        <v>0.05</v>
      </c>
      <c r="F117" s="150">
        <v>0.02</v>
      </c>
      <c r="G117" s="150">
        <f t="shared" si="54"/>
        <v>7.0000000000000007E-2</v>
      </c>
      <c r="H117" s="151">
        <v>20220</v>
      </c>
      <c r="I117" s="152">
        <f t="shared" si="55"/>
        <v>1011</v>
      </c>
      <c r="J117" s="152">
        <f t="shared" si="56"/>
        <v>404</v>
      </c>
      <c r="K117" s="152">
        <f t="shared" si="57"/>
        <v>1415</v>
      </c>
    </row>
    <row r="118" spans="1:11" x14ac:dyDescent="0.25">
      <c r="A118" s="140">
        <f t="shared" si="34"/>
        <v>110</v>
      </c>
      <c r="B118" s="147" t="str">
        <f t="shared" si="58"/>
        <v>54E</v>
      </c>
      <c r="C118" s="8" t="s">
        <v>155</v>
      </c>
      <c r="D118" s="154" t="s">
        <v>159</v>
      </c>
      <c r="E118" s="150">
        <v>0.06</v>
      </c>
      <c r="F118" s="150">
        <v>0.02</v>
      </c>
      <c r="G118" s="150">
        <f t="shared" si="54"/>
        <v>0.08</v>
      </c>
      <c r="H118" s="151">
        <v>9552</v>
      </c>
      <c r="I118" s="152">
        <f t="shared" si="55"/>
        <v>573</v>
      </c>
      <c r="J118" s="152">
        <f t="shared" si="56"/>
        <v>191</v>
      </c>
      <c r="K118" s="152">
        <f t="shared" si="57"/>
        <v>764</v>
      </c>
    </row>
    <row r="119" spans="1:11" x14ac:dyDescent="0.25">
      <c r="A119" s="140">
        <f t="shared" si="34"/>
        <v>111</v>
      </c>
      <c r="B119" s="147" t="str">
        <f t="shared" si="58"/>
        <v>54E</v>
      </c>
      <c r="C119" s="8" t="s">
        <v>155</v>
      </c>
      <c r="D119" s="154" t="s">
        <v>160</v>
      </c>
      <c r="E119" s="150">
        <v>0.08</v>
      </c>
      <c r="F119" s="150">
        <v>0.02</v>
      </c>
      <c r="G119" s="150">
        <f t="shared" si="54"/>
        <v>0.1</v>
      </c>
      <c r="H119" s="151">
        <v>7621</v>
      </c>
      <c r="I119" s="152">
        <f t="shared" si="55"/>
        <v>610</v>
      </c>
      <c r="J119" s="152">
        <f t="shared" si="56"/>
        <v>152</v>
      </c>
      <c r="K119" s="152">
        <f t="shared" si="57"/>
        <v>762</v>
      </c>
    </row>
    <row r="120" spans="1:11" x14ac:dyDescent="0.25">
      <c r="A120" s="140">
        <f t="shared" si="34"/>
        <v>112</v>
      </c>
      <c r="B120" s="147" t="str">
        <f t="shared" si="58"/>
        <v>54E</v>
      </c>
      <c r="C120" s="8" t="s">
        <v>155</v>
      </c>
      <c r="D120" s="154" t="s">
        <v>161</v>
      </c>
      <c r="E120" s="150">
        <v>0.09</v>
      </c>
      <c r="F120" s="150">
        <v>0.03</v>
      </c>
      <c r="G120" s="150">
        <f t="shared" si="54"/>
        <v>0.12</v>
      </c>
      <c r="H120" s="151">
        <v>132</v>
      </c>
      <c r="I120" s="152">
        <f t="shared" si="55"/>
        <v>12</v>
      </c>
      <c r="J120" s="152">
        <f t="shared" si="56"/>
        <v>4</v>
      </c>
      <c r="K120" s="152">
        <f t="shared" si="57"/>
        <v>16</v>
      </c>
    </row>
    <row r="121" spans="1:11" x14ac:dyDescent="0.25">
      <c r="A121" s="140">
        <f t="shared" si="34"/>
        <v>113</v>
      </c>
      <c r="B121" s="147" t="str">
        <f t="shared" si="58"/>
        <v>54E</v>
      </c>
      <c r="C121" s="8" t="s">
        <v>155</v>
      </c>
      <c r="D121" s="154" t="s">
        <v>162</v>
      </c>
      <c r="E121" s="150">
        <v>0.11</v>
      </c>
      <c r="F121" s="150">
        <v>0.03</v>
      </c>
      <c r="G121" s="150">
        <f t="shared" si="54"/>
        <v>0.14000000000000001</v>
      </c>
      <c r="H121" s="151">
        <v>62</v>
      </c>
      <c r="I121" s="152">
        <f t="shared" si="55"/>
        <v>7</v>
      </c>
      <c r="J121" s="152">
        <f t="shared" si="56"/>
        <v>2</v>
      </c>
      <c r="K121" s="152">
        <f t="shared" si="57"/>
        <v>9</v>
      </c>
    </row>
    <row r="122" spans="1:11" x14ac:dyDescent="0.25">
      <c r="A122" s="140">
        <f t="shared" si="34"/>
        <v>114</v>
      </c>
      <c r="B122" s="147" t="str">
        <f t="shared" si="58"/>
        <v>54E</v>
      </c>
      <c r="C122" s="8" t="s">
        <v>155</v>
      </c>
      <c r="D122" s="154" t="s">
        <v>163</v>
      </c>
      <c r="E122" s="150">
        <v>0.12</v>
      </c>
      <c r="F122" s="150">
        <v>0.04</v>
      </c>
      <c r="G122" s="150">
        <f t="shared" si="54"/>
        <v>0.16</v>
      </c>
      <c r="H122" s="151">
        <v>36</v>
      </c>
      <c r="I122" s="152">
        <f t="shared" si="55"/>
        <v>4</v>
      </c>
      <c r="J122" s="152">
        <f t="shared" si="56"/>
        <v>1</v>
      </c>
      <c r="K122" s="152">
        <f t="shared" si="57"/>
        <v>5</v>
      </c>
    </row>
    <row r="123" spans="1:11" x14ac:dyDescent="0.25">
      <c r="A123" s="140">
        <f t="shared" si="34"/>
        <v>115</v>
      </c>
      <c r="B123" s="147" t="str">
        <f t="shared" si="58"/>
        <v>54E</v>
      </c>
      <c r="C123" s="8" t="s">
        <v>155</v>
      </c>
      <c r="D123" s="154" t="s">
        <v>164</v>
      </c>
      <c r="E123" s="150">
        <v>0.14000000000000001</v>
      </c>
      <c r="F123" s="150">
        <v>0.04</v>
      </c>
      <c r="G123" s="150">
        <f t="shared" si="54"/>
        <v>0.18000000000000002</v>
      </c>
      <c r="H123" s="151">
        <v>0</v>
      </c>
      <c r="I123" s="152">
        <f t="shared" si="55"/>
        <v>0</v>
      </c>
      <c r="J123" s="152">
        <f t="shared" si="56"/>
        <v>0</v>
      </c>
      <c r="K123" s="152">
        <f t="shared" si="57"/>
        <v>0</v>
      </c>
    </row>
    <row r="124" spans="1:11" x14ac:dyDescent="0.25">
      <c r="A124" s="140">
        <f t="shared" si="34"/>
        <v>116</v>
      </c>
      <c r="B124" s="158"/>
      <c r="C124" s="8"/>
      <c r="D124" s="8"/>
      <c r="E124" s="146"/>
      <c r="F124" s="146"/>
      <c r="G124" s="146"/>
      <c r="H124" s="151"/>
      <c r="I124" s="151"/>
      <c r="J124" s="151"/>
      <c r="K124" s="141"/>
    </row>
    <row r="125" spans="1:11" x14ac:dyDescent="0.25">
      <c r="A125" s="140">
        <f t="shared" si="34"/>
        <v>117</v>
      </c>
      <c r="B125" s="145" t="s">
        <v>173</v>
      </c>
      <c r="C125" s="8"/>
      <c r="D125" s="8"/>
      <c r="E125" s="146"/>
      <c r="F125" s="146"/>
      <c r="G125" s="146"/>
      <c r="H125" s="151"/>
      <c r="I125" s="151"/>
      <c r="J125" s="151"/>
      <c r="K125" s="141"/>
    </row>
    <row r="126" spans="1:11" x14ac:dyDescent="0.25">
      <c r="A126" s="140">
        <f t="shared" si="34"/>
        <v>118</v>
      </c>
      <c r="B126" s="147" t="s">
        <v>174</v>
      </c>
      <c r="C126" s="8" t="s">
        <v>82</v>
      </c>
      <c r="D126" s="8">
        <v>70</v>
      </c>
      <c r="E126" s="150">
        <v>0.41</v>
      </c>
      <c r="F126" s="150">
        <v>0.13</v>
      </c>
      <c r="G126" s="150">
        <f t="shared" ref="G126:G131" si="59">SUM(E126:F126)</f>
        <v>0.54</v>
      </c>
      <c r="H126" s="151">
        <v>203</v>
      </c>
      <c r="I126" s="152">
        <f t="shared" ref="I126:I131" si="60">ROUND($H126*E126,0)</f>
        <v>83</v>
      </c>
      <c r="J126" s="152">
        <f t="shared" ref="J126:J131" si="61">ROUND($H126*F126,0)</f>
        <v>26</v>
      </c>
      <c r="K126" s="152">
        <f t="shared" ref="K126:K131" si="62">SUM(I126:J126)</f>
        <v>109</v>
      </c>
    </row>
    <row r="127" spans="1:11" x14ac:dyDescent="0.25">
      <c r="A127" s="140">
        <f t="shared" si="34"/>
        <v>119</v>
      </c>
      <c r="B127" s="158" t="str">
        <f>+B126</f>
        <v>55E &amp; 56E</v>
      </c>
      <c r="C127" s="8" t="s">
        <v>82</v>
      </c>
      <c r="D127" s="8">
        <v>100</v>
      </c>
      <c r="E127" s="150">
        <v>0.44</v>
      </c>
      <c r="F127" s="150">
        <v>0.14000000000000001</v>
      </c>
      <c r="G127" s="150">
        <f t="shared" si="59"/>
        <v>0.58000000000000007</v>
      </c>
      <c r="H127" s="151">
        <v>45401</v>
      </c>
      <c r="I127" s="152">
        <f t="shared" si="60"/>
        <v>19976</v>
      </c>
      <c r="J127" s="152">
        <f t="shared" si="61"/>
        <v>6356</v>
      </c>
      <c r="K127" s="152">
        <f t="shared" si="62"/>
        <v>26332</v>
      </c>
    </row>
    <row r="128" spans="1:11" x14ac:dyDescent="0.25">
      <c r="A128" s="140">
        <f t="shared" si="34"/>
        <v>120</v>
      </c>
      <c r="B128" s="158" t="str">
        <f>+B127</f>
        <v>55E &amp; 56E</v>
      </c>
      <c r="C128" s="8" t="s">
        <v>82</v>
      </c>
      <c r="D128" s="8">
        <v>150</v>
      </c>
      <c r="E128" s="150">
        <v>0.49</v>
      </c>
      <c r="F128" s="150">
        <v>0.15</v>
      </c>
      <c r="G128" s="150">
        <f t="shared" si="59"/>
        <v>0.64</v>
      </c>
      <c r="H128" s="151">
        <v>6104</v>
      </c>
      <c r="I128" s="152">
        <f t="shared" si="60"/>
        <v>2991</v>
      </c>
      <c r="J128" s="152">
        <f t="shared" si="61"/>
        <v>916</v>
      </c>
      <c r="K128" s="152">
        <f t="shared" si="62"/>
        <v>3907</v>
      </c>
    </row>
    <row r="129" spans="1:11" x14ac:dyDescent="0.25">
      <c r="A129" s="140">
        <f t="shared" si="34"/>
        <v>121</v>
      </c>
      <c r="B129" s="158" t="str">
        <f>+B128</f>
        <v>55E &amp; 56E</v>
      </c>
      <c r="C129" s="8" t="s">
        <v>82</v>
      </c>
      <c r="D129" s="8">
        <v>200</v>
      </c>
      <c r="E129" s="150">
        <v>0.53</v>
      </c>
      <c r="F129" s="150">
        <v>0.17</v>
      </c>
      <c r="G129" s="150">
        <f t="shared" si="59"/>
        <v>0.70000000000000007</v>
      </c>
      <c r="H129" s="151">
        <v>12985</v>
      </c>
      <c r="I129" s="152">
        <f t="shared" si="60"/>
        <v>6882</v>
      </c>
      <c r="J129" s="152">
        <f t="shared" si="61"/>
        <v>2207</v>
      </c>
      <c r="K129" s="152">
        <f t="shared" si="62"/>
        <v>9089</v>
      </c>
    </row>
    <row r="130" spans="1:11" x14ac:dyDescent="0.25">
      <c r="A130" s="140">
        <f t="shared" si="34"/>
        <v>122</v>
      </c>
      <c r="B130" s="158" t="str">
        <f>+B129</f>
        <v>55E &amp; 56E</v>
      </c>
      <c r="C130" s="8" t="s">
        <v>82</v>
      </c>
      <c r="D130" s="8">
        <v>250</v>
      </c>
      <c r="E130" s="150">
        <v>0.57999999999999996</v>
      </c>
      <c r="F130" s="150">
        <v>0.18</v>
      </c>
      <c r="G130" s="150">
        <f t="shared" si="59"/>
        <v>0.76</v>
      </c>
      <c r="H130" s="151">
        <v>1401</v>
      </c>
      <c r="I130" s="152">
        <f t="shared" si="60"/>
        <v>813</v>
      </c>
      <c r="J130" s="152">
        <f t="shared" si="61"/>
        <v>252</v>
      </c>
      <c r="K130" s="152">
        <f t="shared" si="62"/>
        <v>1065</v>
      </c>
    </row>
    <row r="131" spans="1:11" x14ac:dyDescent="0.25">
      <c r="A131" s="140">
        <f t="shared" si="34"/>
        <v>123</v>
      </c>
      <c r="B131" s="158" t="str">
        <f>+B130</f>
        <v>55E &amp; 56E</v>
      </c>
      <c r="C131" s="8" t="s">
        <v>82</v>
      </c>
      <c r="D131" s="8">
        <v>400</v>
      </c>
      <c r="E131" s="150">
        <v>0.71</v>
      </c>
      <c r="F131" s="150">
        <v>0.23</v>
      </c>
      <c r="G131" s="150">
        <f t="shared" si="59"/>
        <v>0.94</v>
      </c>
      <c r="H131" s="151">
        <v>564</v>
      </c>
      <c r="I131" s="152">
        <f t="shared" si="60"/>
        <v>400</v>
      </c>
      <c r="J131" s="152">
        <f t="shared" si="61"/>
        <v>130</v>
      </c>
      <c r="K131" s="152">
        <f t="shared" si="62"/>
        <v>530</v>
      </c>
    </row>
    <row r="132" spans="1:11" x14ac:dyDescent="0.25">
      <c r="A132" s="140">
        <f t="shared" si="34"/>
        <v>124</v>
      </c>
      <c r="B132" s="158"/>
      <c r="C132" s="8"/>
      <c r="D132" s="8"/>
      <c r="E132" s="146"/>
      <c r="F132" s="146"/>
      <c r="G132" s="146"/>
      <c r="H132" s="151"/>
      <c r="I132" s="151"/>
      <c r="J132" s="151"/>
      <c r="K132" s="141"/>
    </row>
    <row r="133" spans="1:11" x14ac:dyDescent="0.25">
      <c r="A133" s="140">
        <f t="shared" si="34"/>
        <v>125</v>
      </c>
      <c r="B133" s="158" t="str">
        <f>+B131</f>
        <v>55E &amp; 56E</v>
      </c>
      <c r="C133" s="8" t="s">
        <v>167</v>
      </c>
      <c r="D133" s="8">
        <v>250</v>
      </c>
      <c r="E133" s="150">
        <v>0.63</v>
      </c>
      <c r="F133" s="150">
        <v>0.2</v>
      </c>
      <c r="G133" s="150">
        <f>SUM(E133:F133)</f>
        <v>0.83000000000000007</v>
      </c>
      <c r="H133" s="151">
        <v>72</v>
      </c>
      <c r="I133" s="152">
        <f>ROUND($H133*E133,0)</f>
        <v>45</v>
      </c>
      <c r="J133" s="152">
        <f>ROUND($H133*F133,0)</f>
        <v>14</v>
      </c>
      <c r="K133" s="152">
        <f t="shared" ref="K133" si="63">SUM(I133:J133)</f>
        <v>59</v>
      </c>
    </row>
    <row r="134" spans="1:11" x14ac:dyDescent="0.25">
      <c r="A134" s="140">
        <f t="shared" si="34"/>
        <v>126</v>
      </c>
      <c r="B134" s="158"/>
      <c r="C134" s="8"/>
      <c r="D134" s="8"/>
      <c r="E134" s="146"/>
      <c r="F134" s="146"/>
      <c r="G134" s="146"/>
      <c r="H134" s="151"/>
      <c r="I134" s="151"/>
      <c r="J134" s="151"/>
      <c r="K134" s="141"/>
    </row>
    <row r="135" spans="1:11" x14ac:dyDescent="0.25">
      <c r="A135" s="140">
        <f t="shared" si="34"/>
        <v>127</v>
      </c>
      <c r="B135" s="158" t="s">
        <v>174</v>
      </c>
      <c r="C135" s="8" t="s">
        <v>155</v>
      </c>
      <c r="D135" s="284" t="s">
        <v>406</v>
      </c>
      <c r="E135" s="150">
        <v>0.56999999999999995</v>
      </c>
      <c r="F135" s="150">
        <v>0.18</v>
      </c>
      <c r="G135" s="150">
        <f t="shared" ref="G135:G143" si="64">SUM(E135:F135)</f>
        <v>0.75</v>
      </c>
      <c r="H135" s="151">
        <v>6138</v>
      </c>
      <c r="I135" s="152">
        <f t="shared" ref="I135:I143" si="65">ROUND($H135*E135,0)</f>
        <v>3499</v>
      </c>
      <c r="J135" s="152">
        <f t="shared" ref="J135:J143" si="66">ROUND($H135*F135,0)</f>
        <v>1105</v>
      </c>
      <c r="K135" s="152">
        <f t="shared" ref="K135:K143" si="67">SUM(I135:J135)</f>
        <v>4604</v>
      </c>
    </row>
    <row r="136" spans="1:11" x14ac:dyDescent="0.25">
      <c r="A136" s="140">
        <f t="shared" si="34"/>
        <v>128</v>
      </c>
      <c r="B136" s="158" t="s">
        <v>174</v>
      </c>
      <c r="C136" s="8" t="s">
        <v>155</v>
      </c>
      <c r="D136" s="154" t="s">
        <v>157</v>
      </c>
      <c r="E136" s="150">
        <v>0.59</v>
      </c>
      <c r="F136" s="150">
        <v>0.19</v>
      </c>
      <c r="G136" s="150">
        <f t="shared" si="64"/>
        <v>0.78</v>
      </c>
      <c r="H136" s="151">
        <v>17</v>
      </c>
      <c r="I136" s="152">
        <f t="shared" si="65"/>
        <v>10</v>
      </c>
      <c r="J136" s="152">
        <f t="shared" si="66"/>
        <v>3</v>
      </c>
      <c r="K136" s="152">
        <f t="shared" si="67"/>
        <v>13</v>
      </c>
    </row>
    <row r="137" spans="1:11" x14ac:dyDescent="0.25">
      <c r="A137" s="140">
        <f t="shared" si="34"/>
        <v>129</v>
      </c>
      <c r="B137" s="158" t="s">
        <v>174</v>
      </c>
      <c r="C137" s="8" t="s">
        <v>155</v>
      </c>
      <c r="D137" s="154" t="s">
        <v>158</v>
      </c>
      <c r="E137" s="150">
        <v>0.61</v>
      </c>
      <c r="F137" s="150">
        <v>0.2</v>
      </c>
      <c r="G137" s="150">
        <f t="shared" si="64"/>
        <v>0.81</v>
      </c>
      <c r="H137" s="151">
        <v>1451</v>
      </c>
      <c r="I137" s="152">
        <f t="shared" si="65"/>
        <v>885</v>
      </c>
      <c r="J137" s="152">
        <f t="shared" si="66"/>
        <v>290</v>
      </c>
      <c r="K137" s="152">
        <f t="shared" si="67"/>
        <v>1175</v>
      </c>
    </row>
    <row r="138" spans="1:11" x14ac:dyDescent="0.25">
      <c r="A138" s="140">
        <f t="shared" si="34"/>
        <v>130</v>
      </c>
      <c r="B138" s="158" t="s">
        <v>174</v>
      </c>
      <c r="C138" s="8" t="s">
        <v>155</v>
      </c>
      <c r="D138" s="154" t="s">
        <v>159</v>
      </c>
      <c r="E138" s="150">
        <v>0.64</v>
      </c>
      <c r="F138" s="150">
        <v>0.2</v>
      </c>
      <c r="G138" s="150">
        <f t="shared" si="64"/>
        <v>0.84000000000000008</v>
      </c>
      <c r="H138" s="151">
        <v>0</v>
      </c>
      <c r="I138" s="152">
        <f t="shared" si="65"/>
        <v>0</v>
      </c>
      <c r="J138" s="152">
        <f t="shared" si="66"/>
        <v>0</v>
      </c>
      <c r="K138" s="152">
        <f t="shared" si="67"/>
        <v>0</v>
      </c>
    </row>
    <row r="139" spans="1:11" x14ac:dyDescent="0.25">
      <c r="A139" s="140">
        <f t="shared" ref="A139:A195" si="68">A138+1</f>
        <v>131</v>
      </c>
      <c r="B139" s="158" t="s">
        <v>174</v>
      </c>
      <c r="C139" s="8" t="s">
        <v>155</v>
      </c>
      <c r="D139" s="154" t="s">
        <v>160</v>
      </c>
      <c r="E139" s="150">
        <v>0.66</v>
      </c>
      <c r="F139" s="150">
        <v>0.21</v>
      </c>
      <c r="G139" s="150">
        <f t="shared" si="64"/>
        <v>0.87</v>
      </c>
      <c r="H139" s="151">
        <v>0</v>
      </c>
      <c r="I139" s="152">
        <f t="shared" si="65"/>
        <v>0</v>
      </c>
      <c r="J139" s="152">
        <f t="shared" si="66"/>
        <v>0</v>
      </c>
      <c r="K139" s="152">
        <f t="shared" si="67"/>
        <v>0</v>
      </c>
    </row>
    <row r="140" spans="1:11" x14ac:dyDescent="0.25">
      <c r="A140" s="140">
        <f t="shared" si="68"/>
        <v>132</v>
      </c>
      <c r="B140" s="158" t="s">
        <v>174</v>
      </c>
      <c r="C140" s="8" t="s">
        <v>155</v>
      </c>
      <c r="D140" s="154" t="s">
        <v>161</v>
      </c>
      <c r="E140" s="150">
        <v>0.68</v>
      </c>
      <c r="F140" s="150">
        <v>0.22</v>
      </c>
      <c r="G140" s="150">
        <f t="shared" si="64"/>
        <v>0.9</v>
      </c>
      <c r="H140" s="151">
        <v>0</v>
      </c>
      <c r="I140" s="152">
        <f t="shared" si="65"/>
        <v>0</v>
      </c>
      <c r="J140" s="152">
        <f t="shared" si="66"/>
        <v>0</v>
      </c>
      <c r="K140" s="152">
        <f t="shared" si="67"/>
        <v>0</v>
      </c>
    </row>
    <row r="141" spans="1:11" x14ac:dyDescent="0.25">
      <c r="A141" s="140">
        <f t="shared" si="68"/>
        <v>133</v>
      </c>
      <c r="B141" s="158" t="s">
        <v>174</v>
      </c>
      <c r="C141" s="8" t="s">
        <v>155</v>
      </c>
      <c r="D141" s="154" t="s">
        <v>162</v>
      </c>
      <c r="E141" s="150">
        <v>0.71</v>
      </c>
      <c r="F141" s="150">
        <v>0.22</v>
      </c>
      <c r="G141" s="150">
        <f t="shared" si="64"/>
        <v>0.92999999999999994</v>
      </c>
      <c r="H141" s="151">
        <v>0</v>
      </c>
      <c r="I141" s="152">
        <f t="shared" si="65"/>
        <v>0</v>
      </c>
      <c r="J141" s="152">
        <f t="shared" si="66"/>
        <v>0</v>
      </c>
      <c r="K141" s="152">
        <f t="shared" si="67"/>
        <v>0</v>
      </c>
    </row>
    <row r="142" spans="1:11" x14ac:dyDescent="0.25">
      <c r="A142" s="140">
        <f t="shared" si="68"/>
        <v>134</v>
      </c>
      <c r="B142" s="158" t="s">
        <v>174</v>
      </c>
      <c r="C142" s="8" t="s">
        <v>155</v>
      </c>
      <c r="D142" s="154" t="s">
        <v>163</v>
      </c>
      <c r="E142" s="150">
        <v>0.73</v>
      </c>
      <c r="F142" s="150">
        <v>0.23</v>
      </c>
      <c r="G142" s="150">
        <f t="shared" si="64"/>
        <v>0.96</v>
      </c>
      <c r="H142" s="151">
        <v>0</v>
      </c>
      <c r="I142" s="152">
        <f t="shared" si="65"/>
        <v>0</v>
      </c>
      <c r="J142" s="152">
        <f t="shared" si="66"/>
        <v>0</v>
      </c>
      <c r="K142" s="152">
        <f t="shared" si="67"/>
        <v>0</v>
      </c>
    </row>
    <row r="143" spans="1:11" x14ac:dyDescent="0.25">
      <c r="A143" s="140">
        <f t="shared" si="68"/>
        <v>135</v>
      </c>
      <c r="B143" s="158" t="s">
        <v>174</v>
      </c>
      <c r="C143" s="8" t="s">
        <v>155</v>
      </c>
      <c r="D143" s="154" t="s">
        <v>164</v>
      </c>
      <c r="E143" s="150">
        <v>0.75</v>
      </c>
      <c r="F143" s="150">
        <v>0.24</v>
      </c>
      <c r="G143" s="150">
        <f t="shared" si="64"/>
        <v>0.99</v>
      </c>
      <c r="H143" s="151">
        <v>0</v>
      </c>
      <c r="I143" s="152">
        <f t="shared" si="65"/>
        <v>0</v>
      </c>
      <c r="J143" s="152">
        <f t="shared" si="66"/>
        <v>0</v>
      </c>
      <c r="K143" s="152">
        <f t="shared" si="67"/>
        <v>0</v>
      </c>
    </row>
    <row r="144" spans="1:11" x14ac:dyDescent="0.25">
      <c r="A144" s="140">
        <f t="shared" si="68"/>
        <v>136</v>
      </c>
      <c r="B144" s="158"/>
      <c r="C144" s="8"/>
      <c r="D144" s="8"/>
      <c r="E144" s="146"/>
      <c r="F144" s="146"/>
      <c r="G144" s="146"/>
      <c r="H144" s="151"/>
      <c r="I144" s="151"/>
      <c r="J144" s="151"/>
      <c r="K144" s="141"/>
    </row>
    <row r="145" spans="1:11" x14ac:dyDescent="0.25">
      <c r="A145" s="140">
        <f t="shared" si="68"/>
        <v>137</v>
      </c>
      <c r="B145" s="145" t="s">
        <v>175</v>
      </c>
      <c r="C145" s="8"/>
      <c r="D145" s="8"/>
      <c r="E145" s="146"/>
      <c r="F145" s="146"/>
      <c r="G145" s="146"/>
      <c r="H145" s="151"/>
      <c r="I145" s="151"/>
      <c r="J145" s="151"/>
      <c r="K145" s="141"/>
    </row>
    <row r="146" spans="1:11" x14ac:dyDescent="0.25">
      <c r="A146" s="140">
        <f t="shared" si="68"/>
        <v>138</v>
      </c>
      <c r="B146" s="147" t="s">
        <v>176</v>
      </c>
      <c r="C146" s="8" t="s">
        <v>82</v>
      </c>
      <c r="D146" s="159">
        <v>70</v>
      </c>
      <c r="E146" s="150">
        <v>0.41</v>
      </c>
      <c r="F146" s="150">
        <v>0.13</v>
      </c>
      <c r="G146" s="150">
        <f t="shared" ref="G146:G151" si="69">SUM(E146:F146)</f>
        <v>0.54</v>
      </c>
      <c r="H146" s="151">
        <v>676</v>
      </c>
      <c r="I146" s="152">
        <f t="shared" ref="I146:I151" si="70">ROUND($H146*E146,0)</f>
        <v>277</v>
      </c>
      <c r="J146" s="152">
        <f t="shared" ref="J146:J151" si="71">ROUND($H146*F146,0)</f>
        <v>88</v>
      </c>
      <c r="K146" s="152">
        <f t="shared" ref="K146:K151" si="72">SUM(I146:J146)</f>
        <v>365</v>
      </c>
    </row>
    <row r="147" spans="1:11" x14ac:dyDescent="0.25">
      <c r="A147" s="140">
        <f t="shared" si="68"/>
        <v>139</v>
      </c>
      <c r="B147" s="158" t="str">
        <f t="shared" ref="B147:B151" si="73">+B146</f>
        <v>58E &amp; 59E - Directional</v>
      </c>
      <c r="C147" s="8" t="s">
        <v>82</v>
      </c>
      <c r="D147" s="159">
        <v>100</v>
      </c>
      <c r="E147" s="150">
        <v>0.44</v>
      </c>
      <c r="F147" s="150">
        <v>0.14000000000000001</v>
      </c>
      <c r="G147" s="150">
        <f t="shared" si="69"/>
        <v>0.58000000000000007</v>
      </c>
      <c r="H147" s="151">
        <v>131</v>
      </c>
      <c r="I147" s="152">
        <f t="shared" si="70"/>
        <v>58</v>
      </c>
      <c r="J147" s="152">
        <f t="shared" si="71"/>
        <v>18</v>
      </c>
      <c r="K147" s="152">
        <f t="shared" si="72"/>
        <v>76</v>
      </c>
    </row>
    <row r="148" spans="1:11" x14ac:dyDescent="0.25">
      <c r="A148" s="140">
        <f t="shared" si="68"/>
        <v>140</v>
      </c>
      <c r="B148" s="158" t="str">
        <f t="shared" si="73"/>
        <v>58E &amp; 59E - Directional</v>
      </c>
      <c r="C148" s="8" t="s">
        <v>82</v>
      </c>
      <c r="D148" s="159">
        <v>150</v>
      </c>
      <c r="E148" s="150">
        <v>0.49</v>
      </c>
      <c r="F148" s="150">
        <v>0.15</v>
      </c>
      <c r="G148" s="150">
        <f t="shared" si="69"/>
        <v>0.64</v>
      </c>
      <c r="H148" s="151">
        <v>1901</v>
      </c>
      <c r="I148" s="152">
        <f t="shared" si="70"/>
        <v>931</v>
      </c>
      <c r="J148" s="152">
        <f t="shared" si="71"/>
        <v>285</v>
      </c>
      <c r="K148" s="152">
        <f t="shared" si="72"/>
        <v>1216</v>
      </c>
    </row>
    <row r="149" spans="1:11" x14ac:dyDescent="0.25">
      <c r="A149" s="140">
        <f t="shared" si="68"/>
        <v>141</v>
      </c>
      <c r="B149" s="158" t="str">
        <f t="shared" si="73"/>
        <v>58E &amp; 59E - Directional</v>
      </c>
      <c r="C149" s="8" t="s">
        <v>82</v>
      </c>
      <c r="D149" s="8">
        <v>200</v>
      </c>
      <c r="E149" s="150">
        <v>0.53</v>
      </c>
      <c r="F149" s="150">
        <v>0.17</v>
      </c>
      <c r="G149" s="150">
        <f t="shared" si="69"/>
        <v>0.70000000000000007</v>
      </c>
      <c r="H149" s="151">
        <v>3359</v>
      </c>
      <c r="I149" s="152">
        <f t="shared" si="70"/>
        <v>1780</v>
      </c>
      <c r="J149" s="152">
        <f t="shared" si="71"/>
        <v>571</v>
      </c>
      <c r="K149" s="152">
        <f t="shared" si="72"/>
        <v>2351</v>
      </c>
    </row>
    <row r="150" spans="1:11" x14ac:dyDescent="0.25">
      <c r="A150" s="140">
        <f t="shared" si="68"/>
        <v>142</v>
      </c>
      <c r="B150" s="158" t="str">
        <f t="shared" si="73"/>
        <v>58E &amp; 59E - Directional</v>
      </c>
      <c r="C150" s="8" t="s">
        <v>82</v>
      </c>
      <c r="D150" s="8">
        <v>250</v>
      </c>
      <c r="E150" s="150">
        <v>0.57999999999999996</v>
      </c>
      <c r="F150" s="150">
        <v>0.18</v>
      </c>
      <c r="G150" s="150">
        <f t="shared" si="69"/>
        <v>0.76</v>
      </c>
      <c r="H150" s="151">
        <v>469</v>
      </c>
      <c r="I150" s="152">
        <f t="shared" si="70"/>
        <v>272</v>
      </c>
      <c r="J150" s="152">
        <f t="shared" si="71"/>
        <v>84</v>
      </c>
      <c r="K150" s="152">
        <f t="shared" si="72"/>
        <v>356</v>
      </c>
    </row>
    <row r="151" spans="1:11" x14ac:dyDescent="0.25">
      <c r="A151" s="140">
        <f t="shared" si="68"/>
        <v>143</v>
      </c>
      <c r="B151" s="158" t="str">
        <f t="shared" si="73"/>
        <v>58E &amp; 59E - Directional</v>
      </c>
      <c r="C151" s="8" t="s">
        <v>82</v>
      </c>
      <c r="D151" s="8">
        <v>400</v>
      </c>
      <c r="E151" s="150">
        <v>0.71</v>
      </c>
      <c r="F151" s="150">
        <v>0.23</v>
      </c>
      <c r="G151" s="150">
        <f t="shared" si="69"/>
        <v>0.94</v>
      </c>
      <c r="H151" s="151">
        <v>4329</v>
      </c>
      <c r="I151" s="152">
        <f t="shared" si="70"/>
        <v>3074</v>
      </c>
      <c r="J151" s="152">
        <f t="shared" si="71"/>
        <v>996</v>
      </c>
      <c r="K151" s="152">
        <f t="shared" si="72"/>
        <v>4070</v>
      </c>
    </row>
    <row r="152" spans="1:11" x14ac:dyDescent="0.25">
      <c r="A152" s="140">
        <f t="shared" si="68"/>
        <v>144</v>
      </c>
      <c r="B152" s="158"/>
      <c r="C152" s="8"/>
      <c r="D152" s="8"/>
      <c r="E152" s="146"/>
      <c r="F152" s="146"/>
      <c r="G152" s="146"/>
      <c r="H152" s="151"/>
      <c r="I152" s="151"/>
      <c r="J152" s="151"/>
      <c r="K152" s="141"/>
    </row>
    <row r="153" spans="1:11" x14ac:dyDescent="0.25">
      <c r="A153" s="140">
        <f t="shared" si="68"/>
        <v>145</v>
      </c>
      <c r="B153" s="147" t="s">
        <v>177</v>
      </c>
      <c r="C153" s="8" t="s">
        <v>82</v>
      </c>
      <c r="D153" s="8">
        <v>100</v>
      </c>
      <c r="E153" s="150">
        <v>0.44</v>
      </c>
      <c r="F153" s="150">
        <v>0.14000000000000001</v>
      </c>
      <c r="G153" s="150">
        <f t="shared" ref="G153:G157" si="74">SUM(E153:F153)</f>
        <v>0.58000000000000007</v>
      </c>
      <c r="H153" s="151">
        <v>12</v>
      </c>
      <c r="I153" s="152">
        <f t="shared" ref="I153:I157" si="75">ROUND($H153*E153,0)</f>
        <v>5</v>
      </c>
      <c r="J153" s="152">
        <f t="shared" ref="J153:J157" si="76">ROUND($H153*F153,0)</f>
        <v>2</v>
      </c>
      <c r="K153" s="152">
        <f t="shared" ref="K153:K157" si="77">SUM(I153:J153)</f>
        <v>7</v>
      </c>
    </row>
    <row r="154" spans="1:11" x14ac:dyDescent="0.25">
      <c r="A154" s="140">
        <f t="shared" si="68"/>
        <v>146</v>
      </c>
      <c r="B154" s="158" t="str">
        <f>B153</f>
        <v>58E &amp; 59E - Horizontal</v>
      </c>
      <c r="C154" s="8" t="s">
        <v>82</v>
      </c>
      <c r="D154" s="8">
        <v>150</v>
      </c>
      <c r="E154" s="150">
        <v>0.49</v>
      </c>
      <c r="F154" s="150">
        <v>0.15</v>
      </c>
      <c r="G154" s="150">
        <f t="shared" si="74"/>
        <v>0.64</v>
      </c>
      <c r="H154" s="151">
        <v>206</v>
      </c>
      <c r="I154" s="152">
        <f t="shared" si="75"/>
        <v>101</v>
      </c>
      <c r="J154" s="152">
        <f t="shared" si="76"/>
        <v>31</v>
      </c>
      <c r="K154" s="152">
        <f t="shared" si="77"/>
        <v>132</v>
      </c>
    </row>
    <row r="155" spans="1:11" x14ac:dyDescent="0.25">
      <c r="A155" s="140">
        <f t="shared" si="68"/>
        <v>147</v>
      </c>
      <c r="B155" s="158" t="str">
        <f t="shared" ref="B155:B157" si="78">B154</f>
        <v>58E &amp; 59E - Horizontal</v>
      </c>
      <c r="C155" s="8" t="s">
        <v>82</v>
      </c>
      <c r="D155" s="8">
        <v>200</v>
      </c>
      <c r="E155" s="150">
        <v>0.53</v>
      </c>
      <c r="F155" s="150">
        <v>0.17</v>
      </c>
      <c r="G155" s="150">
        <f t="shared" si="74"/>
        <v>0.70000000000000007</v>
      </c>
      <c r="H155" s="151">
        <v>143</v>
      </c>
      <c r="I155" s="152">
        <f t="shared" si="75"/>
        <v>76</v>
      </c>
      <c r="J155" s="152">
        <f t="shared" si="76"/>
        <v>24</v>
      </c>
      <c r="K155" s="152">
        <f t="shared" si="77"/>
        <v>100</v>
      </c>
    </row>
    <row r="156" spans="1:11" x14ac:dyDescent="0.25">
      <c r="A156" s="140">
        <f t="shared" si="68"/>
        <v>148</v>
      </c>
      <c r="B156" s="158" t="str">
        <f t="shared" si="78"/>
        <v>58E &amp; 59E - Horizontal</v>
      </c>
      <c r="C156" s="8" t="s">
        <v>82</v>
      </c>
      <c r="D156" s="8">
        <v>250</v>
      </c>
      <c r="E156" s="150">
        <v>0.57999999999999996</v>
      </c>
      <c r="F156" s="150">
        <v>0.18</v>
      </c>
      <c r="G156" s="150">
        <f t="shared" si="74"/>
        <v>0.76</v>
      </c>
      <c r="H156" s="151">
        <v>420</v>
      </c>
      <c r="I156" s="152">
        <f t="shared" si="75"/>
        <v>244</v>
      </c>
      <c r="J156" s="152">
        <f t="shared" si="76"/>
        <v>76</v>
      </c>
      <c r="K156" s="152">
        <f t="shared" si="77"/>
        <v>320</v>
      </c>
    </row>
    <row r="157" spans="1:11" x14ac:dyDescent="0.25">
      <c r="A157" s="140">
        <f t="shared" si="68"/>
        <v>149</v>
      </c>
      <c r="B157" s="158" t="str">
        <f t="shared" si="78"/>
        <v>58E &amp; 59E - Horizontal</v>
      </c>
      <c r="C157" s="8" t="s">
        <v>82</v>
      </c>
      <c r="D157" s="8">
        <v>400</v>
      </c>
      <c r="E157" s="150">
        <v>0.71</v>
      </c>
      <c r="F157" s="150">
        <v>0.23</v>
      </c>
      <c r="G157" s="150">
        <f t="shared" si="74"/>
        <v>0.94</v>
      </c>
      <c r="H157" s="151">
        <v>576</v>
      </c>
      <c r="I157" s="152">
        <f t="shared" si="75"/>
        <v>409</v>
      </c>
      <c r="J157" s="152">
        <f t="shared" si="76"/>
        <v>132</v>
      </c>
      <c r="K157" s="152">
        <f t="shared" si="77"/>
        <v>541</v>
      </c>
    </row>
    <row r="158" spans="1:11" x14ac:dyDescent="0.25">
      <c r="A158" s="140">
        <f t="shared" si="68"/>
        <v>150</v>
      </c>
      <c r="B158" s="158"/>
      <c r="C158" s="8"/>
      <c r="D158" s="8"/>
      <c r="E158" s="146"/>
      <c r="F158" s="146"/>
      <c r="G158" s="146"/>
      <c r="H158" s="151"/>
      <c r="I158" s="151"/>
      <c r="J158" s="151"/>
      <c r="K158" s="141"/>
    </row>
    <row r="159" spans="1:11" x14ac:dyDescent="0.25">
      <c r="A159" s="140">
        <f t="shared" si="68"/>
        <v>151</v>
      </c>
      <c r="B159" s="158" t="str">
        <f>B147</f>
        <v>58E &amp; 59E - Directional</v>
      </c>
      <c r="C159" s="8" t="s">
        <v>167</v>
      </c>
      <c r="D159" s="8">
        <v>175</v>
      </c>
      <c r="E159" s="150">
        <v>0.55000000000000004</v>
      </c>
      <c r="F159" s="150">
        <v>0.17</v>
      </c>
      <c r="G159" s="150">
        <f t="shared" ref="G159:G162" si="79">SUM(E159:F159)</f>
        <v>0.72000000000000008</v>
      </c>
      <c r="H159" s="151">
        <v>36</v>
      </c>
      <c r="I159" s="152">
        <f t="shared" ref="I159:I162" si="80">ROUND($H159*E159,0)</f>
        <v>20</v>
      </c>
      <c r="J159" s="152">
        <f t="shared" ref="J159:J162" si="81">ROUND($H159*F159,0)</f>
        <v>6</v>
      </c>
      <c r="K159" s="152">
        <f t="shared" ref="K159:K162" si="82">SUM(I159:J159)</f>
        <v>26</v>
      </c>
    </row>
    <row r="160" spans="1:11" x14ac:dyDescent="0.25">
      <c r="A160" s="140">
        <f t="shared" si="68"/>
        <v>152</v>
      </c>
      <c r="B160" s="158" t="str">
        <f>B159</f>
        <v>58E &amp; 59E - Directional</v>
      </c>
      <c r="C160" s="8" t="s">
        <v>167</v>
      </c>
      <c r="D160" s="8">
        <v>250</v>
      </c>
      <c r="E160" s="150">
        <v>0.63</v>
      </c>
      <c r="F160" s="150">
        <v>0.2</v>
      </c>
      <c r="G160" s="150">
        <f t="shared" si="79"/>
        <v>0.83000000000000007</v>
      </c>
      <c r="H160" s="151">
        <v>275</v>
      </c>
      <c r="I160" s="152">
        <f t="shared" si="80"/>
        <v>173</v>
      </c>
      <c r="J160" s="152">
        <f t="shared" si="81"/>
        <v>55</v>
      </c>
      <c r="K160" s="152">
        <f t="shared" si="82"/>
        <v>228</v>
      </c>
    </row>
    <row r="161" spans="1:11" x14ac:dyDescent="0.25">
      <c r="A161" s="140">
        <f t="shared" si="68"/>
        <v>153</v>
      </c>
      <c r="B161" s="158" t="str">
        <f t="shared" ref="B161:B162" si="83">B160</f>
        <v>58E &amp; 59E - Directional</v>
      </c>
      <c r="C161" s="8" t="s">
        <v>167</v>
      </c>
      <c r="D161" s="8">
        <v>400</v>
      </c>
      <c r="E161" s="150">
        <v>0.78</v>
      </c>
      <c r="F161" s="150">
        <v>0.25</v>
      </c>
      <c r="G161" s="150">
        <f t="shared" si="79"/>
        <v>1.03</v>
      </c>
      <c r="H161" s="151">
        <v>1060</v>
      </c>
      <c r="I161" s="152">
        <f t="shared" si="80"/>
        <v>827</v>
      </c>
      <c r="J161" s="152">
        <f t="shared" si="81"/>
        <v>265</v>
      </c>
      <c r="K161" s="152">
        <f t="shared" si="82"/>
        <v>1092</v>
      </c>
    </row>
    <row r="162" spans="1:11" x14ac:dyDescent="0.25">
      <c r="A162" s="140">
        <f t="shared" si="68"/>
        <v>154</v>
      </c>
      <c r="B162" s="158" t="str">
        <f t="shared" si="83"/>
        <v>58E &amp; 59E - Directional</v>
      </c>
      <c r="C162" s="8" t="s">
        <v>167</v>
      </c>
      <c r="D162" s="8">
        <v>1000</v>
      </c>
      <c r="E162" s="150">
        <v>1.41</v>
      </c>
      <c r="F162" s="150">
        <v>0.45</v>
      </c>
      <c r="G162" s="150">
        <f t="shared" si="79"/>
        <v>1.8599999999999999</v>
      </c>
      <c r="H162" s="151">
        <v>1520</v>
      </c>
      <c r="I162" s="152">
        <f t="shared" si="80"/>
        <v>2143</v>
      </c>
      <c r="J162" s="152">
        <f t="shared" si="81"/>
        <v>684</v>
      </c>
      <c r="K162" s="152">
        <f t="shared" si="82"/>
        <v>2827</v>
      </c>
    </row>
    <row r="163" spans="1:11" x14ac:dyDescent="0.25">
      <c r="A163" s="140">
        <f t="shared" si="68"/>
        <v>155</v>
      </c>
      <c r="B163" s="158"/>
      <c r="C163" s="8"/>
      <c r="D163" s="8"/>
      <c r="E163" s="146"/>
      <c r="F163" s="146"/>
      <c r="G163" s="146"/>
      <c r="H163" s="151"/>
      <c r="I163" s="151"/>
      <c r="J163" s="151"/>
      <c r="K163" s="141"/>
    </row>
    <row r="164" spans="1:11" x14ac:dyDescent="0.25">
      <c r="A164" s="140">
        <f t="shared" si="68"/>
        <v>156</v>
      </c>
      <c r="B164" s="158" t="str">
        <f>B153</f>
        <v>58E &amp; 59E - Horizontal</v>
      </c>
      <c r="C164" s="8" t="s">
        <v>167</v>
      </c>
      <c r="D164" s="8">
        <v>250</v>
      </c>
      <c r="E164" s="150">
        <v>0.63</v>
      </c>
      <c r="F164" s="150">
        <v>0.2</v>
      </c>
      <c r="G164" s="150">
        <f t="shared" ref="G164:G165" si="84">SUM(E164:F164)</f>
        <v>0.83000000000000007</v>
      </c>
      <c r="H164" s="151">
        <v>132</v>
      </c>
      <c r="I164" s="152">
        <f t="shared" ref="I164:I165" si="85">ROUND($H164*E164,0)</f>
        <v>83</v>
      </c>
      <c r="J164" s="152">
        <f t="shared" ref="J164:J165" si="86">ROUND($H164*F164,0)</f>
        <v>26</v>
      </c>
      <c r="K164" s="152">
        <f t="shared" ref="K164:K165" si="87">SUM(I164:J164)</f>
        <v>109</v>
      </c>
    </row>
    <row r="165" spans="1:11" x14ac:dyDescent="0.25">
      <c r="A165" s="140">
        <f t="shared" si="68"/>
        <v>157</v>
      </c>
      <c r="B165" s="158" t="str">
        <f>B164</f>
        <v>58E &amp; 59E - Horizontal</v>
      </c>
      <c r="C165" s="8" t="s">
        <v>167</v>
      </c>
      <c r="D165" s="8">
        <v>400</v>
      </c>
      <c r="E165" s="150">
        <v>0.78</v>
      </c>
      <c r="F165" s="150">
        <v>0.25</v>
      </c>
      <c r="G165" s="150">
        <f t="shared" si="84"/>
        <v>1.03</v>
      </c>
      <c r="H165" s="151">
        <v>480</v>
      </c>
      <c r="I165" s="152">
        <f t="shared" si="85"/>
        <v>374</v>
      </c>
      <c r="J165" s="152">
        <f t="shared" si="86"/>
        <v>120</v>
      </c>
      <c r="K165" s="152">
        <f t="shared" si="87"/>
        <v>494</v>
      </c>
    </row>
    <row r="166" spans="1:11" x14ac:dyDescent="0.25">
      <c r="A166" s="140">
        <f t="shared" si="68"/>
        <v>158</v>
      </c>
      <c r="B166" s="158"/>
      <c r="C166" s="8"/>
      <c r="D166" s="8"/>
      <c r="E166" s="146"/>
      <c r="F166" s="146"/>
      <c r="G166" s="146"/>
      <c r="H166" s="151"/>
      <c r="I166" s="151"/>
      <c r="J166" s="151"/>
      <c r="K166" s="141"/>
    </row>
    <row r="167" spans="1:11" x14ac:dyDescent="0.25">
      <c r="A167" s="140">
        <f t="shared" si="68"/>
        <v>159</v>
      </c>
      <c r="B167" s="158"/>
      <c r="C167" s="8"/>
      <c r="D167" s="8"/>
      <c r="E167" s="146"/>
      <c r="F167" s="146"/>
      <c r="G167" s="146"/>
      <c r="H167" s="151"/>
      <c r="I167" s="151"/>
      <c r="J167" s="151"/>
      <c r="K167" s="141"/>
    </row>
    <row r="168" spans="1:11" x14ac:dyDescent="0.25">
      <c r="A168" s="140">
        <f t="shared" si="68"/>
        <v>160</v>
      </c>
      <c r="B168" s="158" t="s">
        <v>178</v>
      </c>
      <c r="C168" s="8" t="s">
        <v>155</v>
      </c>
      <c r="D168" s="284" t="s">
        <v>406</v>
      </c>
      <c r="E168" s="150">
        <v>0.56999999999999995</v>
      </c>
      <c r="F168" s="150">
        <v>0.18</v>
      </c>
      <c r="G168" s="150">
        <f t="shared" ref="G168:G182" si="88">SUM(E168:F168)</f>
        <v>0.75</v>
      </c>
      <c r="H168" s="151">
        <v>24</v>
      </c>
      <c r="I168" s="152">
        <f t="shared" ref="I168:I182" si="89">ROUND($H168*E168,0)</f>
        <v>14</v>
      </c>
      <c r="J168" s="152">
        <f t="shared" ref="J168:J182" si="90">ROUND($H168*F168,0)</f>
        <v>4</v>
      </c>
      <c r="K168" s="152">
        <f t="shared" ref="K168:K182" si="91">SUM(I168:J168)</f>
        <v>18</v>
      </c>
    </row>
    <row r="169" spans="1:11" x14ac:dyDescent="0.25">
      <c r="A169" s="140">
        <f t="shared" si="68"/>
        <v>161</v>
      </c>
      <c r="B169" s="158" t="str">
        <f>B168</f>
        <v>58E &amp; 59E</v>
      </c>
      <c r="C169" s="8" t="s">
        <v>155</v>
      </c>
      <c r="D169" s="154" t="s">
        <v>157</v>
      </c>
      <c r="E169" s="150">
        <v>0.59</v>
      </c>
      <c r="F169" s="150">
        <v>0.19</v>
      </c>
      <c r="G169" s="150">
        <f t="shared" si="88"/>
        <v>0.78</v>
      </c>
      <c r="H169" s="151">
        <v>322</v>
      </c>
      <c r="I169" s="152">
        <f t="shared" si="89"/>
        <v>190</v>
      </c>
      <c r="J169" s="152">
        <f t="shared" si="90"/>
        <v>61</v>
      </c>
      <c r="K169" s="152">
        <f t="shared" si="91"/>
        <v>251</v>
      </c>
    </row>
    <row r="170" spans="1:11" x14ac:dyDescent="0.25">
      <c r="A170" s="140">
        <f t="shared" si="68"/>
        <v>162</v>
      </c>
      <c r="B170" s="158" t="str">
        <f t="shared" ref="B170:B182" si="92">B169</f>
        <v>58E &amp; 59E</v>
      </c>
      <c r="C170" s="8" t="s">
        <v>155</v>
      </c>
      <c r="D170" s="154" t="s">
        <v>158</v>
      </c>
      <c r="E170" s="150">
        <v>0.61</v>
      </c>
      <c r="F170" s="150">
        <v>0.2</v>
      </c>
      <c r="G170" s="150">
        <f t="shared" si="88"/>
        <v>0.81</v>
      </c>
      <c r="H170" s="151">
        <v>227</v>
      </c>
      <c r="I170" s="152">
        <f t="shared" si="89"/>
        <v>138</v>
      </c>
      <c r="J170" s="152">
        <f t="shared" si="90"/>
        <v>45</v>
      </c>
      <c r="K170" s="152">
        <f t="shared" si="91"/>
        <v>183</v>
      </c>
    </row>
    <row r="171" spans="1:11" x14ac:dyDescent="0.25">
      <c r="A171" s="140">
        <f t="shared" si="68"/>
        <v>163</v>
      </c>
      <c r="B171" s="158" t="str">
        <f t="shared" si="92"/>
        <v>58E &amp; 59E</v>
      </c>
      <c r="C171" s="8" t="s">
        <v>155</v>
      </c>
      <c r="D171" s="154" t="s">
        <v>159</v>
      </c>
      <c r="E171" s="150">
        <v>0.64</v>
      </c>
      <c r="F171" s="150">
        <v>0.2</v>
      </c>
      <c r="G171" s="150">
        <f t="shared" si="88"/>
        <v>0.84000000000000008</v>
      </c>
      <c r="H171" s="151">
        <v>952</v>
      </c>
      <c r="I171" s="152">
        <f t="shared" si="89"/>
        <v>609</v>
      </c>
      <c r="J171" s="152">
        <f t="shared" si="90"/>
        <v>190</v>
      </c>
      <c r="K171" s="152">
        <f t="shared" si="91"/>
        <v>799</v>
      </c>
    </row>
    <row r="172" spans="1:11" x14ac:dyDescent="0.25">
      <c r="A172" s="140">
        <f t="shared" si="68"/>
        <v>164</v>
      </c>
      <c r="B172" s="158" t="str">
        <f t="shared" si="92"/>
        <v>58E &amp; 59E</v>
      </c>
      <c r="C172" s="8" t="s">
        <v>155</v>
      </c>
      <c r="D172" s="154" t="s">
        <v>160</v>
      </c>
      <c r="E172" s="150">
        <v>0.66</v>
      </c>
      <c r="F172" s="150">
        <v>0.21</v>
      </c>
      <c r="G172" s="150">
        <f t="shared" si="88"/>
        <v>0.87</v>
      </c>
      <c r="H172" s="151">
        <v>67</v>
      </c>
      <c r="I172" s="152">
        <f t="shared" si="89"/>
        <v>44</v>
      </c>
      <c r="J172" s="152">
        <f t="shared" si="90"/>
        <v>14</v>
      </c>
      <c r="K172" s="152">
        <f t="shared" si="91"/>
        <v>58</v>
      </c>
    </row>
    <row r="173" spans="1:11" x14ac:dyDescent="0.25">
      <c r="A173" s="140">
        <f t="shared" si="68"/>
        <v>165</v>
      </c>
      <c r="B173" s="158" t="str">
        <f t="shared" si="92"/>
        <v>58E &amp; 59E</v>
      </c>
      <c r="C173" s="8" t="s">
        <v>155</v>
      </c>
      <c r="D173" s="154" t="s">
        <v>161</v>
      </c>
      <c r="E173" s="150">
        <v>0.68</v>
      </c>
      <c r="F173" s="150">
        <v>0.22</v>
      </c>
      <c r="G173" s="150">
        <f t="shared" si="88"/>
        <v>0.9</v>
      </c>
      <c r="H173" s="151">
        <v>0</v>
      </c>
      <c r="I173" s="152">
        <f t="shared" si="89"/>
        <v>0</v>
      </c>
      <c r="J173" s="152">
        <f t="shared" si="90"/>
        <v>0</v>
      </c>
      <c r="K173" s="152">
        <f t="shared" si="91"/>
        <v>0</v>
      </c>
    </row>
    <row r="174" spans="1:11" x14ac:dyDescent="0.25">
      <c r="A174" s="140">
        <f t="shared" si="68"/>
        <v>166</v>
      </c>
      <c r="B174" s="158" t="str">
        <f t="shared" si="92"/>
        <v>58E &amp; 59E</v>
      </c>
      <c r="C174" s="8" t="s">
        <v>155</v>
      </c>
      <c r="D174" s="154" t="s">
        <v>162</v>
      </c>
      <c r="E174" s="150">
        <v>0.71</v>
      </c>
      <c r="F174" s="150">
        <v>0.22</v>
      </c>
      <c r="G174" s="150">
        <f t="shared" si="88"/>
        <v>0.92999999999999994</v>
      </c>
      <c r="H174" s="151">
        <v>44</v>
      </c>
      <c r="I174" s="152">
        <f t="shared" si="89"/>
        <v>31</v>
      </c>
      <c r="J174" s="152">
        <f t="shared" si="90"/>
        <v>10</v>
      </c>
      <c r="K174" s="152">
        <f t="shared" si="91"/>
        <v>41</v>
      </c>
    </row>
    <row r="175" spans="1:11" x14ac:dyDescent="0.25">
      <c r="A175" s="140">
        <f t="shared" si="68"/>
        <v>167</v>
      </c>
      <c r="B175" s="158" t="str">
        <f t="shared" si="92"/>
        <v>58E &amp; 59E</v>
      </c>
      <c r="C175" s="8" t="s">
        <v>155</v>
      </c>
      <c r="D175" s="154" t="s">
        <v>163</v>
      </c>
      <c r="E175" s="150">
        <v>0.73</v>
      </c>
      <c r="F175" s="150">
        <v>0.23</v>
      </c>
      <c r="G175" s="150">
        <f t="shared" si="88"/>
        <v>0.96</v>
      </c>
      <c r="H175" s="151">
        <v>108</v>
      </c>
      <c r="I175" s="152">
        <f t="shared" si="89"/>
        <v>79</v>
      </c>
      <c r="J175" s="152">
        <f t="shared" si="90"/>
        <v>25</v>
      </c>
      <c r="K175" s="152">
        <f t="shared" si="91"/>
        <v>104</v>
      </c>
    </row>
    <row r="176" spans="1:11" x14ac:dyDescent="0.25">
      <c r="A176" s="140">
        <f t="shared" si="68"/>
        <v>168</v>
      </c>
      <c r="B176" s="158" t="str">
        <f t="shared" si="92"/>
        <v>58E &amp; 59E</v>
      </c>
      <c r="C176" s="8" t="s">
        <v>155</v>
      </c>
      <c r="D176" s="154" t="s">
        <v>164</v>
      </c>
      <c r="E176" s="150">
        <v>0.75</v>
      </c>
      <c r="F176" s="150">
        <v>0.24</v>
      </c>
      <c r="G176" s="150">
        <f t="shared" si="88"/>
        <v>0.99</v>
      </c>
      <c r="H176" s="151">
        <v>0</v>
      </c>
      <c r="I176" s="152">
        <f t="shared" si="89"/>
        <v>0</v>
      </c>
      <c r="J176" s="152">
        <f t="shared" si="90"/>
        <v>0</v>
      </c>
      <c r="K176" s="152">
        <f t="shared" si="91"/>
        <v>0</v>
      </c>
    </row>
    <row r="177" spans="1:11" x14ac:dyDescent="0.25">
      <c r="A177" s="140">
        <f t="shared" si="68"/>
        <v>169</v>
      </c>
      <c r="B177" s="158" t="str">
        <f t="shared" si="92"/>
        <v>58E &amp; 59E</v>
      </c>
      <c r="C177" s="8" t="s">
        <v>155</v>
      </c>
      <c r="D177" s="154" t="s">
        <v>179</v>
      </c>
      <c r="E177" s="150">
        <v>0.8</v>
      </c>
      <c r="F177" s="150">
        <v>0.26</v>
      </c>
      <c r="G177" s="150">
        <f t="shared" si="88"/>
        <v>1.06</v>
      </c>
      <c r="H177" s="151">
        <v>0</v>
      </c>
      <c r="I177" s="152">
        <f t="shared" si="89"/>
        <v>0</v>
      </c>
      <c r="J177" s="152">
        <f t="shared" si="90"/>
        <v>0</v>
      </c>
      <c r="K177" s="152">
        <f t="shared" si="91"/>
        <v>0</v>
      </c>
    </row>
    <row r="178" spans="1:11" x14ac:dyDescent="0.25">
      <c r="A178" s="140">
        <f t="shared" si="68"/>
        <v>170</v>
      </c>
      <c r="B178" s="158" t="str">
        <f t="shared" si="92"/>
        <v>58E &amp; 59E</v>
      </c>
      <c r="C178" s="8" t="s">
        <v>155</v>
      </c>
      <c r="D178" s="154" t="s">
        <v>180</v>
      </c>
      <c r="E178" s="150">
        <v>0.88</v>
      </c>
      <c r="F178" s="150">
        <v>0.28000000000000003</v>
      </c>
      <c r="G178" s="150">
        <f t="shared" si="88"/>
        <v>1.1600000000000001</v>
      </c>
      <c r="H178" s="151">
        <v>0</v>
      </c>
      <c r="I178" s="152">
        <f t="shared" si="89"/>
        <v>0</v>
      </c>
      <c r="J178" s="152">
        <f t="shared" si="90"/>
        <v>0</v>
      </c>
      <c r="K178" s="152">
        <f t="shared" si="91"/>
        <v>0</v>
      </c>
    </row>
    <row r="179" spans="1:11" x14ac:dyDescent="0.25">
      <c r="A179" s="140">
        <f t="shared" si="68"/>
        <v>171</v>
      </c>
      <c r="B179" s="158" t="str">
        <f t="shared" si="92"/>
        <v>58E &amp; 59E</v>
      </c>
      <c r="C179" s="8" t="s">
        <v>155</v>
      </c>
      <c r="D179" s="154" t="s">
        <v>181</v>
      </c>
      <c r="E179" s="150">
        <v>0.96</v>
      </c>
      <c r="F179" s="150">
        <v>0.31</v>
      </c>
      <c r="G179" s="150">
        <f t="shared" si="88"/>
        <v>1.27</v>
      </c>
      <c r="H179" s="151">
        <v>0</v>
      </c>
      <c r="I179" s="152">
        <f t="shared" si="89"/>
        <v>0</v>
      </c>
      <c r="J179" s="152">
        <f t="shared" si="90"/>
        <v>0</v>
      </c>
      <c r="K179" s="152">
        <f t="shared" si="91"/>
        <v>0</v>
      </c>
    </row>
    <row r="180" spans="1:11" x14ac:dyDescent="0.25">
      <c r="A180" s="140">
        <f t="shared" si="68"/>
        <v>172</v>
      </c>
      <c r="B180" s="158" t="str">
        <f t="shared" si="92"/>
        <v>58E &amp; 59E</v>
      </c>
      <c r="C180" s="8" t="s">
        <v>155</v>
      </c>
      <c r="D180" s="154" t="s">
        <v>182</v>
      </c>
      <c r="E180" s="150">
        <v>1.04</v>
      </c>
      <c r="F180" s="150">
        <v>0.33</v>
      </c>
      <c r="G180" s="150">
        <f t="shared" si="88"/>
        <v>1.37</v>
      </c>
      <c r="H180" s="151">
        <v>0</v>
      </c>
      <c r="I180" s="152">
        <f t="shared" si="89"/>
        <v>0</v>
      </c>
      <c r="J180" s="152">
        <f t="shared" si="90"/>
        <v>0</v>
      </c>
      <c r="K180" s="152">
        <f t="shared" si="91"/>
        <v>0</v>
      </c>
    </row>
    <row r="181" spans="1:11" x14ac:dyDescent="0.25">
      <c r="A181" s="140">
        <f t="shared" si="68"/>
        <v>173</v>
      </c>
      <c r="B181" s="158" t="str">
        <f t="shared" si="92"/>
        <v>58E &amp; 59E</v>
      </c>
      <c r="C181" s="8" t="s">
        <v>155</v>
      </c>
      <c r="D181" s="154" t="s">
        <v>183</v>
      </c>
      <c r="E181" s="150">
        <v>1.1200000000000001</v>
      </c>
      <c r="F181" s="150">
        <v>0.36</v>
      </c>
      <c r="G181" s="150">
        <f t="shared" si="88"/>
        <v>1.48</v>
      </c>
      <c r="H181" s="151">
        <v>0</v>
      </c>
      <c r="I181" s="152">
        <f t="shared" si="89"/>
        <v>0</v>
      </c>
      <c r="J181" s="152">
        <f t="shared" si="90"/>
        <v>0</v>
      </c>
      <c r="K181" s="152">
        <f t="shared" si="91"/>
        <v>0</v>
      </c>
    </row>
    <row r="182" spans="1:11" x14ac:dyDescent="0.25">
      <c r="A182" s="140">
        <f t="shared" si="68"/>
        <v>174</v>
      </c>
      <c r="B182" s="158" t="str">
        <f t="shared" si="92"/>
        <v>58E &amp; 59E</v>
      </c>
      <c r="C182" s="8" t="s">
        <v>155</v>
      </c>
      <c r="D182" s="154" t="s">
        <v>184</v>
      </c>
      <c r="E182" s="150">
        <v>1.2</v>
      </c>
      <c r="F182" s="150">
        <v>0.38</v>
      </c>
      <c r="G182" s="150">
        <f t="shared" si="88"/>
        <v>1.58</v>
      </c>
      <c r="H182" s="151">
        <v>0</v>
      </c>
      <c r="I182" s="152">
        <f t="shared" si="89"/>
        <v>0</v>
      </c>
      <c r="J182" s="152">
        <f t="shared" si="90"/>
        <v>0</v>
      </c>
      <c r="K182" s="152">
        <f t="shared" si="91"/>
        <v>0</v>
      </c>
    </row>
    <row r="183" spans="1:11" x14ac:dyDescent="0.25">
      <c r="A183" s="140">
        <f t="shared" si="68"/>
        <v>175</v>
      </c>
      <c r="B183" s="158"/>
      <c r="C183" s="8"/>
      <c r="D183" s="8"/>
      <c r="E183" s="146"/>
      <c r="F183" s="146"/>
      <c r="G183" s="146"/>
      <c r="H183" s="151"/>
      <c r="I183" s="151"/>
      <c r="J183" s="151"/>
      <c r="K183" s="141"/>
    </row>
    <row r="184" spans="1:11" x14ac:dyDescent="0.25">
      <c r="A184" s="140">
        <f t="shared" si="68"/>
        <v>176</v>
      </c>
      <c r="B184" s="145" t="s">
        <v>185</v>
      </c>
      <c r="C184" s="8"/>
      <c r="D184" s="8"/>
      <c r="E184" s="146"/>
      <c r="F184" s="146"/>
      <c r="G184" s="146"/>
      <c r="H184" s="151"/>
      <c r="I184" s="151"/>
      <c r="J184" s="151"/>
      <c r="K184" s="141"/>
    </row>
    <row r="185" spans="1:11" x14ac:dyDescent="0.25">
      <c r="A185" s="140">
        <f t="shared" si="68"/>
        <v>177</v>
      </c>
      <c r="B185" s="158" t="s">
        <v>186</v>
      </c>
      <c r="C185" s="8" t="s">
        <v>187</v>
      </c>
      <c r="D185" s="8"/>
      <c r="E185" s="212">
        <v>8.0000000000000004E-4</v>
      </c>
      <c r="F185" s="212">
        <v>2.5999999999999998E-4</v>
      </c>
      <c r="G185" s="165">
        <f>SUM(E185:F185)</f>
        <v>1.06E-3</v>
      </c>
      <c r="H185" s="151">
        <v>12041074</v>
      </c>
      <c r="I185" s="152">
        <f>ROUND($H185*E185,0)</f>
        <v>9633</v>
      </c>
      <c r="J185" s="152">
        <f>ROUND($H185*F185,0)</f>
        <v>3131</v>
      </c>
      <c r="K185" s="152">
        <f t="shared" ref="K185" si="93">SUM(I185:J185)</f>
        <v>12764</v>
      </c>
    </row>
    <row r="186" spans="1:11" x14ac:dyDescent="0.25">
      <c r="A186" s="140">
        <f t="shared" si="68"/>
        <v>178</v>
      </c>
      <c r="B186" s="145"/>
      <c r="C186" s="145"/>
      <c r="D186" s="145"/>
      <c r="E186" s="146"/>
      <c r="F186" s="146"/>
      <c r="G186" s="146"/>
      <c r="H186" s="151"/>
      <c r="I186" s="151"/>
      <c r="J186" s="151"/>
      <c r="K186" s="141"/>
    </row>
    <row r="187" spans="1:11" x14ac:dyDescent="0.25">
      <c r="A187" s="140">
        <f t="shared" si="68"/>
        <v>179</v>
      </c>
      <c r="B187" s="145" t="s">
        <v>188</v>
      </c>
      <c r="C187" s="8"/>
      <c r="D187" s="8"/>
      <c r="E187" s="146"/>
      <c r="F187" s="146"/>
      <c r="G187" s="146"/>
      <c r="H187" s="151"/>
      <c r="I187" s="151"/>
      <c r="J187" s="151"/>
      <c r="K187" s="141"/>
    </row>
    <row r="188" spans="1:11" x14ac:dyDescent="0.25">
      <c r="A188" s="140">
        <f t="shared" si="68"/>
        <v>180</v>
      </c>
      <c r="B188" s="147" t="s">
        <v>189</v>
      </c>
      <c r="C188" s="8" t="s">
        <v>190</v>
      </c>
      <c r="D188" s="8">
        <v>0</v>
      </c>
      <c r="E188" s="150">
        <v>0.48</v>
      </c>
      <c r="F188" s="150">
        <v>0.15</v>
      </c>
      <c r="G188" s="150">
        <f t="shared" ref="G188:G189" si="94">SUM(E188:F188)</f>
        <v>0.63</v>
      </c>
      <c r="H188" s="151">
        <v>7537</v>
      </c>
      <c r="I188" s="152">
        <f t="shared" ref="I188:I189" si="95">ROUND($H188*E188,0)</f>
        <v>3618</v>
      </c>
      <c r="J188" s="152">
        <f t="shared" ref="J188:J189" si="96">ROUND($H188*F188,0)</f>
        <v>1131</v>
      </c>
      <c r="K188" s="152">
        <f t="shared" ref="K188:K189" si="97">SUM(I188:J188)</f>
        <v>4749</v>
      </c>
    </row>
    <row r="189" spans="1:11" x14ac:dyDescent="0.25">
      <c r="A189" s="140">
        <f t="shared" si="68"/>
        <v>181</v>
      </c>
      <c r="B189" s="147" t="s">
        <v>191</v>
      </c>
      <c r="C189" s="8" t="s">
        <v>190</v>
      </c>
      <c r="D189" s="8">
        <v>0</v>
      </c>
      <c r="E189" s="150">
        <v>0.96</v>
      </c>
      <c r="F189" s="150">
        <v>0.3</v>
      </c>
      <c r="G189" s="150">
        <f t="shared" si="94"/>
        <v>1.26</v>
      </c>
      <c r="H189" s="151">
        <v>4242</v>
      </c>
      <c r="I189" s="152">
        <f t="shared" si="95"/>
        <v>4072</v>
      </c>
      <c r="J189" s="152">
        <f t="shared" si="96"/>
        <v>1273</v>
      </c>
      <c r="K189" s="152">
        <f t="shared" si="97"/>
        <v>5345</v>
      </c>
    </row>
    <row r="190" spans="1:11" x14ac:dyDescent="0.25">
      <c r="A190" s="140">
        <f t="shared" si="68"/>
        <v>182</v>
      </c>
      <c r="B190" s="147"/>
      <c r="C190" s="145"/>
      <c r="D190" s="145"/>
      <c r="E190" s="146"/>
      <c r="F190" s="146"/>
      <c r="G190" s="146"/>
      <c r="H190" s="151"/>
      <c r="I190" s="151"/>
      <c r="J190" s="151"/>
      <c r="K190" s="141"/>
    </row>
    <row r="191" spans="1:11" x14ac:dyDescent="0.25">
      <c r="A191" s="140">
        <f t="shared" si="68"/>
        <v>183</v>
      </c>
      <c r="B191" s="147" t="s">
        <v>192</v>
      </c>
      <c r="C191" s="8" t="s">
        <v>190</v>
      </c>
      <c r="D191" s="8">
        <v>0</v>
      </c>
      <c r="E191" s="150">
        <v>0.96</v>
      </c>
      <c r="F191" s="150">
        <v>0.3</v>
      </c>
      <c r="G191" s="150">
        <f>SUM(E191:F191)</f>
        <v>1.26</v>
      </c>
      <c r="H191" s="151">
        <v>1881</v>
      </c>
      <c r="I191" s="152">
        <f>ROUND($H191*E191,0)</f>
        <v>1806</v>
      </c>
      <c r="J191" s="152">
        <f>ROUND($H191*F191,0)</f>
        <v>564</v>
      </c>
      <c r="K191" s="152">
        <f t="shared" ref="K191" si="98">SUM(I191:J191)</f>
        <v>2370</v>
      </c>
    </row>
    <row r="192" spans="1:11" x14ac:dyDescent="0.25">
      <c r="A192" s="140">
        <f t="shared" si="68"/>
        <v>184</v>
      </c>
      <c r="B192" s="145"/>
      <c r="C192" s="145"/>
      <c r="D192" s="145"/>
      <c r="E192" s="145"/>
      <c r="F192" s="145"/>
      <c r="G192" s="141"/>
      <c r="H192" s="141"/>
      <c r="I192" s="141"/>
      <c r="J192" s="141"/>
      <c r="K192" s="141"/>
    </row>
    <row r="193" spans="1:11" x14ac:dyDescent="0.25">
      <c r="A193" s="140">
        <f t="shared" si="68"/>
        <v>185</v>
      </c>
      <c r="B193" s="160" t="s">
        <v>193</v>
      </c>
      <c r="C193" s="145"/>
      <c r="D193" s="145"/>
      <c r="E193" s="145"/>
      <c r="F193" s="145"/>
      <c r="G193" s="141"/>
      <c r="H193" s="161">
        <f>SUM(H10:H191)</f>
        <v>13500828</v>
      </c>
      <c r="I193" s="152">
        <f t="shared" ref="I193:J193" si="99">SUM(I10:I191)</f>
        <v>489240</v>
      </c>
      <c r="J193" s="152">
        <f t="shared" si="99"/>
        <v>155353</v>
      </c>
      <c r="K193" s="152">
        <f>SUM(K10:K191)</f>
        <v>644593</v>
      </c>
    </row>
    <row r="194" spans="1:11" x14ac:dyDescent="0.25">
      <c r="A194" s="140">
        <f t="shared" si="68"/>
        <v>186</v>
      </c>
      <c r="B194" s="162" t="s">
        <v>194</v>
      </c>
      <c r="C194" s="145"/>
      <c r="D194" s="145"/>
      <c r="E194" s="145"/>
      <c r="F194" s="145"/>
      <c r="G194" s="141"/>
      <c r="H194" s="161">
        <v>13500828</v>
      </c>
      <c r="I194" s="161">
        <f>+'FINAL 2020 Prop Tax Rate Des'!G27</f>
        <v>490465.92013786285</v>
      </c>
      <c r="J194" s="161">
        <f>+'FINAL 2020 Prop Tax Rate Des'!H27</f>
        <v>156483.42950983334</v>
      </c>
      <c r="K194" s="152">
        <f>+'FINAL 2020 Prop Tax Rate Des'!I27</f>
        <v>646949.34964769613</v>
      </c>
    </row>
    <row r="195" spans="1:11" x14ac:dyDescent="0.25">
      <c r="A195" s="140">
        <f t="shared" si="68"/>
        <v>187</v>
      </c>
      <c r="B195" s="145" t="s">
        <v>85</v>
      </c>
      <c r="C195" s="145"/>
      <c r="D195" s="145"/>
      <c r="E195" s="145"/>
      <c r="F195" s="145"/>
      <c r="G195" s="141"/>
      <c r="H195" s="161">
        <f>+H193-H194</f>
        <v>0</v>
      </c>
      <c r="I195" s="152">
        <f t="shared" ref="I195:J195" si="100">+I193-I194</f>
        <v>-1225.9201378628495</v>
      </c>
      <c r="J195" s="152">
        <f t="shared" si="100"/>
        <v>-1130.4295098333387</v>
      </c>
      <c r="K195" s="152">
        <f>+K193-K194</f>
        <v>-2356.34964769613</v>
      </c>
    </row>
    <row r="196" spans="1:11" x14ac:dyDescent="0.25">
      <c r="A196" s="140"/>
      <c r="B196" s="145"/>
      <c r="C196" s="145"/>
      <c r="D196" s="145"/>
      <c r="E196" s="145"/>
      <c r="F196" s="145"/>
      <c r="G196" s="141"/>
      <c r="H196" s="141"/>
      <c r="I196" s="141"/>
      <c r="J196" s="141"/>
      <c r="K196" s="141"/>
    </row>
    <row r="197" spans="1:11" x14ac:dyDescent="0.25">
      <c r="A197" s="140"/>
      <c r="B197" s="160"/>
      <c r="C197" s="145"/>
      <c r="D197" s="145"/>
      <c r="E197" s="145"/>
      <c r="F197" s="145"/>
      <c r="G197" s="141"/>
      <c r="H197" s="141"/>
      <c r="I197" s="141"/>
      <c r="J197" s="141"/>
      <c r="K197" s="152"/>
    </row>
    <row r="198" spans="1:11" x14ac:dyDescent="0.25">
      <c r="A198" s="140"/>
      <c r="B198" s="160"/>
      <c r="C198" s="145"/>
      <c r="D198" s="145"/>
      <c r="E198" s="145"/>
      <c r="F198" s="145"/>
      <c r="G198" s="141"/>
      <c r="H198" s="141"/>
      <c r="I198" s="141"/>
      <c r="J198" s="141"/>
      <c r="K198" s="141"/>
    </row>
    <row r="199" spans="1:11" x14ac:dyDescent="0.25">
      <c r="A199" s="140"/>
      <c r="B199" s="145"/>
      <c r="C199" s="145"/>
      <c r="D199" s="145"/>
      <c r="E199" s="145"/>
      <c r="F199" s="145"/>
      <c r="G199" s="141"/>
      <c r="H199" s="141"/>
      <c r="I199" s="141"/>
      <c r="J199" s="141"/>
      <c r="K199" s="141"/>
    </row>
    <row r="200" spans="1:11" x14ac:dyDescent="0.25">
      <c r="A200" s="140"/>
      <c r="B200" s="148"/>
      <c r="C200" s="145"/>
      <c r="D200" s="145"/>
      <c r="E200" s="145"/>
      <c r="F200" s="145"/>
      <c r="G200" s="141"/>
      <c r="H200" s="163"/>
      <c r="I200" s="163"/>
      <c r="J200" s="163"/>
      <c r="K200" s="152"/>
    </row>
    <row r="201" spans="1:11" x14ac:dyDescent="0.25">
      <c r="A201" s="140"/>
      <c r="B201" s="145"/>
      <c r="C201" s="145"/>
      <c r="D201" s="145"/>
      <c r="E201" s="145"/>
      <c r="F201" s="145"/>
      <c r="G201" s="141"/>
      <c r="H201" s="163"/>
      <c r="I201" s="163"/>
      <c r="J201" s="163"/>
      <c r="K201" s="152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3" sqref="P13"/>
    </sheetView>
  </sheetViews>
  <sheetFormatPr defaultColWidth="5.5703125" defaultRowHeight="15" x14ac:dyDescent="0.25"/>
  <cols>
    <col min="1" max="1" width="3.7109375" style="183" customWidth="1"/>
    <col min="2" max="2" width="39.42578125" style="183" customWidth="1"/>
    <col min="3" max="3" width="9.42578125" style="183" bestFit="1" customWidth="1"/>
    <col min="4" max="6" width="13.28515625" style="183" bestFit="1" customWidth="1"/>
    <col min="7" max="7" width="5.5703125" style="183"/>
    <col min="8" max="10" width="13.28515625" style="183" bestFit="1" customWidth="1"/>
    <col min="11" max="16384" width="5.5703125" style="183"/>
  </cols>
  <sheetData>
    <row r="1" spans="1:10" ht="18.75" x14ac:dyDescent="0.3">
      <c r="A1" s="217" t="s">
        <v>409</v>
      </c>
      <c r="C1" s="218"/>
    </row>
    <row r="2" spans="1:10" ht="18.75" x14ac:dyDescent="0.3">
      <c r="A2" s="219"/>
      <c r="B2" s="217"/>
      <c r="C2" s="218"/>
    </row>
    <row r="3" spans="1:10" x14ac:dyDescent="0.25">
      <c r="A3" s="219"/>
      <c r="C3" s="220"/>
      <c r="D3" s="221" t="s">
        <v>100</v>
      </c>
      <c r="E3" s="222"/>
      <c r="F3" s="223"/>
      <c r="H3" s="221" t="s">
        <v>101</v>
      </c>
      <c r="I3" s="223"/>
      <c r="J3" s="223"/>
    </row>
    <row r="4" spans="1:10" x14ac:dyDescent="0.25">
      <c r="A4" s="219"/>
      <c r="C4" s="220"/>
      <c r="D4" s="224" t="s">
        <v>102</v>
      </c>
      <c r="E4" s="224" t="s">
        <v>103</v>
      </c>
      <c r="F4" s="224" t="s">
        <v>37</v>
      </c>
      <c r="H4" s="224" t="s">
        <v>102</v>
      </c>
      <c r="I4" s="224" t="s">
        <v>103</v>
      </c>
      <c r="J4" s="224" t="s">
        <v>37</v>
      </c>
    </row>
    <row r="5" spans="1:10" x14ac:dyDescent="0.25">
      <c r="A5" s="219"/>
      <c r="C5" s="220"/>
      <c r="H5" s="183">
        <v>0.95238599999999995</v>
      </c>
      <c r="I5" s="183">
        <v>0.954538</v>
      </c>
    </row>
    <row r="6" spans="1:10" x14ac:dyDescent="0.25">
      <c r="A6" s="219">
        <v>1</v>
      </c>
      <c r="B6" s="183" t="s">
        <v>407</v>
      </c>
      <c r="C6" s="225"/>
      <c r="D6" s="226">
        <v>57126055.389853239</v>
      </c>
      <c r="E6" s="226">
        <v>21309018.70527197</v>
      </c>
      <c r="F6" s="226">
        <v>78435074.095125213</v>
      </c>
      <c r="H6" s="226">
        <v>59982040.254532553</v>
      </c>
      <c r="I6" s="226">
        <v>22323908.220806263</v>
      </c>
      <c r="J6" s="226">
        <v>82305948.475338817</v>
      </c>
    </row>
    <row r="7" spans="1:10" x14ac:dyDescent="0.25">
      <c r="A7" s="219"/>
      <c r="C7" s="220"/>
    </row>
    <row r="8" spans="1:10" x14ac:dyDescent="0.25">
      <c r="A8" s="219">
        <v>2</v>
      </c>
      <c r="B8" s="183" t="s">
        <v>104</v>
      </c>
      <c r="C8" s="220"/>
      <c r="E8" s="227"/>
    </row>
    <row r="9" spans="1:10" x14ac:dyDescent="0.25">
      <c r="A9" s="219">
        <v>3</v>
      </c>
      <c r="B9" s="228" t="s">
        <v>410</v>
      </c>
      <c r="C9" s="227"/>
      <c r="D9" s="229">
        <v>54001769</v>
      </c>
      <c r="E9" s="229">
        <v>17602077</v>
      </c>
      <c r="F9" s="229">
        <v>71603846</v>
      </c>
      <c r="H9" s="226">
        <v>56701556.931748264</v>
      </c>
      <c r="I9" s="226">
        <v>18440415.153718345</v>
      </c>
      <c r="J9" s="229">
        <v>75141972.085466608</v>
      </c>
    </row>
    <row r="10" spans="1:10" x14ac:dyDescent="0.25">
      <c r="A10" s="219">
        <v>4</v>
      </c>
      <c r="B10" s="228" t="s">
        <v>407</v>
      </c>
      <c r="C10" s="225" t="s">
        <v>105</v>
      </c>
      <c r="D10" s="229">
        <v>57126055.389853239</v>
      </c>
      <c r="E10" s="229">
        <v>21309018.70527197</v>
      </c>
      <c r="F10" s="229">
        <v>78435074.095125213</v>
      </c>
      <c r="H10" s="226">
        <v>59982040.254532553</v>
      </c>
      <c r="I10" s="226">
        <v>22323908.220806263</v>
      </c>
      <c r="J10" s="229">
        <v>82305948.475338817</v>
      </c>
    </row>
    <row r="11" spans="1:10" x14ac:dyDescent="0.25">
      <c r="A11" s="219">
        <v>5</v>
      </c>
      <c r="B11" s="183" t="s">
        <v>408</v>
      </c>
      <c r="C11" s="220"/>
      <c r="D11" s="229">
        <v>2519105.4467049497</v>
      </c>
      <c r="E11" s="229">
        <v>434141.46669341688</v>
      </c>
      <c r="F11" s="229">
        <v>2953246.9133983664</v>
      </c>
      <c r="H11" s="226">
        <v>2645046.700292686</v>
      </c>
      <c r="I11" s="226">
        <v>454818.42178458779</v>
      </c>
      <c r="J11" s="229">
        <v>3099865.1220772737</v>
      </c>
    </row>
    <row r="12" spans="1:10" x14ac:dyDescent="0.25">
      <c r="A12" s="219"/>
      <c r="C12" s="220"/>
      <c r="D12" s="230"/>
      <c r="E12" s="230"/>
      <c r="F12" s="230"/>
      <c r="H12" s="231">
        <v>0</v>
      </c>
      <c r="I12" s="231">
        <v>0</v>
      </c>
      <c r="J12" s="232" t="s">
        <v>328</v>
      </c>
    </row>
    <row r="13" spans="1:10" x14ac:dyDescent="0.25">
      <c r="A13" s="219">
        <v>6</v>
      </c>
      <c r="B13" s="183" t="s">
        <v>137</v>
      </c>
      <c r="C13" s="225" t="s">
        <v>106</v>
      </c>
      <c r="D13" s="229">
        <v>-605180.94314828934</v>
      </c>
      <c r="E13" s="229">
        <v>-3272800.2385785538</v>
      </c>
      <c r="F13" s="229">
        <v>-3877981.1817268431</v>
      </c>
      <c r="H13" s="229">
        <v>-635436.62249160372</v>
      </c>
      <c r="I13" s="229">
        <v>-3428674.6453033308</v>
      </c>
      <c r="J13" s="229">
        <v>-4064111.2677949346</v>
      </c>
    </row>
    <row r="14" spans="1:10" x14ac:dyDescent="0.25">
      <c r="A14" s="219"/>
      <c r="C14" s="220"/>
      <c r="D14" s="230"/>
      <c r="E14" s="230"/>
      <c r="F14" s="230"/>
      <c r="H14" s="230"/>
      <c r="I14" s="230"/>
      <c r="J14" s="230"/>
    </row>
    <row r="15" spans="1:10" ht="15.75" thickBot="1" x14ac:dyDescent="0.3">
      <c r="A15" s="219">
        <v>7</v>
      </c>
      <c r="B15" s="183" t="s">
        <v>107</v>
      </c>
      <c r="C15" s="225" t="s">
        <v>108</v>
      </c>
      <c r="D15" s="233">
        <v>56520874.446704946</v>
      </c>
      <c r="E15" s="233">
        <v>18036218.466693416</v>
      </c>
      <c r="F15" s="233">
        <v>74557092.913398355</v>
      </c>
      <c r="H15" s="233">
        <v>59346603.632040948</v>
      </c>
      <c r="I15" s="233">
        <v>18895233.575502932</v>
      </c>
      <c r="J15" s="233">
        <v>78241837.20754388</v>
      </c>
    </row>
    <row r="16" spans="1:10" ht="15.75" thickTop="1" x14ac:dyDescent="0.25">
      <c r="A16" s="219"/>
      <c r="C16" s="220"/>
    </row>
    <row r="17" spans="1:10" x14ac:dyDescent="0.25">
      <c r="A17" s="219"/>
      <c r="C17" s="220"/>
    </row>
    <row r="18" spans="1:10" x14ac:dyDescent="0.25">
      <c r="A18" s="219">
        <v>8</v>
      </c>
      <c r="B18" s="183" t="s">
        <v>109</v>
      </c>
      <c r="C18" s="225" t="s">
        <v>329</v>
      </c>
      <c r="D18" s="226">
        <v>42849664.672506221</v>
      </c>
      <c r="E18" s="226">
        <v>17343945.531315416</v>
      </c>
      <c r="F18" s="226">
        <v>60193610.203821637</v>
      </c>
      <c r="H18" s="226">
        <v>44991909.449011452</v>
      </c>
      <c r="I18" s="226">
        <v>18169989.598439682</v>
      </c>
      <c r="J18" s="226">
        <v>63161899.047451138</v>
      </c>
    </row>
    <row r="19" spans="1:10" x14ac:dyDescent="0.25">
      <c r="A19" s="219">
        <v>9</v>
      </c>
      <c r="B19" s="183" t="s">
        <v>110</v>
      </c>
      <c r="C19" s="227"/>
      <c r="D19" s="229">
        <v>13671209.774198726</v>
      </c>
      <c r="E19" s="229">
        <v>692272.93537800107</v>
      </c>
      <c r="F19" s="229">
        <v>14363482.709576726</v>
      </c>
      <c r="H19" s="234">
        <v>14354694.183029493</v>
      </c>
      <c r="I19" s="234">
        <v>725243.97706325061</v>
      </c>
      <c r="J19" s="229">
        <v>15079938.160092743</v>
      </c>
    </row>
    <row r="20" spans="1:10" x14ac:dyDescent="0.25">
      <c r="A20" s="219"/>
      <c r="C20" s="220"/>
      <c r="D20" s="230"/>
      <c r="E20" s="230"/>
      <c r="F20" s="230"/>
      <c r="H20" s="230"/>
      <c r="I20" s="230"/>
      <c r="J20" s="230"/>
    </row>
    <row r="21" spans="1:10" ht="15.75" thickBot="1" x14ac:dyDescent="0.3">
      <c r="A21" s="219">
        <v>10</v>
      </c>
      <c r="B21" s="183" t="s">
        <v>107</v>
      </c>
      <c r="C21" s="225" t="s">
        <v>111</v>
      </c>
      <c r="D21" s="233">
        <v>56520874.446704946</v>
      </c>
      <c r="E21" s="233">
        <v>18036218.466693416</v>
      </c>
      <c r="F21" s="233">
        <v>74557092.913398355</v>
      </c>
      <c r="H21" s="233">
        <v>59346603.632040948</v>
      </c>
      <c r="I21" s="233">
        <v>18895233.575502932</v>
      </c>
      <c r="J21" s="233">
        <v>78241837.20754388</v>
      </c>
    </row>
    <row r="22" spans="1:10" ht="15.75" thickTop="1" x14ac:dyDescent="0.25">
      <c r="A22" s="219"/>
      <c r="C22" s="220"/>
    </row>
    <row r="23" spans="1:10" x14ac:dyDescent="0.25">
      <c r="A23" s="219"/>
      <c r="C23" s="220"/>
      <c r="D23" s="226"/>
      <c r="E23" s="226"/>
      <c r="F23" s="226"/>
    </row>
    <row r="24" spans="1:10" x14ac:dyDescent="0.25">
      <c r="A24" s="219">
        <v>11</v>
      </c>
      <c r="B24" s="183" t="s">
        <v>112</v>
      </c>
      <c r="C24" s="220"/>
    </row>
    <row r="25" spans="1:10" x14ac:dyDescent="0.25">
      <c r="A25" s="219">
        <v>12</v>
      </c>
      <c r="B25" s="228" t="s">
        <v>113</v>
      </c>
      <c r="C25" s="220"/>
      <c r="D25" s="229">
        <v>-1731890</v>
      </c>
      <c r="E25" s="229">
        <v>-2537186</v>
      </c>
      <c r="F25" s="229">
        <v>-4269076</v>
      </c>
      <c r="H25" s="234">
        <v>-1818474.8620832311</v>
      </c>
      <c r="I25" s="234">
        <v>-2658025.1388629894</v>
      </c>
      <c r="J25" s="229">
        <v>-4476500.00094622</v>
      </c>
    </row>
    <row r="26" spans="1:10" x14ac:dyDescent="0.25">
      <c r="A26" s="219">
        <v>13</v>
      </c>
      <c r="B26" s="228" t="s">
        <v>114</v>
      </c>
      <c r="C26" s="220"/>
      <c r="D26" s="229">
        <v>1126709.0568517144</v>
      </c>
      <c r="E26" s="229">
        <v>-735614.23857855517</v>
      </c>
      <c r="F26" s="229">
        <v>391094.81827315921</v>
      </c>
      <c r="H26" s="234">
        <v>1183038.2395916304</v>
      </c>
      <c r="I26" s="234">
        <v>-770649.50644034625</v>
      </c>
      <c r="J26" s="229">
        <v>412388.73315128416</v>
      </c>
    </row>
    <row r="27" spans="1:10" ht="15.75" thickBot="1" x14ac:dyDescent="0.3">
      <c r="A27" s="219">
        <v>14</v>
      </c>
      <c r="B27" s="183" t="s">
        <v>115</v>
      </c>
      <c r="C27" s="220"/>
      <c r="D27" s="235">
        <v>-605180.94314828562</v>
      </c>
      <c r="E27" s="235">
        <v>-3272800.2385785552</v>
      </c>
      <c r="F27" s="235">
        <v>-3877981.1817268408</v>
      </c>
      <c r="H27" s="235">
        <v>-635436.62249160069</v>
      </c>
      <c r="I27" s="235">
        <v>-3428674.6453033355</v>
      </c>
      <c r="J27" s="235">
        <v>-4064111.267794936</v>
      </c>
    </row>
    <row r="28" spans="1:10" ht="15.75" thickTop="1" x14ac:dyDescent="0.25">
      <c r="A28" s="219"/>
      <c r="C28" s="220"/>
      <c r="D28" s="236">
        <v>3.7252902984619141E-9</v>
      </c>
      <c r="E28" s="236">
        <v>0</v>
      </c>
      <c r="F28" s="236">
        <v>0</v>
      </c>
      <c r="G28" s="237"/>
      <c r="H28" s="238">
        <v>3.0267983675003052E-9</v>
      </c>
      <c r="I28" s="236">
        <v>-4.6566128730773926E-9</v>
      </c>
      <c r="J28" s="236">
        <v>0</v>
      </c>
    </row>
    <row r="29" spans="1:10" x14ac:dyDescent="0.25">
      <c r="A29" s="219"/>
      <c r="C29" s="220"/>
      <c r="H29" s="226"/>
      <c r="I29" s="226"/>
      <c r="J29" s="226"/>
    </row>
    <row r="30" spans="1:10" x14ac:dyDescent="0.25">
      <c r="A30" s="219">
        <v>15</v>
      </c>
      <c r="B30" s="239" t="s">
        <v>301</v>
      </c>
      <c r="C30" s="225"/>
      <c r="H30" s="240">
        <v>-1.0593781401818585E-2</v>
      </c>
      <c r="I30" s="240">
        <v>-0.15358756232959928</v>
      </c>
    </row>
    <row r="31" spans="1:10" x14ac:dyDescent="0.25">
      <c r="A31" s="219">
        <v>16</v>
      </c>
      <c r="B31" s="239" t="s">
        <v>302</v>
      </c>
      <c r="C31" s="220"/>
      <c r="H31" s="219" t="s">
        <v>330</v>
      </c>
      <c r="I31" s="219" t="s">
        <v>330</v>
      </c>
    </row>
    <row r="32" spans="1:10" x14ac:dyDescent="0.25">
      <c r="A32" s="219">
        <v>17</v>
      </c>
      <c r="B32" s="241" t="s">
        <v>303</v>
      </c>
      <c r="C32" s="220"/>
    </row>
    <row r="33" spans="1:3" x14ac:dyDescent="0.25">
      <c r="A33" s="219">
        <v>18</v>
      </c>
      <c r="B33" s="241" t="s">
        <v>304</v>
      </c>
      <c r="C33" s="220"/>
    </row>
  </sheetData>
  <printOptions horizontalCentered="1"/>
  <pageMargins left="0.7" right="0.7" top="0.75" bottom="0.75" header="0.3" footer="0.3"/>
  <pageSetup scale="88" fitToHeight="0" orientation="landscape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T23" sqref="T23"/>
    </sheetView>
  </sheetViews>
  <sheetFormatPr defaultColWidth="5.85546875" defaultRowHeight="12.75" x14ac:dyDescent="0.2"/>
  <cols>
    <col min="1" max="1" width="4.7109375" style="64" bestFit="1" customWidth="1"/>
    <col min="2" max="2" width="26.85546875" style="64" bestFit="1" customWidth="1"/>
    <col min="3" max="3" width="15.28515625" style="64" bestFit="1" customWidth="1"/>
    <col min="4" max="4" width="11.5703125" style="64" bestFit="1" customWidth="1"/>
    <col min="5" max="5" width="9.5703125" style="64" bestFit="1" customWidth="1"/>
    <col min="6" max="6" width="8.28515625" style="64" bestFit="1" customWidth="1"/>
    <col min="7" max="8" width="11.28515625" style="64" bestFit="1" customWidth="1"/>
    <col min="9" max="9" width="9.28515625" style="64" bestFit="1" customWidth="1"/>
    <col min="10" max="12" width="7.7109375" style="64" bestFit="1" customWidth="1"/>
    <col min="13" max="14" width="8.28515625" style="64" bestFit="1" customWidth="1"/>
    <col min="15" max="15" width="8.42578125" style="64" customWidth="1"/>
    <col min="16" max="16" width="8.28515625" style="64" bestFit="1" customWidth="1"/>
    <col min="17" max="17" width="13.42578125" style="64" customWidth="1"/>
    <col min="18" max="18" width="10.28515625" style="64" customWidth="1"/>
    <col min="19" max="19" width="9.85546875" style="64" customWidth="1"/>
    <col min="20" max="20" width="11" style="64" customWidth="1"/>
    <col min="21" max="21" width="12.140625" style="64" customWidth="1"/>
    <col min="22" max="22" width="10.42578125" style="64" customWidth="1"/>
    <col min="23" max="16384" width="5.85546875" style="64"/>
  </cols>
  <sheetData>
    <row r="1" spans="1:22" ht="15" x14ac:dyDescent="0.25">
      <c r="A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15" x14ac:dyDescent="0.25">
      <c r="A2"/>
      <c r="B2" s="82" t="s">
        <v>69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15" x14ac:dyDescent="0.25">
      <c r="A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" x14ac:dyDescent="0.25">
      <c r="A5"/>
      <c r="B5"/>
      <c r="C5"/>
      <c r="D5" s="298" t="s">
        <v>68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/>
      <c r="S5"/>
      <c r="T5"/>
      <c r="U5"/>
      <c r="V5"/>
    </row>
    <row r="6" spans="1:22" ht="45" x14ac:dyDescent="0.25">
      <c r="A6" s="58" t="s">
        <v>1</v>
      </c>
      <c r="B6" s="58" t="s">
        <v>36</v>
      </c>
      <c r="C6" s="58" t="s">
        <v>67</v>
      </c>
      <c r="D6" s="83" t="s">
        <v>390</v>
      </c>
      <c r="E6" s="83" t="s">
        <v>117</v>
      </c>
      <c r="F6" s="83" t="s">
        <v>118</v>
      </c>
      <c r="G6" s="83" t="s">
        <v>119</v>
      </c>
      <c r="H6" s="83" t="s">
        <v>120</v>
      </c>
      <c r="I6" s="83" t="s">
        <v>121</v>
      </c>
      <c r="J6" s="83" t="s">
        <v>122</v>
      </c>
      <c r="K6" s="83" t="s">
        <v>123</v>
      </c>
      <c r="L6" s="83" t="s">
        <v>377</v>
      </c>
      <c r="M6" s="83" t="s">
        <v>378</v>
      </c>
      <c r="N6" s="83" t="s">
        <v>379</v>
      </c>
      <c r="O6" s="83" t="s">
        <v>124</v>
      </c>
      <c r="P6" s="83" t="s">
        <v>125</v>
      </c>
      <c r="Q6" s="84" t="s">
        <v>384</v>
      </c>
      <c r="R6" s="84" t="s">
        <v>385</v>
      </c>
      <c r="S6" s="84" t="s">
        <v>386</v>
      </c>
      <c r="T6" s="83" t="s">
        <v>387</v>
      </c>
      <c r="U6" s="83" t="s">
        <v>388</v>
      </c>
      <c r="V6" s="83" t="s">
        <v>389</v>
      </c>
    </row>
    <row r="7" spans="1:22" ht="15" x14ac:dyDescent="0.25">
      <c r="A7" s="80">
        <v>1</v>
      </c>
      <c r="B7" t="s">
        <v>66</v>
      </c>
      <c r="C7" s="65">
        <f>ROUND(+E71,0)</f>
        <v>1189</v>
      </c>
      <c r="D7" s="85">
        <f t="shared" ref="D7:D18" si="0">ROUND($G$31+IF($C7&gt;600,(600*$G$35+(($C7-600)*$G$44)),$C7*$G$35),2)</f>
        <v>122.5</v>
      </c>
      <c r="E7" s="85">
        <f t="shared" ref="E7:E18" si="1">ROUND($C7*$G$57,2)</f>
        <v>-1.31</v>
      </c>
      <c r="F7" s="85">
        <f t="shared" ref="F7:F18" si="2">ROUND($C7*$G$58,2)</f>
        <v>-2.25</v>
      </c>
      <c r="G7" s="85">
        <f t="shared" ref="G7:G18" si="3">ROUND($C7*$G$59,2)</f>
        <v>4.6399999999999997</v>
      </c>
      <c r="H7" s="85">
        <f t="shared" ref="H7:H18" si="4">ROUND($C7*$G$36,2)</f>
        <v>1.27</v>
      </c>
      <c r="I7" s="85">
        <f t="shared" ref="I7:I18" si="5">ROUND($C7*$G$60,2)</f>
        <v>0</v>
      </c>
      <c r="J7" s="85">
        <f t="shared" ref="J7:J18" si="6">ROUND($C7*$G$61,2)</f>
        <v>-0.1</v>
      </c>
      <c r="K7" s="85">
        <f t="shared" ref="K7:K18" si="7">ROUND($C7*$G$37,2)</f>
        <v>3.84</v>
      </c>
      <c r="L7" s="85">
        <f t="shared" ref="L7:L18" si="8">ROUND($G$32+IF($C7&gt;600,(600*$G$38+(($C7-600)*$G$47)),$C7*$G$38),2)</f>
        <v>1.69</v>
      </c>
      <c r="M7" s="85">
        <f>ROUND($G$32+IF($C7&gt;600,(600*$G$39+(($C7-600)*$G$48)),$C7*$G$39),2)</f>
        <v>-1.69</v>
      </c>
      <c r="N7" s="85">
        <f>ROUND(+IF($C7&gt;600,(600*$G$40+(($C7-600)*$G$49)),$C7*$G$40),2)</f>
        <v>-1.51</v>
      </c>
      <c r="O7" s="85">
        <f t="shared" ref="O7:O18" si="9">ROUND($C7*$G$41,2)</f>
        <v>0.74</v>
      </c>
      <c r="P7" s="85">
        <f t="shared" ref="P7:P18" si="10">ROUND($C7*$G$53,2)</f>
        <v>-8.7799999999999994</v>
      </c>
      <c r="Q7" s="85">
        <f>SUM(D7:P7)</f>
        <v>119.03999999999999</v>
      </c>
      <c r="R7" s="85">
        <f>-SUM(K7)</f>
        <v>-3.84</v>
      </c>
      <c r="S7" s="85">
        <f t="shared" ref="S7:S18" si="11">+ROUND($C7*$H$46,2)</f>
        <v>3.82</v>
      </c>
      <c r="T7" s="86">
        <f>SUM(R7:S7)</f>
        <v>-2.0000000000000018E-2</v>
      </c>
      <c r="U7" s="86">
        <f>+Q7+T7</f>
        <v>119.02</v>
      </c>
      <c r="V7" s="66">
        <f>+T7/Q7</f>
        <v>-1.6801075268817219E-4</v>
      </c>
    </row>
    <row r="8" spans="1:22" ht="15" x14ac:dyDescent="0.25">
      <c r="A8" s="80">
        <f>1+A7</f>
        <v>2</v>
      </c>
      <c r="B8" t="s">
        <v>65</v>
      </c>
      <c r="C8" s="65">
        <f t="shared" ref="C8:C18" si="12">ROUND(+E72,0)</f>
        <v>993</v>
      </c>
      <c r="D8" s="85">
        <f t="shared" si="0"/>
        <v>101.67</v>
      </c>
      <c r="E8" s="85">
        <f t="shared" si="1"/>
        <v>-1.0900000000000001</v>
      </c>
      <c r="F8" s="85">
        <f t="shared" si="2"/>
        <v>-1.88</v>
      </c>
      <c r="G8" s="85">
        <f t="shared" si="3"/>
        <v>3.88</v>
      </c>
      <c r="H8" s="85">
        <f t="shared" si="4"/>
        <v>1.06</v>
      </c>
      <c r="I8" s="85">
        <f t="shared" si="5"/>
        <v>0</v>
      </c>
      <c r="J8" s="85">
        <f t="shared" si="6"/>
        <v>-0.08</v>
      </c>
      <c r="K8" s="85">
        <f t="shared" si="7"/>
        <v>3.21</v>
      </c>
      <c r="L8" s="85">
        <f t="shared" si="8"/>
        <v>1.42</v>
      </c>
      <c r="M8" s="85">
        <f t="shared" ref="M8:M18" si="13">ROUND($G$32+IF($C8&gt;600,(600*$G$39+(($C8-600)*$G$48)),$C8*$G$39),2)</f>
        <v>-1.42</v>
      </c>
      <c r="N8" s="85">
        <f t="shared" ref="N8:N18" si="14">ROUND(+IF($C8&gt;600,(600*$G$40+(($C8-600)*$G$49)),$C8*$G$40),2)</f>
        <v>-1.26</v>
      </c>
      <c r="O8" s="85">
        <f t="shared" si="9"/>
        <v>0.62</v>
      </c>
      <c r="P8" s="85">
        <f t="shared" si="10"/>
        <v>-7.33</v>
      </c>
      <c r="Q8" s="85">
        <f t="shared" ref="Q8:Q18" si="15">SUM(D8:P8)</f>
        <v>98.8</v>
      </c>
      <c r="R8" s="85">
        <f t="shared" ref="R8:R18" si="16">-SUM(K8)</f>
        <v>-3.21</v>
      </c>
      <c r="S8" s="85">
        <f t="shared" si="11"/>
        <v>3.19</v>
      </c>
      <c r="T8" s="86">
        <f t="shared" ref="T8:T18" si="17">SUM(R8:S8)</f>
        <v>-2.0000000000000018E-2</v>
      </c>
      <c r="U8" s="86">
        <f t="shared" ref="U8:U18" si="18">+Q8+T8</f>
        <v>98.78</v>
      </c>
      <c r="V8" s="66">
        <f t="shared" ref="V8:V22" si="19">+T8/Q8</f>
        <v>-2.0242914979757103E-4</v>
      </c>
    </row>
    <row r="9" spans="1:22" ht="15" x14ac:dyDescent="0.25">
      <c r="A9" s="80">
        <f t="shared" ref="A9:A65" si="20">1+A8</f>
        <v>3</v>
      </c>
      <c r="B9" t="s">
        <v>64</v>
      </c>
      <c r="C9" s="65">
        <f t="shared" si="12"/>
        <v>994</v>
      </c>
      <c r="D9" s="85">
        <f t="shared" si="0"/>
        <v>101.77</v>
      </c>
      <c r="E9" s="85">
        <f t="shared" si="1"/>
        <v>-1.0900000000000001</v>
      </c>
      <c r="F9" s="85">
        <f t="shared" si="2"/>
        <v>-1.88</v>
      </c>
      <c r="G9" s="85">
        <f t="shared" si="3"/>
        <v>3.88</v>
      </c>
      <c r="H9" s="85">
        <f t="shared" si="4"/>
        <v>1.06</v>
      </c>
      <c r="I9" s="85">
        <f t="shared" si="5"/>
        <v>0</v>
      </c>
      <c r="J9" s="85">
        <f t="shared" si="6"/>
        <v>-0.08</v>
      </c>
      <c r="K9" s="85">
        <f t="shared" si="7"/>
        <v>3.21</v>
      </c>
      <c r="L9" s="85">
        <f t="shared" si="8"/>
        <v>1.42</v>
      </c>
      <c r="M9" s="85">
        <f t="shared" si="13"/>
        <v>-1.42</v>
      </c>
      <c r="N9" s="85">
        <f t="shared" si="14"/>
        <v>-1.26</v>
      </c>
      <c r="O9" s="85">
        <f t="shared" si="9"/>
        <v>0.62</v>
      </c>
      <c r="P9" s="85">
        <f t="shared" si="10"/>
        <v>-7.34</v>
      </c>
      <c r="Q9" s="85">
        <f t="shared" si="15"/>
        <v>98.889999999999986</v>
      </c>
      <c r="R9" s="85">
        <f t="shared" si="16"/>
        <v>-3.21</v>
      </c>
      <c r="S9" s="85">
        <f t="shared" si="11"/>
        <v>3.19</v>
      </c>
      <c r="T9" s="86">
        <f t="shared" si="17"/>
        <v>-2.0000000000000018E-2</v>
      </c>
      <c r="U9" s="86">
        <f t="shared" si="18"/>
        <v>98.86999999999999</v>
      </c>
      <c r="V9" s="66">
        <f t="shared" si="19"/>
        <v>-2.0224491859642047E-4</v>
      </c>
    </row>
    <row r="10" spans="1:22" ht="15" x14ac:dyDescent="0.25">
      <c r="A10" s="80">
        <f t="shared" si="20"/>
        <v>4</v>
      </c>
      <c r="B10" t="s">
        <v>63</v>
      </c>
      <c r="C10" s="65">
        <f t="shared" si="12"/>
        <v>814</v>
      </c>
      <c r="D10" s="85">
        <f t="shared" si="0"/>
        <v>82.64</v>
      </c>
      <c r="E10" s="85">
        <f t="shared" si="1"/>
        <v>-0.89</v>
      </c>
      <c r="F10" s="85">
        <f t="shared" si="2"/>
        <v>-1.54</v>
      </c>
      <c r="G10" s="85">
        <f t="shared" si="3"/>
        <v>3.18</v>
      </c>
      <c r="H10" s="85">
        <f t="shared" si="4"/>
        <v>0.87</v>
      </c>
      <c r="I10" s="85">
        <f t="shared" si="5"/>
        <v>0</v>
      </c>
      <c r="J10" s="85">
        <f t="shared" si="6"/>
        <v>-7.0000000000000007E-2</v>
      </c>
      <c r="K10" s="85">
        <f t="shared" si="7"/>
        <v>2.63</v>
      </c>
      <c r="L10" s="85">
        <f t="shared" si="8"/>
        <v>1.1599999999999999</v>
      </c>
      <c r="M10" s="85">
        <f t="shared" si="13"/>
        <v>-1.1599999999999999</v>
      </c>
      <c r="N10" s="85">
        <f t="shared" si="14"/>
        <v>-1.03</v>
      </c>
      <c r="O10" s="85">
        <f t="shared" si="9"/>
        <v>0.51</v>
      </c>
      <c r="P10" s="85">
        <f t="shared" si="10"/>
        <v>-6.01</v>
      </c>
      <c r="Q10" s="85">
        <f t="shared" si="15"/>
        <v>80.290000000000006</v>
      </c>
      <c r="R10" s="85">
        <f t="shared" si="16"/>
        <v>-2.63</v>
      </c>
      <c r="S10" s="85">
        <f t="shared" si="11"/>
        <v>2.61</v>
      </c>
      <c r="T10" s="86">
        <f t="shared" si="17"/>
        <v>-2.0000000000000018E-2</v>
      </c>
      <c r="U10" s="86">
        <f t="shared" si="18"/>
        <v>80.27000000000001</v>
      </c>
      <c r="V10" s="66">
        <f t="shared" si="19"/>
        <v>-2.4909702329057188E-4</v>
      </c>
    </row>
    <row r="11" spans="1:22" ht="15" x14ac:dyDescent="0.25">
      <c r="A11" s="80">
        <f t="shared" si="20"/>
        <v>5</v>
      </c>
      <c r="B11" t="s">
        <v>62</v>
      </c>
      <c r="C11" s="65">
        <f t="shared" si="12"/>
        <v>712</v>
      </c>
      <c r="D11" s="85">
        <f t="shared" si="0"/>
        <v>71.8</v>
      </c>
      <c r="E11" s="85">
        <f t="shared" si="1"/>
        <v>-0.78</v>
      </c>
      <c r="F11" s="85">
        <f t="shared" si="2"/>
        <v>-1.35</v>
      </c>
      <c r="G11" s="85">
        <f t="shared" si="3"/>
        <v>2.78</v>
      </c>
      <c r="H11" s="85">
        <f t="shared" si="4"/>
        <v>0.76</v>
      </c>
      <c r="I11" s="85">
        <f t="shared" si="5"/>
        <v>0</v>
      </c>
      <c r="J11" s="85">
        <f t="shared" si="6"/>
        <v>-0.06</v>
      </c>
      <c r="K11" s="85">
        <f t="shared" si="7"/>
        <v>2.2999999999999998</v>
      </c>
      <c r="L11" s="85">
        <f t="shared" si="8"/>
        <v>1.01</v>
      </c>
      <c r="M11" s="85">
        <f t="shared" si="13"/>
        <v>-1.01</v>
      </c>
      <c r="N11" s="85">
        <f t="shared" si="14"/>
        <v>-0.9</v>
      </c>
      <c r="O11" s="85">
        <f t="shared" si="9"/>
        <v>0.44</v>
      </c>
      <c r="P11" s="85">
        <f t="shared" si="10"/>
        <v>-5.26</v>
      </c>
      <c r="Q11" s="85">
        <f t="shared" si="15"/>
        <v>69.72999999999999</v>
      </c>
      <c r="R11" s="85">
        <f t="shared" si="16"/>
        <v>-2.2999999999999998</v>
      </c>
      <c r="S11" s="85">
        <f t="shared" si="11"/>
        <v>2.2799999999999998</v>
      </c>
      <c r="T11" s="86">
        <f t="shared" si="17"/>
        <v>-2.0000000000000018E-2</v>
      </c>
      <c r="U11" s="86">
        <f t="shared" si="18"/>
        <v>69.709999999999994</v>
      </c>
      <c r="V11" s="66">
        <f t="shared" si="19"/>
        <v>-2.868205937186293E-4</v>
      </c>
    </row>
    <row r="12" spans="1:22" ht="15" x14ac:dyDescent="0.25">
      <c r="A12" s="80">
        <f t="shared" si="20"/>
        <v>6</v>
      </c>
      <c r="B12" t="s">
        <v>61</v>
      </c>
      <c r="C12" s="65">
        <f t="shared" si="12"/>
        <v>656</v>
      </c>
      <c r="D12" s="85">
        <f t="shared" si="0"/>
        <v>65.84</v>
      </c>
      <c r="E12" s="85">
        <f t="shared" si="1"/>
        <v>-0.72</v>
      </c>
      <c r="F12" s="85">
        <f t="shared" si="2"/>
        <v>-1.24</v>
      </c>
      <c r="G12" s="85">
        <f t="shared" si="3"/>
        <v>2.56</v>
      </c>
      <c r="H12" s="85">
        <f t="shared" si="4"/>
        <v>0.7</v>
      </c>
      <c r="I12" s="85">
        <f t="shared" si="5"/>
        <v>0</v>
      </c>
      <c r="J12" s="85">
        <f t="shared" si="6"/>
        <v>-0.05</v>
      </c>
      <c r="K12" s="85">
        <f t="shared" si="7"/>
        <v>2.12</v>
      </c>
      <c r="L12" s="85">
        <f t="shared" si="8"/>
        <v>0.93</v>
      </c>
      <c r="M12" s="85">
        <f t="shared" si="13"/>
        <v>-0.93</v>
      </c>
      <c r="N12" s="85">
        <f t="shared" si="14"/>
        <v>-0.83</v>
      </c>
      <c r="O12" s="85">
        <f t="shared" si="9"/>
        <v>0.41</v>
      </c>
      <c r="P12" s="85">
        <f t="shared" si="10"/>
        <v>-4.8499999999999996</v>
      </c>
      <c r="Q12" s="85">
        <f t="shared" si="15"/>
        <v>63.940000000000005</v>
      </c>
      <c r="R12" s="85">
        <f t="shared" si="16"/>
        <v>-2.12</v>
      </c>
      <c r="S12" s="85">
        <f t="shared" si="11"/>
        <v>2.11</v>
      </c>
      <c r="T12" s="86">
        <f t="shared" si="17"/>
        <v>-1.0000000000000231E-2</v>
      </c>
      <c r="U12" s="86">
        <f t="shared" si="18"/>
        <v>63.930000000000007</v>
      </c>
      <c r="V12" s="66">
        <f t="shared" si="19"/>
        <v>-1.5639662183297202E-4</v>
      </c>
    </row>
    <row r="13" spans="1:22" ht="15" x14ac:dyDescent="0.25">
      <c r="A13" s="80">
        <f t="shared" si="20"/>
        <v>7</v>
      </c>
      <c r="B13" t="s">
        <v>60</v>
      </c>
      <c r="C13" s="65">
        <f t="shared" si="12"/>
        <v>672</v>
      </c>
      <c r="D13" s="85">
        <f t="shared" si="0"/>
        <v>67.540000000000006</v>
      </c>
      <c r="E13" s="85">
        <f t="shared" si="1"/>
        <v>-0.74</v>
      </c>
      <c r="F13" s="85">
        <f t="shared" si="2"/>
        <v>-1.27</v>
      </c>
      <c r="G13" s="85">
        <f t="shared" si="3"/>
        <v>2.62</v>
      </c>
      <c r="H13" s="85">
        <f t="shared" si="4"/>
        <v>0.72</v>
      </c>
      <c r="I13" s="85">
        <f t="shared" si="5"/>
        <v>0</v>
      </c>
      <c r="J13" s="85">
        <f t="shared" si="6"/>
        <v>-0.06</v>
      </c>
      <c r="K13" s="85">
        <f t="shared" si="7"/>
        <v>2.17</v>
      </c>
      <c r="L13" s="85">
        <f t="shared" si="8"/>
        <v>0.96</v>
      </c>
      <c r="M13" s="85">
        <f t="shared" si="13"/>
        <v>-0.96</v>
      </c>
      <c r="N13" s="85">
        <f t="shared" si="14"/>
        <v>-0.85</v>
      </c>
      <c r="O13" s="85">
        <f t="shared" si="9"/>
        <v>0.42</v>
      </c>
      <c r="P13" s="85">
        <f t="shared" si="10"/>
        <v>-4.96</v>
      </c>
      <c r="Q13" s="85">
        <f t="shared" si="15"/>
        <v>65.590000000000032</v>
      </c>
      <c r="R13" s="85">
        <f t="shared" si="16"/>
        <v>-2.17</v>
      </c>
      <c r="S13" s="85">
        <f t="shared" si="11"/>
        <v>2.16</v>
      </c>
      <c r="T13" s="86">
        <f t="shared" si="17"/>
        <v>-9.9999999999997868E-3</v>
      </c>
      <c r="U13" s="86">
        <f t="shared" si="18"/>
        <v>65.580000000000027</v>
      </c>
      <c r="V13" s="66">
        <f t="shared" si="19"/>
        <v>-1.5246226558926333E-4</v>
      </c>
    </row>
    <row r="14" spans="1:22" ht="15" x14ac:dyDescent="0.25">
      <c r="A14" s="80">
        <f t="shared" si="20"/>
        <v>8</v>
      </c>
      <c r="B14" t="s">
        <v>59</v>
      </c>
      <c r="C14" s="65">
        <f t="shared" si="12"/>
        <v>658</v>
      </c>
      <c r="D14" s="85">
        <f t="shared" si="0"/>
        <v>66.06</v>
      </c>
      <c r="E14" s="85">
        <f t="shared" si="1"/>
        <v>-0.72</v>
      </c>
      <c r="F14" s="85">
        <f t="shared" si="2"/>
        <v>-1.25</v>
      </c>
      <c r="G14" s="85">
        <f t="shared" si="3"/>
        <v>2.57</v>
      </c>
      <c r="H14" s="85">
        <f t="shared" si="4"/>
        <v>0.7</v>
      </c>
      <c r="I14" s="85">
        <f t="shared" si="5"/>
        <v>0</v>
      </c>
      <c r="J14" s="85">
        <f t="shared" si="6"/>
        <v>-0.05</v>
      </c>
      <c r="K14" s="85">
        <f t="shared" si="7"/>
        <v>2.12</v>
      </c>
      <c r="L14" s="85">
        <f t="shared" si="8"/>
        <v>0.94</v>
      </c>
      <c r="M14" s="85">
        <f t="shared" si="13"/>
        <v>-0.94</v>
      </c>
      <c r="N14" s="85">
        <f t="shared" si="14"/>
        <v>-0.84</v>
      </c>
      <c r="O14" s="85">
        <f t="shared" si="9"/>
        <v>0.41</v>
      </c>
      <c r="P14" s="85">
        <f t="shared" si="10"/>
        <v>-4.8600000000000003</v>
      </c>
      <c r="Q14" s="85">
        <f t="shared" si="15"/>
        <v>64.14</v>
      </c>
      <c r="R14" s="85">
        <f t="shared" si="16"/>
        <v>-2.12</v>
      </c>
      <c r="S14" s="85">
        <f t="shared" si="11"/>
        <v>2.11</v>
      </c>
      <c r="T14" s="86">
        <f t="shared" si="17"/>
        <v>-1.0000000000000231E-2</v>
      </c>
      <c r="U14" s="86">
        <f t="shared" si="18"/>
        <v>64.13</v>
      </c>
      <c r="V14" s="66">
        <f t="shared" si="19"/>
        <v>-1.5590894917368617E-4</v>
      </c>
    </row>
    <row r="15" spans="1:22" ht="15" x14ac:dyDescent="0.25">
      <c r="A15" s="80">
        <f t="shared" si="20"/>
        <v>9</v>
      </c>
      <c r="B15" t="s">
        <v>58</v>
      </c>
      <c r="C15" s="65">
        <f t="shared" si="12"/>
        <v>647</v>
      </c>
      <c r="D15" s="85">
        <f t="shared" si="0"/>
        <v>64.89</v>
      </c>
      <c r="E15" s="85">
        <f t="shared" si="1"/>
        <v>-0.71</v>
      </c>
      <c r="F15" s="85">
        <f t="shared" si="2"/>
        <v>-1.22</v>
      </c>
      <c r="G15" s="85">
        <f t="shared" si="3"/>
        <v>2.5299999999999998</v>
      </c>
      <c r="H15" s="85">
        <f t="shared" si="4"/>
        <v>0.69</v>
      </c>
      <c r="I15" s="85">
        <f t="shared" si="5"/>
        <v>0</v>
      </c>
      <c r="J15" s="85">
        <f t="shared" si="6"/>
        <v>-0.05</v>
      </c>
      <c r="K15" s="85">
        <f t="shared" si="7"/>
        <v>2.09</v>
      </c>
      <c r="L15" s="85">
        <f t="shared" si="8"/>
        <v>0.92</v>
      </c>
      <c r="M15" s="85">
        <f t="shared" si="13"/>
        <v>-0.92</v>
      </c>
      <c r="N15" s="85">
        <f t="shared" si="14"/>
        <v>-0.82</v>
      </c>
      <c r="O15" s="85">
        <f t="shared" si="9"/>
        <v>0.4</v>
      </c>
      <c r="P15" s="85">
        <f t="shared" si="10"/>
        <v>-4.78</v>
      </c>
      <c r="Q15" s="85">
        <f t="shared" si="15"/>
        <v>63.020000000000024</v>
      </c>
      <c r="R15" s="85">
        <f t="shared" si="16"/>
        <v>-2.09</v>
      </c>
      <c r="S15" s="85">
        <f t="shared" si="11"/>
        <v>2.08</v>
      </c>
      <c r="T15" s="86">
        <f t="shared" si="17"/>
        <v>-9.9999999999997868E-3</v>
      </c>
      <c r="U15" s="86">
        <f t="shared" si="18"/>
        <v>63.010000000000026</v>
      </c>
      <c r="V15" s="66">
        <f t="shared" si="19"/>
        <v>-1.5867978419549004E-4</v>
      </c>
    </row>
    <row r="16" spans="1:22" ht="15" x14ac:dyDescent="0.25">
      <c r="A16" s="80">
        <f t="shared" si="20"/>
        <v>10</v>
      </c>
      <c r="B16" t="s">
        <v>57</v>
      </c>
      <c r="C16" s="65">
        <f t="shared" si="12"/>
        <v>808</v>
      </c>
      <c r="D16" s="85">
        <f t="shared" si="0"/>
        <v>82</v>
      </c>
      <c r="E16" s="85">
        <f t="shared" si="1"/>
        <v>-0.89</v>
      </c>
      <c r="F16" s="85">
        <f t="shared" si="2"/>
        <v>-1.53</v>
      </c>
      <c r="G16" s="85">
        <f t="shared" si="3"/>
        <v>3.16</v>
      </c>
      <c r="H16" s="85">
        <f t="shared" si="4"/>
        <v>0.86</v>
      </c>
      <c r="I16" s="85">
        <f t="shared" si="5"/>
        <v>0</v>
      </c>
      <c r="J16" s="85">
        <f t="shared" si="6"/>
        <v>-7.0000000000000007E-2</v>
      </c>
      <c r="K16" s="85">
        <f t="shared" si="7"/>
        <v>2.61</v>
      </c>
      <c r="L16" s="85">
        <f t="shared" si="8"/>
        <v>1.1499999999999999</v>
      </c>
      <c r="M16" s="85">
        <f t="shared" si="13"/>
        <v>-1.1499999999999999</v>
      </c>
      <c r="N16" s="85">
        <f t="shared" si="14"/>
        <v>-1.03</v>
      </c>
      <c r="O16" s="85">
        <f t="shared" si="9"/>
        <v>0.5</v>
      </c>
      <c r="P16" s="85">
        <f t="shared" si="10"/>
        <v>-5.97</v>
      </c>
      <c r="Q16" s="85">
        <f t="shared" si="15"/>
        <v>79.64</v>
      </c>
      <c r="R16" s="85">
        <f t="shared" si="16"/>
        <v>-2.61</v>
      </c>
      <c r="S16" s="85">
        <f t="shared" si="11"/>
        <v>2.59</v>
      </c>
      <c r="T16" s="86">
        <f t="shared" si="17"/>
        <v>-2.0000000000000018E-2</v>
      </c>
      <c r="U16" s="86">
        <f t="shared" si="18"/>
        <v>79.62</v>
      </c>
      <c r="V16" s="66">
        <f t="shared" si="19"/>
        <v>-2.5113008538422927E-4</v>
      </c>
    </row>
    <row r="17" spans="1:22" ht="15" x14ac:dyDescent="0.25">
      <c r="A17" s="80">
        <f t="shared" si="20"/>
        <v>11</v>
      </c>
      <c r="B17" t="s">
        <v>56</v>
      </c>
      <c r="C17" s="65">
        <f t="shared" si="12"/>
        <v>995</v>
      </c>
      <c r="D17" s="85">
        <f t="shared" si="0"/>
        <v>101.88</v>
      </c>
      <c r="E17" s="85">
        <f t="shared" si="1"/>
        <v>-1.0900000000000001</v>
      </c>
      <c r="F17" s="85">
        <f t="shared" si="2"/>
        <v>-1.88</v>
      </c>
      <c r="G17" s="85">
        <f t="shared" si="3"/>
        <v>3.89</v>
      </c>
      <c r="H17" s="85">
        <f t="shared" si="4"/>
        <v>1.06</v>
      </c>
      <c r="I17" s="85">
        <f t="shared" si="5"/>
        <v>0</v>
      </c>
      <c r="J17" s="85">
        <f t="shared" si="6"/>
        <v>-0.08</v>
      </c>
      <c r="K17" s="85">
        <f t="shared" si="7"/>
        <v>3.21</v>
      </c>
      <c r="L17" s="85">
        <f t="shared" si="8"/>
        <v>1.42</v>
      </c>
      <c r="M17" s="85">
        <f t="shared" si="13"/>
        <v>-1.42</v>
      </c>
      <c r="N17" s="85">
        <f t="shared" si="14"/>
        <v>-1.26</v>
      </c>
      <c r="O17" s="85">
        <f t="shared" si="9"/>
        <v>0.62</v>
      </c>
      <c r="P17" s="85">
        <f t="shared" si="10"/>
        <v>-7.35</v>
      </c>
      <c r="Q17" s="85">
        <f t="shared" si="15"/>
        <v>99</v>
      </c>
      <c r="R17" s="85">
        <f t="shared" si="16"/>
        <v>-3.21</v>
      </c>
      <c r="S17" s="85">
        <f t="shared" si="11"/>
        <v>3.19</v>
      </c>
      <c r="T17" s="86">
        <f t="shared" si="17"/>
        <v>-2.0000000000000018E-2</v>
      </c>
      <c r="U17" s="86">
        <f t="shared" si="18"/>
        <v>98.98</v>
      </c>
      <c r="V17" s="66">
        <f t="shared" si="19"/>
        <v>-2.0202020202020221E-4</v>
      </c>
    </row>
    <row r="18" spans="1:22" ht="15" x14ac:dyDescent="0.25">
      <c r="A18" s="80">
        <f t="shared" si="20"/>
        <v>12</v>
      </c>
      <c r="B18" t="s">
        <v>55</v>
      </c>
      <c r="C18" s="65">
        <f t="shared" si="12"/>
        <v>1255</v>
      </c>
      <c r="D18" s="85">
        <f t="shared" si="0"/>
        <v>129.52000000000001</v>
      </c>
      <c r="E18" s="85">
        <f t="shared" si="1"/>
        <v>-1.38</v>
      </c>
      <c r="F18" s="85">
        <f t="shared" si="2"/>
        <v>-2.38</v>
      </c>
      <c r="G18" s="85">
        <f t="shared" si="3"/>
        <v>4.9000000000000004</v>
      </c>
      <c r="H18" s="85">
        <f t="shared" si="4"/>
        <v>1.34</v>
      </c>
      <c r="I18" s="85">
        <f t="shared" si="5"/>
        <v>0</v>
      </c>
      <c r="J18" s="85">
        <f t="shared" si="6"/>
        <v>-0.1</v>
      </c>
      <c r="K18" s="85">
        <f t="shared" si="7"/>
        <v>4.05</v>
      </c>
      <c r="L18" s="85">
        <f t="shared" si="8"/>
        <v>1.79</v>
      </c>
      <c r="M18" s="85">
        <f t="shared" si="13"/>
        <v>-1.79</v>
      </c>
      <c r="N18" s="85">
        <f t="shared" si="14"/>
        <v>-1.6</v>
      </c>
      <c r="O18" s="85">
        <f t="shared" si="9"/>
        <v>0.78</v>
      </c>
      <c r="P18" s="85">
        <f t="shared" si="10"/>
        <v>-9.27</v>
      </c>
      <c r="Q18" s="85">
        <f t="shared" si="15"/>
        <v>125.86000000000006</v>
      </c>
      <c r="R18" s="85">
        <f t="shared" si="16"/>
        <v>-4.05</v>
      </c>
      <c r="S18" s="85">
        <f t="shared" si="11"/>
        <v>4.03</v>
      </c>
      <c r="T18" s="86">
        <f t="shared" si="17"/>
        <v>-1.9999999999999574E-2</v>
      </c>
      <c r="U18" s="86">
        <f t="shared" si="18"/>
        <v>125.84000000000006</v>
      </c>
      <c r="V18" s="66">
        <f t="shared" si="19"/>
        <v>-1.5890672175432674E-4</v>
      </c>
    </row>
    <row r="19" spans="1:22" ht="15" x14ac:dyDescent="0.25">
      <c r="A19" s="80">
        <f t="shared" si="20"/>
        <v>13</v>
      </c>
      <c r="B19"/>
      <c r="C19"/>
      <c r="D19" s="86"/>
      <c r="E19" s="86"/>
      <c r="F19" s="86"/>
      <c r="G19" s="86"/>
      <c r="H19" s="86"/>
      <c r="I19" s="86"/>
      <c r="J19" s="86"/>
      <c r="K19" s="86"/>
      <c r="L19" s="86"/>
      <c r="M19" s="117"/>
      <c r="N19" s="117"/>
      <c r="O19" s="86"/>
      <c r="P19" s="86"/>
      <c r="Q19" s="85"/>
      <c r="R19" s="85"/>
      <c r="S19" s="85"/>
      <c r="T19" s="86"/>
      <c r="U19" s="86"/>
      <c r="V19" s="66"/>
    </row>
    <row r="20" spans="1:22" ht="15.75" thickBot="1" x14ac:dyDescent="0.3">
      <c r="A20" s="80">
        <f t="shared" si="20"/>
        <v>14</v>
      </c>
      <c r="B20" s="77" t="s">
        <v>54</v>
      </c>
      <c r="C20" s="87">
        <f>SUM(C7:C19)</f>
        <v>10393</v>
      </c>
      <c r="D20" s="88">
        <f>SUM(D7:D19)</f>
        <v>1058.1099999999999</v>
      </c>
      <c r="E20" s="88">
        <f>SUM(E7:E19)</f>
        <v>-11.41</v>
      </c>
      <c r="F20" s="88">
        <f>SUM(F7:F19)</f>
        <v>-19.669999999999998</v>
      </c>
      <c r="G20" s="88">
        <f t="shared" ref="G20:U20" si="21">SUM(G7:G19)</f>
        <v>40.589999999999996</v>
      </c>
      <c r="H20" s="88">
        <f t="shared" si="21"/>
        <v>11.09</v>
      </c>
      <c r="I20" s="88">
        <f t="shared" si="21"/>
        <v>0</v>
      </c>
      <c r="J20" s="88">
        <f t="shared" si="21"/>
        <v>-0.85000000000000009</v>
      </c>
      <c r="K20" s="88">
        <f t="shared" si="21"/>
        <v>33.56</v>
      </c>
      <c r="L20" s="88">
        <f t="shared" si="21"/>
        <v>14.809999999999999</v>
      </c>
      <c r="M20" s="88">
        <f t="shared" ref="M20:N20" si="22">SUM(M7:M19)</f>
        <v>-14.809999999999999</v>
      </c>
      <c r="N20" s="88">
        <f t="shared" si="22"/>
        <v>-13.19</v>
      </c>
      <c r="O20" s="88">
        <f t="shared" si="21"/>
        <v>6.4700000000000006</v>
      </c>
      <c r="P20" s="88">
        <f t="shared" si="21"/>
        <v>-76.759999999999991</v>
      </c>
      <c r="Q20" s="89">
        <f t="shared" si="21"/>
        <v>1027.94</v>
      </c>
      <c r="R20" s="89">
        <f t="shared" si="21"/>
        <v>-33.56</v>
      </c>
      <c r="S20" s="89">
        <f t="shared" si="21"/>
        <v>33.36</v>
      </c>
      <c r="T20" s="88">
        <f t="shared" si="21"/>
        <v>-0.19999999999999973</v>
      </c>
      <c r="U20" s="88">
        <f t="shared" si="21"/>
        <v>1027.7400000000002</v>
      </c>
      <c r="V20" s="90">
        <f t="shared" si="19"/>
        <v>-1.9456388505165645E-4</v>
      </c>
    </row>
    <row r="21" spans="1:22" ht="15.75" thickTop="1" x14ac:dyDescent="0.25">
      <c r="A21" s="80">
        <f t="shared" si="20"/>
        <v>15</v>
      </c>
      <c r="B21" s="77"/>
      <c r="C2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  <c r="R21" s="92"/>
      <c r="S21" s="92"/>
      <c r="T21" s="91"/>
      <c r="U21" s="91"/>
      <c r="V21" s="93"/>
    </row>
    <row r="22" spans="1:22" ht="15.75" thickBot="1" x14ac:dyDescent="0.3">
      <c r="A22" s="80">
        <f t="shared" si="20"/>
        <v>16</v>
      </c>
      <c r="B22" s="77" t="s">
        <v>197</v>
      </c>
      <c r="C22" s="87">
        <f>ROUND(+C20/12,-2)</f>
        <v>900</v>
      </c>
      <c r="D22" s="88">
        <f>ROUND(+D20/12,2)</f>
        <v>88.18</v>
      </c>
      <c r="E22" s="88">
        <f t="shared" ref="E22:P22" si="23">ROUND(+E20/12,2)</f>
        <v>-0.95</v>
      </c>
      <c r="F22" s="88">
        <f t="shared" si="23"/>
        <v>-1.64</v>
      </c>
      <c r="G22" s="88">
        <f t="shared" si="23"/>
        <v>3.38</v>
      </c>
      <c r="H22" s="88">
        <f t="shared" si="23"/>
        <v>0.92</v>
      </c>
      <c r="I22" s="88">
        <f t="shared" si="23"/>
        <v>0</v>
      </c>
      <c r="J22" s="88">
        <f t="shared" si="23"/>
        <v>-7.0000000000000007E-2</v>
      </c>
      <c r="K22" s="88">
        <f t="shared" si="23"/>
        <v>2.8</v>
      </c>
      <c r="L22" s="88">
        <f t="shared" si="23"/>
        <v>1.23</v>
      </c>
      <c r="M22" s="88">
        <f t="shared" si="23"/>
        <v>-1.23</v>
      </c>
      <c r="N22" s="88">
        <f t="shared" si="23"/>
        <v>-1.1000000000000001</v>
      </c>
      <c r="O22" s="88">
        <f t="shared" si="23"/>
        <v>0.54</v>
      </c>
      <c r="P22" s="88">
        <f t="shared" si="23"/>
        <v>-6.4</v>
      </c>
      <c r="Q22" s="88">
        <f t="shared" ref="Q22" si="24">SUM(D22:P22)</f>
        <v>85.660000000000011</v>
      </c>
      <c r="R22" s="88">
        <f t="shared" ref="R22" si="25">-SUM(K22)</f>
        <v>-2.8</v>
      </c>
      <c r="S22" s="88">
        <f>ROUND(+S20/12,2)</f>
        <v>2.78</v>
      </c>
      <c r="T22" s="88">
        <f t="shared" ref="T22" si="26">SUM(R22:S22)</f>
        <v>-2.0000000000000018E-2</v>
      </c>
      <c r="U22" s="88">
        <f t="shared" ref="U22" si="27">+Q22+T22</f>
        <v>85.640000000000015</v>
      </c>
      <c r="V22" s="90">
        <f t="shared" si="19"/>
        <v>-2.3348120476301675E-4</v>
      </c>
    </row>
    <row r="23" spans="1:22" ht="15.75" thickTop="1" x14ac:dyDescent="0.25">
      <c r="A23" s="80">
        <f t="shared" si="20"/>
        <v>17</v>
      </c>
      <c r="B23"/>
      <c r="C23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92"/>
      <c r="S23" s="92"/>
      <c r="T23" s="91"/>
      <c r="U23" s="91"/>
      <c r="V23"/>
    </row>
    <row r="24" spans="1:22" ht="15" x14ac:dyDescent="0.25">
      <c r="A24" s="80">
        <f t="shared" si="20"/>
        <v>18</v>
      </c>
      <c r="B24" s="63" t="s">
        <v>53</v>
      </c>
      <c r="C24" s="63"/>
      <c r="D24" s="92">
        <f>+D20/$C$20*100</f>
        <v>10.180987202925044</v>
      </c>
      <c r="E24" s="92">
        <f t="shared" ref="E24:U24" si="28">+E20/$C$20*100</f>
        <v>-0.10978543250264601</v>
      </c>
      <c r="F24" s="92">
        <f t="shared" si="28"/>
        <v>-0.18926200327143267</v>
      </c>
      <c r="G24" s="92">
        <f t="shared" si="28"/>
        <v>0.39055133262773017</v>
      </c>
      <c r="H24" s="92">
        <f t="shared" si="28"/>
        <v>0.10670643702492062</v>
      </c>
      <c r="I24" s="92">
        <f t="shared" si="28"/>
        <v>0</v>
      </c>
      <c r="J24" s="92">
        <f t="shared" si="28"/>
        <v>-8.1785817377080742E-3</v>
      </c>
      <c r="K24" s="92">
        <f t="shared" si="28"/>
        <v>0.3229096507264505</v>
      </c>
      <c r="L24" s="92">
        <f t="shared" si="28"/>
        <v>0.14249975945347829</v>
      </c>
      <c r="M24" s="92">
        <f t="shared" ref="M24:N24" si="29">+M20/$C$20*100</f>
        <v>-0.14249975945347829</v>
      </c>
      <c r="N24" s="92">
        <f t="shared" si="29"/>
        <v>-0.1269123448474935</v>
      </c>
      <c r="O24" s="92">
        <f t="shared" si="28"/>
        <v>6.2253439815260277E-2</v>
      </c>
      <c r="P24" s="92">
        <f t="shared" si="28"/>
        <v>-0.73857404021937834</v>
      </c>
      <c r="Q24" s="92">
        <f t="shared" si="28"/>
        <v>9.8906956605407501</v>
      </c>
      <c r="R24" s="92">
        <f t="shared" si="28"/>
        <v>-0.3229096507264505</v>
      </c>
      <c r="S24" s="92">
        <f t="shared" si="28"/>
        <v>0.32098527855287212</v>
      </c>
      <c r="T24" s="92">
        <f t="shared" si="28"/>
        <v>-1.9243721735783675E-3</v>
      </c>
      <c r="U24" s="92">
        <f t="shared" si="28"/>
        <v>9.8887712883671721</v>
      </c>
      <c r="V24"/>
    </row>
    <row r="25" spans="1:22" ht="15" x14ac:dyDescent="0.25">
      <c r="A25" s="80">
        <f t="shared" si="20"/>
        <v>19</v>
      </c>
      <c r="B25"/>
      <c r="C25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2"/>
      <c r="R25" s="92"/>
      <c r="S25" s="92"/>
      <c r="T25" s="91"/>
      <c r="U25" s="91"/>
      <c r="V25"/>
    </row>
    <row r="26" spans="1:22" ht="15.75" thickBot="1" x14ac:dyDescent="0.3">
      <c r="A26" s="80">
        <f t="shared" si="20"/>
        <v>20</v>
      </c>
      <c r="B26" s="81" t="s">
        <v>126</v>
      </c>
      <c r="C26" s="87">
        <v>1000</v>
      </c>
      <c r="D26" s="88">
        <f>ROUND($G$31+IF($C26&gt;600,(600*$G$35+(($C26-600)*$G$44)),$C26*$G$35),2)</f>
        <v>102.41</v>
      </c>
      <c r="E26" s="88">
        <f>ROUND($C26*$G$57,2)</f>
        <v>-1.1000000000000001</v>
      </c>
      <c r="F26" s="88">
        <f>ROUND($C26*$G$58,2)</f>
        <v>-1.89</v>
      </c>
      <c r="G26" s="88">
        <f>ROUND($C26*$G$59,2)</f>
        <v>3.91</v>
      </c>
      <c r="H26" s="88">
        <f>ROUND($C26*$G$36,2)</f>
        <v>1.07</v>
      </c>
      <c r="I26" s="88">
        <f>ROUND($C26*$G$60,2)</f>
        <v>0</v>
      </c>
      <c r="J26" s="88">
        <f>ROUND($C26*$G$61,2)</f>
        <v>-0.08</v>
      </c>
      <c r="K26" s="88">
        <f>ROUND($C26*$G$37,2)</f>
        <v>3.23</v>
      </c>
      <c r="L26" s="88">
        <f>ROUND($G$32+IF($C26&gt;600,(600*$G$38+(($C26-600)*$G$47)),$C26*$G$35),2)</f>
        <v>1.43</v>
      </c>
      <c r="M26" s="88">
        <f t="shared" ref="M26" si="30">ROUND($G$32+IF($C26&gt;600,(600*$G$39+(($C26-600)*$G$48)),$C26*$G$39),2)</f>
        <v>-1.43</v>
      </c>
      <c r="N26" s="88">
        <f t="shared" ref="N26" si="31">ROUND(+IF($C26&gt;600,(600*$G$40+(($C26-600)*$G$49)),$C26*$G$40),2)</f>
        <v>-1.27</v>
      </c>
      <c r="O26" s="88">
        <f>ROUND($C26*$G$41,2)</f>
        <v>0.62</v>
      </c>
      <c r="P26" s="88">
        <f>ROUND($C26*$G$53,2)</f>
        <v>-7.39</v>
      </c>
      <c r="Q26" s="89">
        <f>SUM(D26:P26)</f>
        <v>99.51</v>
      </c>
      <c r="R26" s="89">
        <f t="shared" ref="R26" si="32">-SUM(K26)</f>
        <v>-3.23</v>
      </c>
      <c r="S26" s="89">
        <f t="shared" ref="S26" si="33">+ROUND($C26*$H$46,2)</f>
        <v>3.21</v>
      </c>
      <c r="T26" s="88">
        <f>SUM(R26:S26)</f>
        <v>-2.0000000000000018E-2</v>
      </c>
      <c r="U26" s="88">
        <f>+Q26+T26</f>
        <v>99.490000000000009</v>
      </c>
      <c r="V26" s="90">
        <f>+T26/Q26</f>
        <v>-2.0098482564566392E-4</v>
      </c>
    </row>
    <row r="27" spans="1:22" ht="15.75" thickTop="1" x14ac:dyDescent="0.25">
      <c r="A27" s="80">
        <f t="shared" si="20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x14ac:dyDescent="0.25">
      <c r="A28" s="80">
        <f t="shared" si="20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60" x14ac:dyDescent="0.25">
      <c r="A29" s="80">
        <f t="shared" si="20"/>
        <v>23</v>
      </c>
      <c r="B29" s="94" t="s">
        <v>127</v>
      </c>
      <c r="C29" s="78"/>
      <c r="D29" s="78"/>
      <c r="E29" s="78"/>
      <c r="F29"/>
      <c r="G29" s="95" t="s">
        <v>372</v>
      </c>
      <c r="H29" s="96" t="s">
        <v>373</v>
      </c>
      <c r="I29" s="67"/>
      <c r="J29" s="67"/>
      <c r="K29" s="67"/>
      <c r="L29" s="67"/>
      <c r="M29" s="67"/>
      <c r="N29" s="67"/>
      <c r="O29" s="67"/>
      <c r="P29" s="67"/>
      <c r="Q29"/>
      <c r="R29"/>
      <c r="S29"/>
      <c r="T29"/>
      <c r="U29"/>
      <c r="V29"/>
    </row>
    <row r="30" spans="1:22" ht="15" x14ac:dyDescent="0.25">
      <c r="A30" s="80">
        <f t="shared" si="20"/>
        <v>24</v>
      </c>
      <c r="B30" s="299" t="s">
        <v>52</v>
      </c>
      <c r="C30" s="299"/>
      <c r="D30" s="299"/>
      <c r="E30" s="299"/>
      <c r="F30"/>
      <c r="G30" s="97"/>
      <c r="H30" s="98"/>
      <c r="I30" s="67"/>
      <c r="J30" s="67"/>
      <c r="K30" s="67"/>
      <c r="L30" s="67"/>
      <c r="M30" s="67"/>
      <c r="N30" s="67"/>
      <c r="O30" s="67"/>
      <c r="P30" s="67"/>
      <c r="Q30"/>
      <c r="R30"/>
      <c r="S30"/>
      <c r="T30"/>
      <c r="U30"/>
      <c r="V30"/>
    </row>
    <row r="31" spans="1:22" ht="15" x14ac:dyDescent="0.25">
      <c r="A31" s="80">
        <f t="shared" si="20"/>
        <v>25</v>
      </c>
      <c r="B31" s="300" t="s">
        <v>128</v>
      </c>
      <c r="C31" s="300"/>
      <c r="D31" s="300"/>
      <c r="E31" s="300"/>
      <c r="F31"/>
      <c r="G31" s="119">
        <v>7.49</v>
      </c>
      <c r="H31" s="120">
        <f>+G31</f>
        <v>7.49</v>
      </c>
      <c r="I31" s="67" t="s">
        <v>40</v>
      </c>
      <c r="J31" s="67"/>
      <c r="K31" s="67"/>
      <c r="L31" s="67"/>
      <c r="M31" s="67"/>
      <c r="N31" s="67"/>
      <c r="O31" s="67"/>
      <c r="P31" s="67"/>
      <c r="Q31"/>
      <c r="R31"/>
      <c r="S31"/>
      <c r="T31"/>
      <c r="U31"/>
      <c r="V31"/>
    </row>
    <row r="32" spans="1:22" ht="15" x14ac:dyDescent="0.25">
      <c r="A32" s="80">
        <f t="shared" si="20"/>
        <v>26</v>
      </c>
      <c r="B32" s="300" t="s">
        <v>316</v>
      </c>
      <c r="C32" s="300"/>
      <c r="D32" s="300"/>
      <c r="E32" s="300"/>
      <c r="F32"/>
      <c r="G32" s="121">
        <v>0</v>
      </c>
      <c r="H32" s="122">
        <f>+G32</f>
        <v>0</v>
      </c>
      <c r="I32" s="67" t="s">
        <v>40</v>
      </c>
      <c r="J32" s="67"/>
      <c r="K32" s="67"/>
      <c r="L32" s="67"/>
      <c r="M32" s="67"/>
      <c r="N32" s="67"/>
      <c r="O32" s="67"/>
      <c r="P32" s="67"/>
      <c r="Q32"/>
      <c r="R32"/>
      <c r="S32"/>
      <c r="T32"/>
      <c r="U32"/>
      <c r="V32"/>
    </row>
    <row r="33" spans="1:22" ht="15.75" thickBot="1" x14ac:dyDescent="0.3">
      <c r="A33" s="80">
        <f t="shared" si="20"/>
        <v>27</v>
      </c>
      <c r="B33" s="297" t="s">
        <v>91</v>
      </c>
      <c r="C33" s="297"/>
      <c r="D33" s="297"/>
      <c r="E33" s="297"/>
      <c r="F33"/>
      <c r="G33" s="123">
        <f>SUM(G31:G32)</f>
        <v>7.49</v>
      </c>
      <c r="H33" s="124">
        <f>SUM(H31:H32)</f>
        <v>7.49</v>
      </c>
      <c r="I33" s="67"/>
      <c r="J33" s="67"/>
      <c r="K33" s="67"/>
      <c r="L33" s="67"/>
      <c r="M33" s="67"/>
      <c r="N33" s="67"/>
      <c r="O33" s="67"/>
      <c r="P33" s="67"/>
      <c r="Q33"/>
      <c r="R33"/>
      <c r="S33"/>
      <c r="T33"/>
      <c r="U33"/>
      <c r="V33"/>
    </row>
    <row r="34" spans="1:22" ht="15.75" thickTop="1" x14ac:dyDescent="0.25">
      <c r="A34" s="80">
        <f t="shared" si="20"/>
        <v>28</v>
      </c>
      <c r="B34" s="299" t="s">
        <v>51</v>
      </c>
      <c r="C34" s="299"/>
      <c r="D34" s="299"/>
      <c r="E34" s="299"/>
      <c r="F34"/>
      <c r="G34" s="79"/>
      <c r="H34" s="99"/>
      <c r="I34" s="67"/>
      <c r="J34" s="67"/>
      <c r="K34" s="67"/>
      <c r="L34" s="67"/>
      <c r="M34" s="67"/>
      <c r="N34" s="67"/>
      <c r="O34" s="67"/>
      <c r="P34" s="67"/>
      <c r="Q34"/>
      <c r="R34"/>
      <c r="S34"/>
      <c r="T34"/>
      <c r="U34"/>
      <c r="V34"/>
    </row>
    <row r="35" spans="1:22" ht="15" x14ac:dyDescent="0.25">
      <c r="A35" s="80">
        <f t="shared" si="20"/>
        <v>29</v>
      </c>
      <c r="B35" s="300" t="s">
        <v>50</v>
      </c>
      <c r="C35" s="300"/>
      <c r="D35" s="300"/>
      <c r="E35" s="300"/>
      <c r="F35"/>
      <c r="G35" s="125">
        <v>8.7335999999999997E-2</v>
      </c>
      <c r="H35" s="126">
        <f>+G35</f>
        <v>8.7335999999999997E-2</v>
      </c>
      <c r="I35" s="67" t="s">
        <v>92</v>
      </c>
      <c r="J35" s="67"/>
      <c r="K35" s="67"/>
      <c r="L35" s="67"/>
      <c r="M35" s="67"/>
      <c r="N35" s="67"/>
      <c r="O35" s="67"/>
      <c r="P35" s="67"/>
      <c r="Q35"/>
      <c r="R35"/>
      <c r="S35"/>
      <c r="T35"/>
      <c r="U35"/>
      <c r="V35"/>
    </row>
    <row r="36" spans="1:22" ht="15" x14ac:dyDescent="0.25">
      <c r="A36" s="80">
        <f t="shared" si="20"/>
        <v>30</v>
      </c>
      <c r="B36" s="300" t="s">
        <v>45</v>
      </c>
      <c r="C36" s="300"/>
      <c r="D36" s="300"/>
      <c r="E36" s="300"/>
      <c r="F36"/>
      <c r="G36" s="125">
        <v>1.0679999999999999E-3</v>
      </c>
      <c r="H36" s="126">
        <f>+G36</f>
        <v>1.0679999999999999E-3</v>
      </c>
      <c r="I36" s="67" t="s">
        <v>92</v>
      </c>
      <c r="J36" s="67"/>
      <c r="K36" s="67"/>
      <c r="L36" s="67"/>
      <c r="M36" s="67"/>
      <c r="N36" s="67"/>
      <c r="O36" s="67"/>
      <c r="P36" s="67"/>
      <c r="Q36"/>
      <c r="R36"/>
      <c r="S36"/>
      <c r="T36"/>
      <c r="U36"/>
      <c r="V36"/>
    </row>
    <row r="37" spans="1:22" ht="15" x14ac:dyDescent="0.25">
      <c r="A37" s="80">
        <f t="shared" si="20"/>
        <v>31</v>
      </c>
      <c r="B37" s="301" t="s">
        <v>41</v>
      </c>
      <c r="C37" s="301"/>
      <c r="D37" s="301"/>
      <c r="E37" s="301"/>
      <c r="F37" s="183"/>
      <c r="G37" s="184">
        <f>+'2020 Prop Tax Rate Impacts'!F8</f>
        <v>3.228E-3</v>
      </c>
      <c r="H37" s="184">
        <f>+'2020 Prop Tax Rate Impacts'!G8</f>
        <v>3.209E-3</v>
      </c>
      <c r="I37" s="68" t="s">
        <v>92</v>
      </c>
      <c r="J37" s="68"/>
      <c r="K37" s="68"/>
      <c r="L37" s="117"/>
      <c r="M37" s="117"/>
      <c r="N37" s="117"/>
      <c r="O37" s="67"/>
      <c r="P37" s="67"/>
      <c r="Q37"/>
      <c r="R37"/>
      <c r="S37"/>
      <c r="T37"/>
      <c r="U37"/>
      <c r="V37"/>
    </row>
    <row r="38" spans="1:22" ht="15" x14ac:dyDescent="0.25">
      <c r="A38" s="80">
        <f t="shared" si="20"/>
        <v>32</v>
      </c>
      <c r="B38" s="300" t="s">
        <v>374</v>
      </c>
      <c r="C38" s="300"/>
      <c r="D38" s="300"/>
      <c r="E38" s="300"/>
      <c r="F38"/>
      <c r="G38" s="125">
        <v>1.4250000000000001E-3</v>
      </c>
      <c r="H38" s="126">
        <f>+G38</f>
        <v>1.4250000000000001E-3</v>
      </c>
      <c r="I38" s="68" t="s">
        <v>92</v>
      </c>
      <c r="J38" s="68"/>
      <c r="K38" s="68"/>
      <c r="L38" s="67"/>
      <c r="M38" s="67"/>
      <c r="N38" s="67"/>
      <c r="O38" s="67"/>
      <c r="P38" s="67"/>
      <c r="Q38"/>
      <c r="R38"/>
      <c r="S38"/>
      <c r="T38"/>
      <c r="U38"/>
      <c r="V38"/>
    </row>
    <row r="39" spans="1:22" ht="15" x14ac:dyDescent="0.25">
      <c r="A39" s="80">
        <f t="shared" si="20"/>
        <v>33</v>
      </c>
      <c r="B39" s="300" t="s">
        <v>375</v>
      </c>
      <c r="C39" s="300"/>
      <c r="D39" s="300"/>
      <c r="E39" s="300"/>
      <c r="F39"/>
      <c r="G39" s="125">
        <v>-1.4250000000000001E-3</v>
      </c>
      <c r="H39" s="126">
        <f>+G39</f>
        <v>-1.4250000000000001E-3</v>
      </c>
      <c r="I39" s="109" t="s">
        <v>92</v>
      </c>
      <c r="J39" s="109"/>
      <c r="K39" s="109"/>
      <c r="L39" s="67"/>
      <c r="M39" s="67"/>
      <c r="N39" s="67"/>
      <c r="O39" s="67"/>
      <c r="P39" s="67"/>
      <c r="Q39"/>
      <c r="R39"/>
      <c r="S39"/>
      <c r="T39"/>
      <c r="U39"/>
      <c r="V39"/>
    </row>
    <row r="40" spans="1:22" ht="15" x14ac:dyDescent="0.25">
      <c r="A40" s="80">
        <f t="shared" si="20"/>
        <v>34</v>
      </c>
      <c r="B40" s="300" t="s">
        <v>376</v>
      </c>
      <c r="C40" s="300"/>
      <c r="D40" s="300"/>
      <c r="E40" s="300"/>
      <c r="F40"/>
      <c r="G40" s="125">
        <v>-1.271E-3</v>
      </c>
      <c r="H40" s="126">
        <f>+G40</f>
        <v>-1.271E-3</v>
      </c>
      <c r="I40" s="109" t="s">
        <v>92</v>
      </c>
      <c r="J40" s="109"/>
      <c r="K40" s="109"/>
      <c r="L40" s="67"/>
      <c r="M40" s="67"/>
      <c r="N40" s="67"/>
      <c r="O40" s="67"/>
      <c r="P40" s="67"/>
      <c r="Q40"/>
      <c r="R40"/>
      <c r="S40"/>
      <c r="T40"/>
      <c r="U40"/>
      <c r="V40"/>
    </row>
    <row r="41" spans="1:22" ht="15" x14ac:dyDescent="0.25">
      <c r="A41" s="80">
        <f t="shared" si="20"/>
        <v>35</v>
      </c>
      <c r="B41" s="300" t="s">
        <v>39</v>
      </c>
      <c r="C41" s="300"/>
      <c r="D41" s="300"/>
      <c r="E41" s="300"/>
      <c r="F41"/>
      <c r="G41" s="125">
        <v>6.2100000000000002E-4</v>
      </c>
      <c r="H41" s="126">
        <f>+G41</f>
        <v>6.2100000000000002E-4</v>
      </c>
      <c r="I41" s="68" t="s">
        <v>92</v>
      </c>
      <c r="J41" s="68"/>
      <c r="K41" s="68"/>
      <c r="L41" s="67"/>
      <c r="M41" s="67"/>
      <c r="N41" s="67"/>
      <c r="O41" s="67"/>
      <c r="P41" s="67"/>
      <c r="Q41"/>
      <c r="R41"/>
      <c r="S41"/>
      <c r="T41"/>
      <c r="U41"/>
      <c r="V41"/>
    </row>
    <row r="42" spans="1:22" ht="15.75" thickBot="1" x14ac:dyDescent="0.3">
      <c r="A42" s="80">
        <f t="shared" si="20"/>
        <v>36</v>
      </c>
      <c r="B42" s="297" t="s">
        <v>93</v>
      </c>
      <c r="C42" s="297"/>
      <c r="D42" s="297"/>
      <c r="E42" s="297"/>
      <c r="F42"/>
      <c r="G42" s="127">
        <f>SUM(G35:G41)</f>
        <v>9.0981999999999993E-2</v>
      </c>
      <c r="H42" s="128">
        <f>SUM(H35:H41)</f>
        <v>9.0963000000000002E-2</v>
      </c>
      <c r="I42" s="68" t="s">
        <v>92</v>
      </c>
      <c r="J42" s="68"/>
      <c r="K42" s="68"/>
      <c r="L42" s="67"/>
      <c r="M42" s="67"/>
      <c r="N42" s="67"/>
      <c r="O42" s="67"/>
      <c r="P42" s="67"/>
      <c r="Q42"/>
      <c r="R42"/>
      <c r="S42"/>
      <c r="T42"/>
      <c r="U42"/>
      <c r="V42"/>
    </row>
    <row r="43" spans="1:22" ht="15.75" thickTop="1" x14ac:dyDescent="0.25">
      <c r="A43" s="80">
        <f t="shared" si="20"/>
        <v>37</v>
      </c>
      <c r="B43" s="299"/>
      <c r="C43" s="299"/>
      <c r="D43" s="299"/>
      <c r="E43" s="299"/>
      <c r="F43"/>
      <c r="G43" s="125"/>
      <c r="H43" s="126"/>
      <c r="I43" s="67"/>
      <c r="J43" s="67"/>
      <c r="K43" s="67"/>
      <c r="L43" s="67"/>
      <c r="M43" s="67"/>
      <c r="N43" s="67"/>
      <c r="O43" s="67"/>
      <c r="P43" s="67"/>
      <c r="Q43"/>
      <c r="R43"/>
      <c r="S43"/>
      <c r="T43"/>
      <c r="U43"/>
      <c r="V43"/>
    </row>
    <row r="44" spans="1:22" ht="15" x14ac:dyDescent="0.25">
      <c r="A44" s="80">
        <f t="shared" si="20"/>
        <v>38</v>
      </c>
      <c r="B44" s="299" t="s">
        <v>49</v>
      </c>
      <c r="C44" s="299"/>
      <c r="D44" s="299"/>
      <c r="E44" s="299"/>
      <c r="F44"/>
      <c r="G44" s="125">
        <v>0.106297</v>
      </c>
      <c r="H44" s="126">
        <f>+G44</f>
        <v>0.106297</v>
      </c>
      <c r="I44" s="67" t="s">
        <v>92</v>
      </c>
      <c r="J44" s="67"/>
      <c r="K44" s="67"/>
      <c r="L44" s="67"/>
      <c r="M44" s="67"/>
      <c r="N44" s="67"/>
      <c r="O44" s="67"/>
      <c r="P44" s="67"/>
      <c r="Q44"/>
      <c r="R44"/>
      <c r="S44"/>
      <c r="T44"/>
      <c r="U44"/>
      <c r="V44"/>
    </row>
    <row r="45" spans="1:22" ht="15" x14ac:dyDescent="0.25">
      <c r="A45" s="80">
        <f t="shared" si="20"/>
        <v>39</v>
      </c>
      <c r="B45" s="300" t="s">
        <v>45</v>
      </c>
      <c r="C45" s="300"/>
      <c r="D45" s="300"/>
      <c r="E45" s="300"/>
      <c r="F45"/>
      <c r="G45" s="125">
        <f>+G36</f>
        <v>1.0679999999999999E-3</v>
      </c>
      <c r="H45" s="126">
        <f>+G45</f>
        <v>1.0679999999999999E-3</v>
      </c>
      <c r="I45" s="67" t="s">
        <v>92</v>
      </c>
      <c r="J45" s="67"/>
      <c r="K45" s="67"/>
      <c r="L45" s="67"/>
      <c r="M45" s="67"/>
      <c r="N45" s="67"/>
      <c r="O45" s="67"/>
      <c r="P45" s="67"/>
      <c r="Q45"/>
      <c r="R45"/>
      <c r="S45"/>
      <c r="T45"/>
      <c r="U45"/>
      <c r="V45"/>
    </row>
    <row r="46" spans="1:22" ht="15" x14ac:dyDescent="0.25">
      <c r="A46" s="80">
        <f t="shared" si="20"/>
        <v>40</v>
      </c>
      <c r="B46" s="301" t="s">
        <v>41</v>
      </c>
      <c r="C46" s="301"/>
      <c r="D46" s="301"/>
      <c r="E46" s="301"/>
      <c r="F46" s="183"/>
      <c r="G46" s="184">
        <f>+G37</f>
        <v>3.228E-3</v>
      </c>
      <c r="H46" s="184">
        <f>+H37</f>
        <v>3.209E-3</v>
      </c>
      <c r="I46" s="67" t="s">
        <v>92</v>
      </c>
      <c r="J46" s="67"/>
      <c r="K46" s="67"/>
      <c r="L46" s="67"/>
      <c r="M46" s="67"/>
      <c r="N46" s="67"/>
      <c r="O46" s="67"/>
      <c r="P46" s="67"/>
      <c r="Q46"/>
      <c r="R46"/>
      <c r="S46"/>
      <c r="T46"/>
      <c r="U46"/>
      <c r="V46"/>
    </row>
    <row r="47" spans="1:22" ht="15" x14ac:dyDescent="0.25">
      <c r="A47" s="80">
        <f t="shared" si="20"/>
        <v>41</v>
      </c>
      <c r="B47" s="300" t="s">
        <v>374</v>
      </c>
      <c r="C47" s="300"/>
      <c r="D47" s="300"/>
      <c r="E47" s="300"/>
      <c r="F47"/>
      <c r="G47" s="125">
        <f>+G38</f>
        <v>1.4250000000000001E-3</v>
      </c>
      <c r="H47" s="126">
        <f>+G47</f>
        <v>1.4250000000000001E-3</v>
      </c>
      <c r="I47" s="68" t="s">
        <v>92</v>
      </c>
      <c r="J47" s="68"/>
      <c r="K47" s="68"/>
      <c r="L47" s="67"/>
      <c r="M47" s="67"/>
      <c r="N47" s="67"/>
      <c r="O47" s="67"/>
      <c r="P47" s="67"/>
      <c r="Q47"/>
      <c r="R47"/>
      <c r="S47"/>
      <c r="T47"/>
      <c r="U47"/>
      <c r="V47"/>
    </row>
    <row r="48" spans="1:22" ht="15" x14ac:dyDescent="0.25">
      <c r="A48" s="80">
        <f t="shared" si="20"/>
        <v>42</v>
      </c>
      <c r="B48" s="300" t="s">
        <v>375</v>
      </c>
      <c r="C48" s="300"/>
      <c r="D48" s="300"/>
      <c r="E48" s="300"/>
      <c r="F48"/>
      <c r="G48" s="125">
        <f t="shared" ref="G48:G49" si="34">+G39</f>
        <v>-1.4250000000000001E-3</v>
      </c>
      <c r="H48" s="126">
        <f>+G48</f>
        <v>-1.4250000000000001E-3</v>
      </c>
      <c r="I48" s="109"/>
      <c r="J48" s="109"/>
      <c r="K48" s="109"/>
      <c r="L48" s="67"/>
      <c r="M48" s="67"/>
      <c r="N48" s="67"/>
      <c r="O48" s="67"/>
      <c r="P48" s="67"/>
      <c r="Q48"/>
      <c r="R48"/>
      <c r="S48"/>
      <c r="T48"/>
      <c r="U48"/>
      <c r="V48"/>
    </row>
    <row r="49" spans="1:22" ht="15" x14ac:dyDescent="0.25">
      <c r="A49" s="80">
        <f t="shared" si="20"/>
        <v>43</v>
      </c>
      <c r="B49" s="300" t="s">
        <v>376</v>
      </c>
      <c r="C49" s="300"/>
      <c r="D49" s="300"/>
      <c r="E49" s="300"/>
      <c r="F49"/>
      <c r="G49" s="125">
        <f t="shared" si="34"/>
        <v>-1.271E-3</v>
      </c>
      <c r="H49" s="126">
        <f>+G49</f>
        <v>-1.271E-3</v>
      </c>
      <c r="I49" s="109"/>
      <c r="J49" s="109"/>
      <c r="K49" s="109"/>
      <c r="L49" s="67"/>
      <c r="M49" s="67"/>
      <c r="N49" s="67"/>
      <c r="O49" s="67"/>
      <c r="P49" s="67"/>
      <c r="Q49"/>
      <c r="R49"/>
      <c r="S49"/>
      <c r="T49"/>
      <c r="U49"/>
      <c r="V49"/>
    </row>
    <row r="50" spans="1:22" ht="15" x14ac:dyDescent="0.25">
      <c r="A50" s="80">
        <f t="shared" si="20"/>
        <v>44</v>
      </c>
      <c r="B50" s="300" t="s">
        <v>39</v>
      </c>
      <c r="C50" s="300"/>
      <c r="D50" s="300"/>
      <c r="E50" s="300"/>
      <c r="F50"/>
      <c r="G50" s="125">
        <f>+G41</f>
        <v>6.2100000000000002E-4</v>
      </c>
      <c r="H50" s="126">
        <f>+G50</f>
        <v>6.2100000000000002E-4</v>
      </c>
      <c r="I50" s="68" t="s">
        <v>92</v>
      </c>
      <c r="J50" s="68"/>
      <c r="K50" s="68"/>
      <c r="L50" s="67"/>
      <c r="M50" s="67"/>
      <c r="N50" s="67"/>
      <c r="O50" s="67"/>
      <c r="P50" s="67"/>
      <c r="Q50"/>
      <c r="R50"/>
      <c r="S50"/>
      <c r="T50"/>
      <c r="U50"/>
      <c r="V50"/>
    </row>
    <row r="51" spans="1:22" ht="15.75" thickBot="1" x14ac:dyDescent="0.3">
      <c r="A51" s="80">
        <f t="shared" si="20"/>
        <v>45</v>
      </c>
      <c r="B51" s="297" t="s">
        <v>94</v>
      </c>
      <c r="C51" s="297"/>
      <c r="D51" s="297"/>
      <c r="E51" s="297"/>
      <c r="F51"/>
      <c r="G51" s="127">
        <f>SUM(G44:G50)</f>
        <v>0.109943</v>
      </c>
      <c r="H51" s="128">
        <f>SUM(H44:H50)</f>
        <v>0.10992400000000001</v>
      </c>
      <c r="I51" s="68" t="s">
        <v>92</v>
      </c>
      <c r="J51" s="68"/>
      <c r="K51" s="68"/>
      <c r="L51" s="67"/>
      <c r="M51" s="67"/>
      <c r="N51" s="67"/>
      <c r="O51" s="67"/>
      <c r="P51" s="67"/>
      <c r="Q51"/>
      <c r="R51"/>
      <c r="S51"/>
      <c r="T51"/>
      <c r="U51"/>
      <c r="V51"/>
    </row>
    <row r="52" spans="1:22" ht="15.75" thickTop="1" x14ac:dyDescent="0.25">
      <c r="A52" s="80">
        <f t="shared" si="20"/>
        <v>46</v>
      </c>
      <c r="B52" s="299"/>
      <c r="C52" s="299"/>
      <c r="D52" s="299"/>
      <c r="E52" s="299"/>
      <c r="F52"/>
      <c r="G52" s="125"/>
      <c r="H52" s="126"/>
      <c r="I52" s="68"/>
      <c r="J52" s="68"/>
      <c r="K52" s="68"/>
      <c r="L52" s="67"/>
      <c r="M52" s="67"/>
      <c r="N52" s="67"/>
      <c r="O52" s="67"/>
      <c r="P52" s="67"/>
      <c r="Q52"/>
      <c r="R52"/>
      <c r="S52"/>
      <c r="T52"/>
      <c r="U52"/>
      <c r="V52"/>
    </row>
    <row r="53" spans="1:22" ht="15" x14ac:dyDescent="0.25">
      <c r="A53" s="80">
        <f t="shared" si="20"/>
        <v>47</v>
      </c>
      <c r="B53" s="297" t="s">
        <v>38</v>
      </c>
      <c r="C53" s="297"/>
      <c r="D53" s="297"/>
      <c r="E53" s="297"/>
      <c r="F53"/>
      <c r="G53" s="125">
        <v>-7.3860000000000002E-3</v>
      </c>
      <c r="H53" s="126">
        <f>+G53</f>
        <v>-7.3860000000000002E-3</v>
      </c>
      <c r="I53" s="68" t="s">
        <v>92</v>
      </c>
      <c r="J53" s="68"/>
      <c r="K53" s="68"/>
      <c r="L53" s="67"/>
      <c r="M53" s="67"/>
      <c r="N53" s="67"/>
      <c r="O53" s="67"/>
      <c r="P53" s="67"/>
      <c r="Q53"/>
      <c r="R53"/>
      <c r="S53"/>
      <c r="T53"/>
      <c r="U53"/>
      <c r="V53"/>
    </row>
    <row r="54" spans="1:22" ht="15" x14ac:dyDescent="0.25">
      <c r="A54" s="80">
        <f t="shared" si="20"/>
        <v>48</v>
      </c>
      <c r="B54" s="297" t="s">
        <v>43</v>
      </c>
      <c r="C54" s="297"/>
      <c r="D54" s="297"/>
      <c r="E54" s="297"/>
      <c r="F54"/>
      <c r="G54" s="125">
        <v>0</v>
      </c>
      <c r="H54" s="126">
        <f>+G54</f>
        <v>0</v>
      </c>
      <c r="I54" s="68" t="s">
        <v>92</v>
      </c>
      <c r="J54"/>
      <c r="K54"/>
      <c r="L54" s="67"/>
      <c r="M54" s="67"/>
      <c r="N54" s="67"/>
      <c r="O54" s="67"/>
      <c r="P54" s="67"/>
      <c r="Q54"/>
      <c r="R54"/>
      <c r="S54"/>
      <c r="T54"/>
      <c r="U54"/>
      <c r="V54"/>
    </row>
    <row r="55" spans="1:22" ht="15" x14ac:dyDescent="0.25">
      <c r="A55" s="80">
        <f t="shared" si="20"/>
        <v>49</v>
      </c>
      <c r="B55" s="299"/>
      <c r="C55" s="299"/>
      <c r="D55" s="299"/>
      <c r="E55" s="299"/>
      <c r="F55"/>
      <c r="G55" s="125"/>
      <c r="H55" s="126"/>
      <c r="I55"/>
      <c r="J55" s="67"/>
      <c r="K55" s="67"/>
      <c r="L55" s="67"/>
      <c r="M55" s="67"/>
      <c r="N55" s="67"/>
      <c r="O55" s="67"/>
      <c r="P55" s="67"/>
      <c r="Q55"/>
      <c r="R55"/>
      <c r="S55"/>
      <c r="T55"/>
      <c r="U55"/>
      <c r="V55"/>
    </row>
    <row r="56" spans="1:22" ht="15" x14ac:dyDescent="0.25">
      <c r="A56" s="80">
        <f t="shared" si="20"/>
        <v>50</v>
      </c>
      <c r="B56" s="299" t="s">
        <v>129</v>
      </c>
      <c r="C56" s="299"/>
      <c r="D56" s="299"/>
      <c r="E56" s="299"/>
      <c r="F56"/>
      <c r="G56" s="125"/>
      <c r="H56" s="126"/>
      <c r="I56" s="67" t="s">
        <v>92</v>
      </c>
      <c r="J56" s="67"/>
      <c r="K56" s="67"/>
      <c r="L56" s="67"/>
      <c r="M56" s="67"/>
      <c r="N56" s="67"/>
      <c r="O56" s="67"/>
      <c r="P56" s="67"/>
      <c r="Q56"/>
      <c r="R56"/>
      <c r="S56"/>
      <c r="T56"/>
      <c r="U56"/>
      <c r="V56"/>
    </row>
    <row r="57" spans="1:22" ht="15" x14ac:dyDescent="0.25">
      <c r="A57" s="80">
        <f t="shared" si="20"/>
        <v>51</v>
      </c>
      <c r="B57" s="300" t="s">
        <v>48</v>
      </c>
      <c r="C57" s="300"/>
      <c r="D57" s="300"/>
      <c r="E57" s="300"/>
      <c r="F57" s="63"/>
      <c r="G57" s="125">
        <v>-1.098E-3</v>
      </c>
      <c r="H57" s="126">
        <f>+G57</f>
        <v>-1.098E-3</v>
      </c>
      <c r="I57" s="67" t="s">
        <v>92</v>
      </c>
      <c r="J57" s="68"/>
      <c r="K57" s="68"/>
      <c r="L57" s="68"/>
      <c r="M57" s="109"/>
      <c r="N57" s="109"/>
      <c r="O57" s="68"/>
      <c r="P57" s="68"/>
      <c r="Q57" s="63"/>
      <c r="R57" s="63"/>
      <c r="S57" s="63"/>
      <c r="T57" s="63"/>
      <c r="U57" s="63"/>
      <c r="V57" s="63"/>
    </row>
    <row r="58" spans="1:22" ht="15" x14ac:dyDescent="0.25">
      <c r="A58" s="80">
        <f t="shared" si="20"/>
        <v>52</v>
      </c>
      <c r="B58" s="300" t="s">
        <v>47</v>
      </c>
      <c r="C58" s="300"/>
      <c r="D58" s="300"/>
      <c r="E58" s="300"/>
      <c r="F58"/>
      <c r="G58" s="125">
        <v>-1.8929999999999999E-3</v>
      </c>
      <c r="H58" s="126">
        <f>+G58</f>
        <v>-1.8929999999999999E-3</v>
      </c>
      <c r="I58" s="68" t="s">
        <v>92</v>
      </c>
      <c r="J58" s="68"/>
      <c r="K58" s="68"/>
      <c r="L58" s="67"/>
      <c r="M58" s="67"/>
      <c r="N58" s="67"/>
      <c r="O58" s="67"/>
      <c r="P58" s="67"/>
      <c r="Q58"/>
      <c r="R58"/>
      <c r="S58"/>
      <c r="T58"/>
      <c r="U58"/>
      <c r="V58"/>
    </row>
    <row r="59" spans="1:22" ht="15" x14ac:dyDescent="0.25">
      <c r="A59" s="80">
        <f t="shared" si="20"/>
        <v>53</v>
      </c>
      <c r="B59" s="300" t="s">
        <v>46</v>
      </c>
      <c r="C59" s="300"/>
      <c r="D59" s="300"/>
      <c r="E59" s="300"/>
      <c r="F59"/>
      <c r="G59" s="125">
        <v>3.9050000000000001E-3</v>
      </c>
      <c r="H59" s="126">
        <f>+G59</f>
        <v>3.9050000000000001E-3</v>
      </c>
      <c r="I59" s="68" t="s">
        <v>92</v>
      </c>
      <c r="J59" s="68"/>
      <c r="K59" s="68"/>
      <c r="L59" s="67"/>
      <c r="M59" s="67"/>
      <c r="N59" s="67"/>
      <c r="O59" s="67"/>
      <c r="P59" s="67"/>
      <c r="Q59"/>
      <c r="R59"/>
      <c r="S59"/>
      <c r="T59"/>
      <c r="U59"/>
      <c r="V59"/>
    </row>
    <row r="60" spans="1:22" ht="15" x14ac:dyDescent="0.25">
      <c r="A60" s="80">
        <f t="shared" si="20"/>
        <v>54</v>
      </c>
      <c r="B60" s="300" t="s">
        <v>44</v>
      </c>
      <c r="C60" s="300"/>
      <c r="D60" s="300"/>
      <c r="E60" s="300"/>
      <c r="F60"/>
      <c r="G60" s="125">
        <v>0</v>
      </c>
      <c r="H60" s="126">
        <f t="shared" ref="H60:H61" si="35">+G60</f>
        <v>0</v>
      </c>
      <c r="I60" s="68" t="s">
        <v>92</v>
      </c>
      <c r="J60" s="68"/>
      <c r="K60" s="68"/>
      <c r="L60" s="67"/>
      <c r="M60" s="67"/>
      <c r="N60" s="67"/>
      <c r="O60" s="67"/>
      <c r="P60" s="67"/>
      <c r="Q60"/>
      <c r="R60"/>
      <c r="S60"/>
      <c r="T60"/>
      <c r="U60"/>
      <c r="V60"/>
    </row>
    <row r="61" spans="1:22" ht="15" x14ac:dyDescent="0.25">
      <c r="A61" s="80">
        <f t="shared" si="20"/>
        <v>55</v>
      </c>
      <c r="B61" s="300" t="s">
        <v>42</v>
      </c>
      <c r="C61" s="300"/>
      <c r="D61" s="300"/>
      <c r="E61" s="300"/>
      <c r="F61"/>
      <c r="G61" s="125">
        <v>-8.2000000000000001E-5</v>
      </c>
      <c r="H61" s="126">
        <f t="shared" si="35"/>
        <v>-8.2000000000000001E-5</v>
      </c>
      <c r="I61" s="68" t="s">
        <v>92</v>
      </c>
      <c r="J61" s="68"/>
      <c r="K61" s="68"/>
      <c r="L61" s="67"/>
      <c r="M61" s="67"/>
      <c r="N61" s="67"/>
      <c r="O61" s="67"/>
      <c r="P61" s="67"/>
      <c r="Q61"/>
      <c r="R61"/>
      <c r="S61"/>
      <c r="T61"/>
      <c r="U61"/>
      <c r="V61"/>
    </row>
    <row r="62" spans="1:22" ht="15.75" thickBot="1" x14ac:dyDescent="0.3">
      <c r="A62" s="80">
        <f t="shared" si="20"/>
        <v>56</v>
      </c>
      <c r="B62" s="297" t="s">
        <v>130</v>
      </c>
      <c r="C62" s="297"/>
      <c r="D62" s="297"/>
      <c r="E62" s="297"/>
      <c r="F62"/>
      <c r="G62" s="127">
        <f>SUM(G57:G61)</f>
        <v>8.3200000000000027E-4</v>
      </c>
      <c r="H62" s="128">
        <f>SUM(H57:H61)</f>
        <v>8.3200000000000027E-4</v>
      </c>
      <c r="I62" s="68" t="s">
        <v>92</v>
      </c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.75" thickTop="1" x14ac:dyDescent="0.25">
      <c r="A63" s="80">
        <f t="shared" si="20"/>
        <v>57</v>
      </c>
      <c r="B63" s="299"/>
      <c r="C63" s="299"/>
      <c r="D63" s="299"/>
      <c r="E63" s="299"/>
      <c r="F63"/>
      <c r="G63" s="79"/>
      <c r="H63" s="99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x14ac:dyDescent="0.25">
      <c r="A64" s="80">
        <f t="shared" si="20"/>
        <v>58</v>
      </c>
      <c r="B64" s="297" t="s">
        <v>131</v>
      </c>
      <c r="C64" s="297"/>
      <c r="D64" s="297"/>
      <c r="E64" s="297"/>
      <c r="F64"/>
      <c r="G64" s="100">
        <f>SUM(G42,G53:G54,G62)</f>
        <v>8.4427999999999989E-2</v>
      </c>
      <c r="H64" s="101">
        <f>SUM(H42,H53:H54,H62)</f>
        <v>8.4408999999999998E-2</v>
      </c>
      <c r="I64" s="68" t="s">
        <v>92</v>
      </c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5" x14ac:dyDescent="0.25">
      <c r="A65" s="80">
        <f t="shared" si="20"/>
        <v>59</v>
      </c>
      <c r="B65" s="297" t="s">
        <v>132</v>
      </c>
      <c r="C65" s="297"/>
      <c r="D65" s="297"/>
      <c r="E65" s="297"/>
      <c r="F65"/>
      <c r="G65" s="102">
        <f>SUM(G51,G53:G54,G62)</f>
        <v>0.10338899999999999</v>
      </c>
      <c r="H65" s="103">
        <f>SUM(H51,H53:H54,H62)</f>
        <v>0.10337</v>
      </c>
      <c r="I65" s="68" t="s">
        <v>92</v>
      </c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5" x14ac:dyDescent="0.25">
      <c r="A69"/>
      <c r="B69"/>
      <c r="C69" s="302" t="s">
        <v>380</v>
      </c>
      <c r="D69" s="302"/>
      <c r="E69" s="302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60" x14ac:dyDescent="0.25">
      <c r="A70"/>
      <c r="B70" s="104"/>
      <c r="C70" s="251" t="s">
        <v>381</v>
      </c>
      <c r="D70" s="251" t="s">
        <v>382</v>
      </c>
      <c r="E70" s="251" t="s">
        <v>383</v>
      </c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</row>
    <row r="71" spans="1:22" ht="15" x14ac:dyDescent="0.25">
      <c r="A71"/>
      <c r="B71" t="str">
        <f>+B7</f>
        <v>January</v>
      </c>
      <c r="C71" s="129">
        <v>1242286999.9999998</v>
      </c>
      <c r="D71" s="134">
        <v>1044607</v>
      </c>
      <c r="E71" s="134">
        <f t="shared" ref="E71:E82" si="36">ROUND(+C71/D71,0)</f>
        <v>1189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5" x14ac:dyDescent="0.25">
      <c r="A72"/>
      <c r="B72" t="str">
        <f t="shared" ref="B72:B82" si="37">+B8</f>
        <v>February</v>
      </c>
      <c r="C72" s="134">
        <v>1038556999.9999999</v>
      </c>
      <c r="D72" s="134">
        <v>1045872</v>
      </c>
      <c r="E72" s="134">
        <f t="shared" si="36"/>
        <v>993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5" x14ac:dyDescent="0.25">
      <c r="A73"/>
      <c r="B73" t="str">
        <f t="shared" si="37"/>
        <v>March</v>
      </c>
      <c r="C73" s="134">
        <v>1040175999.9999996</v>
      </c>
      <c r="D73" s="134">
        <v>1046870</v>
      </c>
      <c r="E73" s="134">
        <f t="shared" si="36"/>
        <v>994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5" x14ac:dyDescent="0.25">
      <c r="A74"/>
      <c r="B74" t="str">
        <f t="shared" si="37"/>
        <v>April</v>
      </c>
      <c r="C74" s="134">
        <v>852976000</v>
      </c>
      <c r="D74" s="134">
        <v>1047705</v>
      </c>
      <c r="E74" s="134">
        <f t="shared" si="36"/>
        <v>814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5" x14ac:dyDescent="0.25">
      <c r="A75"/>
      <c r="B75" t="str">
        <f t="shared" si="37"/>
        <v>May</v>
      </c>
      <c r="C75" s="134">
        <v>737952000.00000012</v>
      </c>
      <c r="D75" s="134">
        <v>1035847</v>
      </c>
      <c r="E75" s="134">
        <f t="shared" si="36"/>
        <v>712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5" x14ac:dyDescent="0.25">
      <c r="A76"/>
      <c r="B76" t="str">
        <f t="shared" si="37"/>
        <v>June</v>
      </c>
      <c r="C76" s="134">
        <v>680005999.99999988</v>
      </c>
      <c r="D76" s="134">
        <v>1036691</v>
      </c>
      <c r="E76" s="134">
        <f t="shared" si="36"/>
        <v>656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5" x14ac:dyDescent="0.25">
      <c r="A77"/>
      <c r="B77" t="str">
        <f t="shared" si="37"/>
        <v>July</v>
      </c>
      <c r="C77" s="134">
        <v>696924000.00000012</v>
      </c>
      <c r="D77" s="134">
        <v>1037136</v>
      </c>
      <c r="E77" s="134">
        <f t="shared" si="36"/>
        <v>672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5" x14ac:dyDescent="0.25">
      <c r="A78"/>
      <c r="B78" t="str">
        <f t="shared" si="37"/>
        <v>August</v>
      </c>
      <c r="C78" s="134">
        <v>682561999.99999988</v>
      </c>
      <c r="D78" s="134">
        <v>1037921</v>
      </c>
      <c r="E78" s="134">
        <f t="shared" si="36"/>
        <v>658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 t="str">
        <f t="shared" si="37"/>
        <v>September</v>
      </c>
      <c r="C79" s="134">
        <v>672653999.99999988</v>
      </c>
      <c r="D79" s="134">
        <v>1039166</v>
      </c>
      <c r="E79" s="134">
        <f t="shared" si="36"/>
        <v>647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 t="str">
        <f t="shared" si="37"/>
        <v>October</v>
      </c>
      <c r="C80" s="134">
        <v>830134000</v>
      </c>
      <c r="D80" s="134">
        <v>1027933</v>
      </c>
      <c r="E80" s="134">
        <f t="shared" si="36"/>
        <v>808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 t="str">
        <f t="shared" si="37"/>
        <v>November</v>
      </c>
      <c r="C81" s="134">
        <v>1024677000.0000001</v>
      </c>
      <c r="D81" s="134">
        <v>1029469</v>
      </c>
      <c r="E81" s="134">
        <f t="shared" si="36"/>
        <v>995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A82"/>
      <c r="B82" t="str">
        <f t="shared" si="37"/>
        <v>December</v>
      </c>
      <c r="C82" s="134">
        <v>1293746999.9999998</v>
      </c>
      <c r="D82" s="134">
        <v>1030732</v>
      </c>
      <c r="E82" s="134">
        <f t="shared" si="36"/>
        <v>1255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A83"/>
      <c r="B83" t="s">
        <v>37</v>
      </c>
      <c r="C83" s="129">
        <f>SUM(C71:C82)</f>
        <v>10792652000</v>
      </c>
      <c r="D83" s="129">
        <f>SUM(D71:D82)</f>
        <v>12459949</v>
      </c>
      <c r="E83" s="105">
        <f>SUM(E71:E82)</f>
        <v>10393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A84"/>
      <c r="B84"/>
      <c r="C84" s="63"/>
      <c r="D84" s="63"/>
      <c r="E84" s="105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A85"/>
      <c r="B85" t="s">
        <v>133</v>
      </c>
      <c r="C85" s="106"/>
      <c r="D85" s="106"/>
      <c r="E85" s="106">
        <f>ROUND(AVERAGE(E71:E82),0)</f>
        <v>866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</sheetData>
  <mergeCells count="38">
    <mergeCell ref="B63:E63"/>
    <mergeCell ref="B64:E64"/>
    <mergeCell ref="B65:E65"/>
    <mergeCell ref="C69:E69"/>
    <mergeCell ref="B57:E57"/>
    <mergeCell ref="B58:E58"/>
    <mergeCell ref="B59:E59"/>
    <mergeCell ref="B60:E60"/>
    <mergeCell ref="B61:E61"/>
    <mergeCell ref="B62:E62"/>
    <mergeCell ref="B56:E56"/>
    <mergeCell ref="B43:E43"/>
    <mergeCell ref="B44:E44"/>
    <mergeCell ref="B45:E45"/>
    <mergeCell ref="B46:E46"/>
    <mergeCell ref="B47:E47"/>
    <mergeCell ref="B50:E50"/>
    <mergeCell ref="B51:E51"/>
    <mergeCell ref="B52:E52"/>
    <mergeCell ref="B53:E53"/>
    <mergeCell ref="B54:E54"/>
    <mergeCell ref="B55:E55"/>
    <mergeCell ref="B48:E48"/>
    <mergeCell ref="B49:E49"/>
    <mergeCell ref="B42:E42"/>
    <mergeCell ref="D5:Q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41:E41"/>
    <mergeCell ref="B40:E40"/>
    <mergeCell ref="B39:E39"/>
  </mergeCells>
  <printOptions horizontalCentered="1"/>
  <pageMargins left="0.7" right="0.7" top="0.75" bottom="0.75" header="0.3" footer="0.3"/>
  <pageSetup scale="49" orientation="landscape" r:id="rId1"/>
  <headerFooter alignWithMargins="0">
    <oddFooter>&amp;L&amp;F
&amp;A&amp;RPage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D40" sqref="D40"/>
    </sheetView>
  </sheetViews>
  <sheetFormatPr defaultRowHeight="15" x14ac:dyDescent="0.25"/>
  <cols>
    <col min="1" max="1" width="4.42578125" bestFit="1" customWidth="1"/>
    <col min="2" max="2" width="23" bestFit="1" customWidth="1"/>
    <col min="3" max="4" width="15.28515625" bestFit="1" customWidth="1"/>
    <col min="5" max="6" width="13.42578125" bestFit="1" customWidth="1"/>
    <col min="7" max="8" width="12.5703125" bestFit="1" customWidth="1"/>
    <col min="9" max="10" width="12.28515625" bestFit="1" customWidth="1"/>
    <col min="11" max="12" width="12.5703125" bestFit="1" customWidth="1"/>
    <col min="13" max="14" width="13.42578125" bestFit="1" customWidth="1"/>
    <col min="15" max="15" width="12.5703125" bestFit="1" customWidth="1"/>
    <col min="16" max="16" width="13.42578125" bestFit="1" customWidth="1"/>
    <col min="17" max="17" width="16" bestFit="1" customWidth="1"/>
    <col min="18" max="18" width="13.42578125" bestFit="1" customWidth="1"/>
    <col min="19" max="19" width="15.28515625" bestFit="1" customWidth="1"/>
  </cols>
  <sheetData>
    <row r="1" spans="1:19" x14ac:dyDescent="0.25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19" x14ac:dyDescent="0.25">
      <c r="A2" s="304" t="s">
        <v>331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19" x14ac:dyDescent="0.25">
      <c r="A3" s="304" t="s">
        <v>391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</row>
    <row r="4" spans="1:19" x14ac:dyDescent="0.25">
      <c r="A4" s="304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</row>
    <row r="5" spans="1:19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80"/>
      <c r="L5" s="216"/>
      <c r="M5" s="216"/>
      <c r="N5" s="216"/>
      <c r="O5" s="108"/>
      <c r="P5" s="108"/>
      <c r="Q5" s="109"/>
    </row>
    <row r="6" spans="1:19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80"/>
      <c r="L6" s="216"/>
      <c r="M6" s="216"/>
      <c r="N6" s="216"/>
      <c r="O6" s="108"/>
      <c r="P6" s="108"/>
      <c r="Q6" s="110"/>
    </row>
    <row r="7" spans="1:19" ht="90" x14ac:dyDescent="0.25">
      <c r="A7" s="111" t="s">
        <v>1</v>
      </c>
      <c r="B7" s="111" t="s">
        <v>35</v>
      </c>
      <c r="C7" s="112" t="s">
        <v>411</v>
      </c>
      <c r="D7" s="112" t="s">
        <v>412</v>
      </c>
      <c r="E7" s="112" t="s">
        <v>413</v>
      </c>
      <c r="F7" s="112" t="s">
        <v>414</v>
      </c>
      <c r="G7" s="112" t="s">
        <v>415</v>
      </c>
      <c r="H7" s="112" t="s">
        <v>416</v>
      </c>
      <c r="I7" s="112" t="s">
        <v>417</v>
      </c>
      <c r="J7" s="112" t="s">
        <v>418</v>
      </c>
      <c r="K7" s="112" t="s">
        <v>419</v>
      </c>
      <c r="L7" s="112" t="s">
        <v>420</v>
      </c>
      <c r="M7" s="112" t="s">
        <v>421</v>
      </c>
      <c r="N7" s="112" t="s">
        <v>422</v>
      </c>
      <c r="O7" s="112" t="s">
        <v>423</v>
      </c>
      <c r="P7" s="112" t="s">
        <v>424</v>
      </c>
      <c r="Q7" s="112" t="s">
        <v>425</v>
      </c>
      <c r="R7" s="112" t="s">
        <v>385</v>
      </c>
      <c r="S7" s="112" t="s">
        <v>393</v>
      </c>
    </row>
    <row r="8" spans="1:19" x14ac:dyDescent="0.25">
      <c r="A8" s="108">
        <v>1</v>
      </c>
      <c r="B8" s="113">
        <v>7</v>
      </c>
      <c r="C8" s="185">
        <v>10790076000</v>
      </c>
      <c r="D8" s="252">
        <v>1122845000</v>
      </c>
      <c r="E8" s="252">
        <v>-11848000</v>
      </c>
      <c r="F8" s="252">
        <v>-20426000</v>
      </c>
      <c r="G8" s="252">
        <v>42135000</v>
      </c>
      <c r="H8" s="252">
        <v>11524000</v>
      </c>
      <c r="I8" s="252">
        <v>0</v>
      </c>
      <c r="J8" s="252">
        <v>-885000</v>
      </c>
      <c r="K8" s="252">
        <v>34830000</v>
      </c>
      <c r="L8" s="252">
        <v>16793000</v>
      </c>
      <c r="M8" s="252">
        <v>-16793000</v>
      </c>
      <c r="N8" s="252">
        <v>-13714000</v>
      </c>
      <c r="O8" s="252">
        <v>6701000</v>
      </c>
      <c r="P8" s="252">
        <v>-79697000</v>
      </c>
      <c r="Q8" s="130">
        <f>SUM(D8:P8)</f>
        <v>1091465000</v>
      </c>
      <c r="R8" s="130">
        <f>-K8</f>
        <v>-34830000</v>
      </c>
      <c r="S8" s="130">
        <f>SUM(Q8:R8)</f>
        <v>1056635000</v>
      </c>
    </row>
    <row r="9" spans="1:19" x14ac:dyDescent="0.25">
      <c r="A9" s="108">
        <f t="shared" ref="A9:A43" si="0">+A8+1</f>
        <v>2</v>
      </c>
      <c r="B9" s="114" t="s">
        <v>134</v>
      </c>
      <c r="C9" s="185">
        <v>2576000</v>
      </c>
      <c r="D9" s="252">
        <v>232000</v>
      </c>
      <c r="E9" s="252">
        <v>-2000</v>
      </c>
      <c r="F9" s="252">
        <v>-4000</v>
      </c>
      <c r="G9" s="252">
        <v>8000</v>
      </c>
      <c r="H9" s="252">
        <v>2000</v>
      </c>
      <c r="I9" s="252">
        <v>0</v>
      </c>
      <c r="J9" s="252">
        <v>0</v>
      </c>
      <c r="K9" s="252">
        <v>6000</v>
      </c>
      <c r="L9" s="252">
        <v>2000</v>
      </c>
      <c r="M9" s="252">
        <v>-2000</v>
      </c>
      <c r="N9" s="252">
        <v>-2000</v>
      </c>
      <c r="O9" s="252">
        <v>-2000</v>
      </c>
      <c r="P9" s="252">
        <v>-19000</v>
      </c>
      <c r="Q9" s="130">
        <f>SUM(D9:P9)</f>
        <v>219000</v>
      </c>
      <c r="R9" s="130">
        <f>-K9</f>
        <v>-6000</v>
      </c>
      <c r="S9" s="130">
        <f>SUM(Q9:R9)</f>
        <v>213000</v>
      </c>
    </row>
    <row r="10" spans="1:19" x14ac:dyDescent="0.25">
      <c r="A10" s="108">
        <f t="shared" si="0"/>
        <v>3</v>
      </c>
      <c r="B10" s="115" t="s">
        <v>7</v>
      </c>
      <c r="C10" s="186">
        <f t="shared" ref="C10:D10" si="1">SUM(C8:C9)</f>
        <v>10792652000</v>
      </c>
      <c r="D10" s="253">
        <f t="shared" si="1"/>
        <v>1123077000</v>
      </c>
      <c r="E10" s="253">
        <f t="shared" ref="E10:P10" si="2">SUM(E8:E9)</f>
        <v>-11850000</v>
      </c>
      <c r="F10" s="253">
        <f t="shared" si="2"/>
        <v>-20430000</v>
      </c>
      <c r="G10" s="253">
        <f t="shared" si="2"/>
        <v>42143000</v>
      </c>
      <c r="H10" s="253">
        <f t="shared" si="2"/>
        <v>11526000</v>
      </c>
      <c r="I10" s="253">
        <f t="shared" si="2"/>
        <v>0</v>
      </c>
      <c r="J10" s="253">
        <f t="shared" si="2"/>
        <v>-885000</v>
      </c>
      <c r="K10" s="253">
        <f t="shared" si="2"/>
        <v>34836000</v>
      </c>
      <c r="L10" s="253">
        <f t="shared" si="2"/>
        <v>16795000</v>
      </c>
      <c r="M10" s="253">
        <f t="shared" si="2"/>
        <v>-16795000</v>
      </c>
      <c r="N10" s="253">
        <f t="shared" si="2"/>
        <v>-13716000</v>
      </c>
      <c r="O10" s="253">
        <f t="shared" si="2"/>
        <v>6699000</v>
      </c>
      <c r="P10" s="253">
        <f t="shared" si="2"/>
        <v>-79716000</v>
      </c>
      <c r="Q10" s="131">
        <f t="shared" ref="Q10:S10" si="3">SUM(Q8:Q9)</f>
        <v>1091684000</v>
      </c>
      <c r="R10" s="131">
        <f t="shared" si="3"/>
        <v>-34836000</v>
      </c>
      <c r="S10" s="131">
        <f t="shared" si="3"/>
        <v>1056848000</v>
      </c>
    </row>
    <row r="11" spans="1:19" x14ac:dyDescent="0.25">
      <c r="A11" s="108">
        <f t="shared" si="0"/>
        <v>4</v>
      </c>
      <c r="B11" s="108"/>
      <c r="C11" s="185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130"/>
      <c r="R11" s="130"/>
      <c r="S11" s="130"/>
    </row>
    <row r="12" spans="1:19" x14ac:dyDescent="0.25">
      <c r="A12" s="108">
        <f t="shared" si="0"/>
        <v>5</v>
      </c>
      <c r="B12" s="113">
        <v>8</v>
      </c>
      <c r="C12" s="185">
        <v>248059000</v>
      </c>
      <c r="D12" s="252">
        <v>24140000</v>
      </c>
      <c r="E12" s="252">
        <v>-229000</v>
      </c>
      <c r="F12" s="252">
        <v>-435000</v>
      </c>
      <c r="G12" s="252">
        <v>826000</v>
      </c>
      <c r="H12" s="252">
        <v>255000</v>
      </c>
      <c r="I12" s="252">
        <v>0</v>
      </c>
      <c r="J12" s="252">
        <v>-19000</v>
      </c>
      <c r="K12" s="252">
        <v>607000</v>
      </c>
      <c r="L12" s="252">
        <v>271000</v>
      </c>
      <c r="M12" s="252">
        <v>-271000</v>
      </c>
      <c r="N12" s="252">
        <v>-234000</v>
      </c>
      <c r="O12" s="252">
        <v>699000</v>
      </c>
      <c r="P12" s="252">
        <v>-1832000</v>
      </c>
      <c r="Q12" s="130">
        <f t="shared" ref="Q12:Q18" si="4">SUM(D12:P12)</f>
        <v>23778000</v>
      </c>
      <c r="R12" s="130">
        <f t="shared" ref="R12:R18" si="5">-K12</f>
        <v>-607000</v>
      </c>
      <c r="S12" s="130">
        <f t="shared" ref="S12:S18" si="6">SUM(Q12:R12)</f>
        <v>23171000</v>
      </c>
    </row>
    <row r="13" spans="1:19" x14ac:dyDescent="0.25">
      <c r="A13" s="108">
        <f t="shared" si="0"/>
        <v>6</v>
      </c>
      <c r="B13" s="113">
        <v>24</v>
      </c>
      <c r="C13" s="185">
        <v>2605281000</v>
      </c>
      <c r="D13" s="252">
        <v>253531000</v>
      </c>
      <c r="E13" s="252">
        <v>-2405000</v>
      </c>
      <c r="F13" s="252">
        <v>-4564000</v>
      </c>
      <c r="G13" s="252">
        <v>8670000</v>
      </c>
      <c r="H13" s="252">
        <v>2673000</v>
      </c>
      <c r="I13" s="252">
        <v>0</v>
      </c>
      <c r="J13" s="252">
        <v>-198000</v>
      </c>
      <c r="K13" s="252">
        <v>6370000</v>
      </c>
      <c r="L13" s="252">
        <v>2843000</v>
      </c>
      <c r="M13" s="252">
        <v>-2843000</v>
      </c>
      <c r="N13" s="252">
        <v>-2457000</v>
      </c>
      <c r="O13" s="252">
        <v>7339000</v>
      </c>
      <c r="P13" s="252">
        <v>0</v>
      </c>
      <c r="Q13" s="130">
        <f t="shared" si="4"/>
        <v>268959000</v>
      </c>
      <c r="R13" s="130">
        <f t="shared" si="5"/>
        <v>-6370000</v>
      </c>
      <c r="S13" s="130">
        <f t="shared" si="6"/>
        <v>262589000</v>
      </c>
    </row>
    <row r="14" spans="1:19" x14ac:dyDescent="0.25">
      <c r="A14" s="108">
        <f t="shared" si="0"/>
        <v>7</v>
      </c>
      <c r="B14" s="114">
        <v>11</v>
      </c>
      <c r="C14" s="185">
        <v>149599000</v>
      </c>
      <c r="D14" s="252">
        <v>13495000</v>
      </c>
      <c r="E14" s="252">
        <v>-131000</v>
      </c>
      <c r="F14" s="252">
        <v>-249000</v>
      </c>
      <c r="G14" s="252">
        <v>476000</v>
      </c>
      <c r="H14" s="252">
        <v>137000</v>
      </c>
      <c r="I14" s="252">
        <v>0</v>
      </c>
      <c r="J14" s="252">
        <v>-11000</v>
      </c>
      <c r="K14" s="252">
        <v>320000</v>
      </c>
      <c r="L14" s="252">
        <v>131000</v>
      </c>
      <c r="M14" s="252">
        <v>-131000</v>
      </c>
      <c r="N14" s="252">
        <v>-130000</v>
      </c>
      <c r="O14" s="252">
        <v>-98000</v>
      </c>
      <c r="P14" s="252">
        <v>-1105000</v>
      </c>
      <c r="Q14" s="130">
        <f t="shared" si="4"/>
        <v>12704000</v>
      </c>
      <c r="R14" s="130">
        <f t="shared" si="5"/>
        <v>-320000</v>
      </c>
      <c r="S14" s="130">
        <f t="shared" si="6"/>
        <v>12384000</v>
      </c>
    </row>
    <row r="15" spans="1:19" x14ac:dyDescent="0.25">
      <c r="A15" s="108">
        <f t="shared" si="0"/>
        <v>8</v>
      </c>
      <c r="B15" s="114">
        <v>25</v>
      </c>
      <c r="C15" s="185">
        <v>2873070000</v>
      </c>
      <c r="D15" s="252">
        <v>259165000</v>
      </c>
      <c r="E15" s="252">
        <v>-2517000</v>
      </c>
      <c r="F15" s="252">
        <v>-4784000</v>
      </c>
      <c r="G15" s="252">
        <v>9133000</v>
      </c>
      <c r="H15" s="252">
        <v>2635000</v>
      </c>
      <c r="I15" s="252">
        <v>0</v>
      </c>
      <c r="J15" s="252">
        <v>-207000</v>
      </c>
      <c r="K15" s="252">
        <v>6137000</v>
      </c>
      <c r="L15" s="252">
        <v>2519000</v>
      </c>
      <c r="M15" s="252">
        <v>-2519000</v>
      </c>
      <c r="N15" s="252">
        <v>-2491000</v>
      </c>
      <c r="O15" s="252">
        <v>-1888000</v>
      </c>
      <c r="P15" s="252">
        <v>0</v>
      </c>
      <c r="Q15" s="130">
        <f t="shared" si="4"/>
        <v>265183000</v>
      </c>
      <c r="R15" s="130">
        <f t="shared" si="5"/>
        <v>-6137000</v>
      </c>
      <c r="S15" s="130">
        <f t="shared" si="6"/>
        <v>259046000</v>
      </c>
    </row>
    <row r="16" spans="1:19" x14ac:dyDescent="0.25">
      <c r="A16" s="108">
        <f t="shared" si="0"/>
        <v>9</v>
      </c>
      <c r="B16" s="113">
        <v>12</v>
      </c>
      <c r="C16" s="185">
        <v>18043000</v>
      </c>
      <c r="D16" s="252">
        <v>1495000</v>
      </c>
      <c r="E16" s="252">
        <v>-18000</v>
      </c>
      <c r="F16" s="252">
        <v>-33000</v>
      </c>
      <c r="G16" s="252">
        <v>63000</v>
      </c>
      <c r="H16" s="252">
        <v>15000</v>
      </c>
      <c r="I16" s="252">
        <v>0</v>
      </c>
      <c r="J16" s="252">
        <v>-1000</v>
      </c>
      <c r="K16" s="252">
        <v>38000</v>
      </c>
      <c r="L16" s="252">
        <v>15000</v>
      </c>
      <c r="M16" s="252">
        <v>-15000</v>
      </c>
      <c r="N16" s="252">
        <v>-15000</v>
      </c>
      <c r="O16" s="252">
        <v>14000</v>
      </c>
      <c r="P16" s="252">
        <v>-133000</v>
      </c>
      <c r="Q16" s="130">
        <f t="shared" si="4"/>
        <v>1425000</v>
      </c>
      <c r="R16" s="130">
        <f t="shared" si="5"/>
        <v>-38000</v>
      </c>
      <c r="S16" s="130">
        <f t="shared" si="6"/>
        <v>1387000</v>
      </c>
    </row>
    <row r="17" spans="1:19" x14ac:dyDescent="0.25">
      <c r="A17" s="108">
        <f t="shared" si="0"/>
        <v>10</v>
      </c>
      <c r="B17" s="113" t="s">
        <v>135</v>
      </c>
      <c r="C17" s="185">
        <v>1761785000</v>
      </c>
      <c r="D17" s="252">
        <v>145975000</v>
      </c>
      <c r="E17" s="252">
        <v>-1732000</v>
      </c>
      <c r="F17" s="252">
        <v>-3226000</v>
      </c>
      <c r="G17" s="252">
        <v>6147000</v>
      </c>
      <c r="H17" s="252">
        <v>1505000</v>
      </c>
      <c r="I17" s="252">
        <v>0</v>
      </c>
      <c r="J17" s="252">
        <v>-139000</v>
      </c>
      <c r="K17" s="252">
        <v>3693000</v>
      </c>
      <c r="L17" s="252">
        <v>1419000</v>
      </c>
      <c r="M17" s="252">
        <v>-1419000</v>
      </c>
      <c r="N17" s="252">
        <v>-1510000</v>
      </c>
      <c r="O17" s="252">
        <v>1369000</v>
      </c>
      <c r="P17" s="252">
        <v>0</v>
      </c>
      <c r="Q17" s="130">
        <f t="shared" si="4"/>
        <v>152082000</v>
      </c>
      <c r="R17" s="130">
        <f t="shared" si="5"/>
        <v>-3693000</v>
      </c>
      <c r="S17" s="130">
        <f t="shared" si="6"/>
        <v>148389000</v>
      </c>
    </row>
    <row r="18" spans="1:19" x14ac:dyDescent="0.25">
      <c r="A18" s="108">
        <f t="shared" si="0"/>
        <v>11</v>
      </c>
      <c r="B18" s="113">
        <v>29</v>
      </c>
      <c r="C18" s="185">
        <v>15090000</v>
      </c>
      <c r="D18" s="252">
        <v>1199000</v>
      </c>
      <c r="E18" s="252">
        <v>-11000</v>
      </c>
      <c r="F18" s="252">
        <v>-21000</v>
      </c>
      <c r="G18" s="252">
        <v>39000</v>
      </c>
      <c r="H18" s="252">
        <v>12000</v>
      </c>
      <c r="I18" s="252">
        <v>0</v>
      </c>
      <c r="J18" s="252">
        <v>-1000</v>
      </c>
      <c r="K18" s="252">
        <v>32000</v>
      </c>
      <c r="L18" s="252">
        <v>12000</v>
      </c>
      <c r="M18" s="252">
        <v>-12000</v>
      </c>
      <c r="N18" s="252">
        <v>-13000</v>
      </c>
      <c r="O18" s="252">
        <v>-10000</v>
      </c>
      <c r="P18" s="252">
        <v>-111000</v>
      </c>
      <c r="Q18" s="130">
        <f t="shared" si="4"/>
        <v>1115000</v>
      </c>
      <c r="R18" s="130">
        <f t="shared" si="5"/>
        <v>-32000</v>
      </c>
      <c r="S18" s="130">
        <f t="shared" si="6"/>
        <v>1083000</v>
      </c>
    </row>
    <row r="19" spans="1:19" x14ac:dyDescent="0.25">
      <c r="A19" s="108">
        <f t="shared" si="0"/>
        <v>12</v>
      </c>
      <c r="B19" s="116" t="s">
        <v>12</v>
      </c>
      <c r="C19" s="186">
        <f t="shared" ref="C19:D19" si="7">SUM(C12:C18)</f>
        <v>7670927000</v>
      </c>
      <c r="D19" s="253">
        <f t="shared" si="7"/>
        <v>699000000</v>
      </c>
      <c r="E19" s="253">
        <f t="shared" ref="E19:P19" si="8">SUM(E12:E18)</f>
        <v>-7043000</v>
      </c>
      <c r="F19" s="253">
        <f t="shared" si="8"/>
        <v>-13312000</v>
      </c>
      <c r="G19" s="253">
        <f t="shared" si="8"/>
        <v>25354000</v>
      </c>
      <c r="H19" s="253">
        <f t="shared" si="8"/>
        <v>7232000</v>
      </c>
      <c r="I19" s="253">
        <f t="shared" si="8"/>
        <v>0</v>
      </c>
      <c r="J19" s="253">
        <f t="shared" si="8"/>
        <v>-576000</v>
      </c>
      <c r="K19" s="253">
        <f t="shared" si="8"/>
        <v>17197000</v>
      </c>
      <c r="L19" s="253">
        <f t="shared" si="8"/>
        <v>7210000</v>
      </c>
      <c r="M19" s="253">
        <f t="shared" si="8"/>
        <v>-7210000</v>
      </c>
      <c r="N19" s="253">
        <f t="shared" si="8"/>
        <v>-6850000</v>
      </c>
      <c r="O19" s="253">
        <f t="shared" si="8"/>
        <v>7425000</v>
      </c>
      <c r="P19" s="253">
        <f t="shared" si="8"/>
        <v>-3181000</v>
      </c>
      <c r="Q19" s="131">
        <f t="shared" ref="Q19:S19" si="9">SUM(Q12:Q18)</f>
        <v>725246000</v>
      </c>
      <c r="R19" s="131">
        <f t="shared" si="9"/>
        <v>-17197000</v>
      </c>
      <c r="S19" s="131">
        <f t="shared" si="9"/>
        <v>708049000</v>
      </c>
    </row>
    <row r="20" spans="1:19" x14ac:dyDescent="0.25">
      <c r="A20" s="108">
        <f t="shared" si="0"/>
        <v>13</v>
      </c>
      <c r="B20" s="108"/>
      <c r="C20" s="185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130"/>
      <c r="R20" s="130"/>
      <c r="S20" s="130"/>
    </row>
    <row r="21" spans="1:19" x14ac:dyDescent="0.25">
      <c r="A21" s="108">
        <f t="shared" si="0"/>
        <v>14</v>
      </c>
      <c r="B21" s="113">
        <v>10</v>
      </c>
      <c r="C21" s="185">
        <v>33826000</v>
      </c>
      <c r="D21" s="252">
        <v>2743000</v>
      </c>
      <c r="E21" s="252">
        <v>-30000</v>
      </c>
      <c r="F21" s="252">
        <v>-56000</v>
      </c>
      <c r="G21" s="252">
        <v>107000</v>
      </c>
      <c r="H21" s="252">
        <v>28000</v>
      </c>
      <c r="I21" s="252">
        <v>0</v>
      </c>
      <c r="J21" s="252">
        <v>-2000</v>
      </c>
      <c r="K21" s="252">
        <v>67000</v>
      </c>
      <c r="L21" s="252">
        <v>27000</v>
      </c>
      <c r="M21" s="252">
        <v>-27000</v>
      </c>
      <c r="N21" s="252">
        <v>-27000</v>
      </c>
      <c r="O21" s="252">
        <v>4000</v>
      </c>
      <c r="P21" s="252">
        <v>-250000</v>
      </c>
      <c r="Q21" s="130">
        <f>SUM(D21:P21)</f>
        <v>2584000</v>
      </c>
      <c r="R21" s="130">
        <f t="shared" ref="R21:R24" si="10">-K21</f>
        <v>-67000</v>
      </c>
      <c r="S21" s="130">
        <f t="shared" ref="S21:S24" si="11">SUM(Q21:R21)</f>
        <v>2517000</v>
      </c>
    </row>
    <row r="22" spans="1:19" x14ac:dyDescent="0.25">
      <c r="A22" s="108">
        <f t="shared" si="0"/>
        <v>15</v>
      </c>
      <c r="B22" s="113">
        <v>31</v>
      </c>
      <c r="C22" s="185">
        <v>1278570000</v>
      </c>
      <c r="D22" s="252">
        <v>103696000</v>
      </c>
      <c r="E22" s="252">
        <v>-1124000</v>
      </c>
      <c r="F22" s="252">
        <v>-2099000</v>
      </c>
      <c r="G22" s="252">
        <v>4030000</v>
      </c>
      <c r="H22" s="252">
        <v>1062000</v>
      </c>
      <c r="I22" s="252">
        <v>0</v>
      </c>
      <c r="J22" s="252">
        <v>-91000</v>
      </c>
      <c r="K22" s="252">
        <v>2529000</v>
      </c>
      <c r="L22" s="252">
        <v>1008000</v>
      </c>
      <c r="M22" s="252">
        <v>-1008000</v>
      </c>
      <c r="N22" s="252">
        <v>-1038000</v>
      </c>
      <c r="O22" s="252">
        <v>191000</v>
      </c>
      <c r="P22" s="252">
        <v>0</v>
      </c>
      <c r="Q22" s="130">
        <f>SUM(D22:P22)</f>
        <v>107156000</v>
      </c>
      <c r="R22" s="130">
        <f t="shared" si="10"/>
        <v>-2529000</v>
      </c>
      <c r="S22" s="130">
        <f t="shared" si="11"/>
        <v>104627000</v>
      </c>
    </row>
    <row r="23" spans="1:19" x14ac:dyDescent="0.25">
      <c r="A23" s="108">
        <f t="shared" si="0"/>
        <v>16</v>
      </c>
      <c r="B23" s="113">
        <v>35</v>
      </c>
      <c r="C23" s="185">
        <v>4566000</v>
      </c>
      <c r="D23" s="252">
        <v>272000</v>
      </c>
      <c r="E23" s="252">
        <v>-3000</v>
      </c>
      <c r="F23" s="252">
        <v>-6000</v>
      </c>
      <c r="G23" s="252">
        <v>11000</v>
      </c>
      <c r="H23" s="252">
        <v>3000</v>
      </c>
      <c r="I23" s="252">
        <v>0</v>
      </c>
      <c r="J23" s="252">
        <v>0</v>
      </c>
      <c r="K23" s="252">
        <v>9000</v>
      </c>
      <c r="L23" s="252">
        <v>6000</v>
      </c>
      <c r="M23" s="252">
        <v>-6000</v>
      </c>
      <c r="N23" s="252">
        <v>-4000</v>
      </c>
      <c r="O23" s="252">
        <v>-3000</v>
      </c>
      <c r="P23" s="252">
        <v>-34000</v>
      </c>
      <c r="Q23" s="130">
        <f>SUM(D23:P23)</f>
        <v>245000</v>
      </c>
      <c r="R23" s="130">
        <f t="shared" si="10"/>
        <v>-9000</v>
      </c>
      <c r="S23" s="130">
        <f t="shared" si="11"/>
        <v>236000</v>
      </c>
    </row>
    <row r="24" spans="1:19" x14ac:dyDescent="0.25">
      <c r="A24" s="108">
        <f t="shared" si="0"/>
        <v>17</v>
      </c>
      <c r="B24" s="113">
        <v>43</v>
      </c>
      <c r="C24" s="185">
        <v>117556000</v>
      </c>
      <c r="D24" s="252">
        <v>10313000</v>
      </c>
      <c r="E24" s="252">
        <v>-86000</v>
      </c>
      <c r="F24" s="252">
        <v>-160000</v>
      </c>
      <c r="G24" s="252">
        <v>308000</v>
      </c>
      <c r="H24" s="252">
        <v>105000</v>
      </c>
      <c r="I24" s="252">
        <v>0</v>
      </c>
      <c r="J24" s="252">
        <v>-7000</v>
      </c>
      <c r="K24" s="252">
        <v>331000</v>
      </c>
      <c r="L24" s="252">
        <v>154000</v>
      </c>
      <c r="M24" s="252">
        <v>-154000</v>
      </c>
      <c r="N24" s="252">
        <v>-134000</v>
      </c>
      <c r="O24" s="252">
        <v>-77000</v>
      </c>
      <c r="P24" s="252">
        <v>0</v>
      </c>
      <c r="Q24" s="130">
        <f>SUM(D24:P24)</f>
        <v>10593000</v>
      </c>
      <c r="R24" s="130">
        <f t="shared" si="10"/>
        <v>-331000</v>
      </c>
      <c r="S24" s="130">
        <f t="shared" si="11"/>
        <v>10262000</v>
      </c>
    </row>
    <row r="25" spans="1:19" x14ac:dyDescent="0.25">
      <c r="A25" s="108">
        <f t="shared" si="0"/>
        <v>18</v>
      </c>
      <c r="B25" s="115" t="s">
        <v>15</v>
      </c>
      <c r="C25" s="186">
        <f t="shared" ref="C25:D25" si="12">SUM(C21:C24)</f>
        <v>1434518000</v>
      </c>
      <c r="D25" s="253">
        <f t="shared" si="12"/>
        <v>117024000</v>
      </c>
      <c r="E25" s="253">
        <f t="shared" ref="E25:P25" si="13">SUM(E21:E24)</f>
        <v>-1243000</v>
      </c>
      <c r="F25" s="253">
        <f t="shared" si="13"/>
        <v>-2321000</v>
      </c>
      <c r="G25" s="253">
        <f t="shared" si="13"/>
        <v>4456000</v>
      </c>
      <c r="H25" s="253">
        <f t="shared" si="13"/>
        <v>1198000</v>
      </c>
      <c r="I25" s="253">
        <f t="shared" si="13"/>
        <v>0</v>
      </c>
      <c r="J25" s="253">
        <f t="shared" si="13"/>
        <v>-100000</v>
      </c>
      <c r="K25" s="253">
        <f t="shared" si="13"/>
        <v>2936000</v>
      </c>
      <c r="L25" s="253">
        <f t="shared" si="13"/>
        <v>1195000</v>
      </c>
      <c r="M25" s="253">
        <f t="shared" si="13"/>
        <v>-1195000</v>
      </c>
      <c r="N25" s="253">
        <f t="shared" si="13"/>
        <v>-1203000</v>
      </c>
      <c r="O25" s="253">
        <f t="shared" si="13"/>
        <v>115000</v>
      </c>
      <c r="P25" s="253">
        <f t="shared" si="13"/>
        <v>-284000</v>
      </c>
      <c r="Q25" s="131">
        <f t="shared" ref="Q25:S25" si="14">SUM(Q21:Q24)</f>
        <v>120578000</v>
      </c>
      <c r="R25" s="131">
        <f t="shared" si="14"/>
        <v>-2936000</v>
      </c>
      <c r="S25" s="131">
        <f t="shared" si="14"/>
        <v>117642000</v>
      </c>
    </row>
    <row r="26" spans="1:19" x14ac:dyDescent="0.25">
      <c r="A26" s="108">
        <f t="shared" si="0"/>
        <v>19</v>
      </c>
      <c r="B26" s="108"/>
      <c r="C26" s="185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130"/>
      <c r="R26" s="130"/>
      <c r="S26" s="130"/>
    </row>
    <row r="27" spans="1:19" x14ac:dyDescent="0.25">
      <c r="A27" s="108">
        <f t="shared" si="0"/>
        <v>20</v>
      </c>
      <c r="B27" s="113">
        <v>40</v>
      </c>
      <c r="C27" s="186">
        <v>129303000</v>
      </c>
      <c r="D27" s="253">
        <v>8713000</v>
      </c>
      <c r="E27" s="253">
        <v>-173000</v>
      </c>
      <c r="F27" s="253">
        <v>-300000</v>
      </c>
      <c r="G27" s="253">
        <v>464000</v>
      </c>
      <c r="H27" s="253">
        <v>94000</v>
      </c>
      <c r="I27" s="253">
        <v>0</v>
      </c>
      <c r="J27" s="253">
        <v>-13000</v>
      </c>
      <c r="K27" s="253">
        <v>283000</v>
      </c>
      <c r="L27" s="253">
        <v>78000</v>
      </c>
      <c r="M27" s="253">
        <v>-78000</v>
      </c>
      <c r="N27" s="253">
        <v>-111000</v>
      </c>
      <c r="O27" s="253">
        <v>541000</v>
      </c>
      <c r="P27" s="253">
        <v>0</v>
      </c>
      <c r="Q27" s="131">
        <f>SUM(D27:P27)</f>
        <v>9498000</v>
      </c>
      <c r="R27" s="131">
        <f>-K27</f>
        <v>-283000</v>
      </c>
      <c r="S27" s="131">
        <f>SUM(Q27:R27)</f>
        <v>9215000</v>
      </c>
    </row>
    <row r="28" spans="1:19" x14ac:dyDescent="0.25">
      <c r="A28" s="108">
        <f t="shared" si="0"/>
        <v>21</v>
      </c>
      <c r="B28" s="113"/>
      <c r="C28" s="185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130"/>
      <c r="R28" s="130"/>
      <c r="S28" s="130"/>
    </row>
    <row r="29" spans="1:19" x14ac:dyDescent="0.25">
      <c r="A29" s="108">
        <f t="shared" si="0"/>
        <v>22</v>
      </c>
      <c r="B29" s="113">
        <v>46</v>
      </c>
      <c r="C29" s="185">
        <v>72622000</v>
      </c>
      <c r="D29" s="252">
        <v>4834000</v>
      </c>
      <c r="E29" s="252">
        <v>-9000</v>
      </c>
      <c r="F29" s="252">
        <v>-75000</v>
      </c>
      <c r="G29" s="252">
        <v>149000</v>
      </c>
      <c r="H29" s="252">
        <v>50000</v>
      </c>
      <c r="I29" s="252">
        <v>0</v>
      </c>
      <c r="J29" s="252">
        <v>-3000</v>
      </c>
      <c r="K29" s="252">
        <v>113000</v>
      </c>
      <c r="L29" s="252">
        <v>48000</v>
      </c>
      <c r="M29" s="252">
        <v>-48000</v>
      </c>
      <c r="N29" s="252">
        <v>-47000</v>
      </c>
      <c r="O29" s="252">
        <v>13000</v>
      </c>
      <c r="P29" s="252">
        <v>0</v>
      </c>
      <c r="Q29" s="130">
        <f>SUM(D29:P29)</f>
        <v>5025000</v>
      </c>
      <c r="R29" s="130">
        <f t="shared" ref="R29:R30" si="15">-K29</f>
        <v>-113000</v>
      </c>
      <c r="S29" s="130">
        <f t="shared" ref="S29:S30" si="16">SUM(Q29:R29)</f>
        <v>4912000</v>
      </c>
    </row>
    <row r="30" spans="1:19" x14ac:dyDescent="0.25">
      <c r="A30" s="108">
        <f t="shared" si="0"/>
        <v>23</v>
      </c>
      <c r="B30" s="113">
        <v>49</v>
      </c>
      <c r="C30" s="185">
        <v>554335000</v>
      </c>
      <c r="D30" s="252">
        <v>36108000</v>
      </c>
      <c r="E30" s="252">
        <v>-234000</v>
      </c>
      <c r="F30" s="252">
        <v>-901000</v>
      </c>
      <c r="G30" s="252">
        <v>1707000</v>
      </c>
      <c r="H30" s="252">
        <v>372000</v>
      </c>
      <c r="I30" s="252">
        <v>0</v>
      </c>
      <c r="J30" s="252">
        <v>-39000</v>
      </c>
      <c r="K30" s="252">
        <v>864000</v>
      </c>
      <c r="L30" s="252">
        <v>350000</v>
      </c>
      <c r="M30" s="252">
        <v>-350000</v>
      </c>
      <c r="N30" s="252">
        <v>-362000</v>
      </c>
      <c r="O30" s="252">
        <v>102000</v>
      </c>
      <c r="P30" s="252">
        <v>0</v>
      </c>
      <c r="Q30" s="130">
        <f>SUM(D30:P30)</f>
        <v>37617000</v>
      </c>
      <c r="R30" s="130">
        <f t="shared" si="15"/>
        <v>-864000</v>
      </c>
      <c r="S30" s="130">
        <f t="shared" si="16"/>
        <v>36753000</v>
      </c>
    </row>
    <row r="31" spans="1:19" x14ac:dyDescent="0.25">
      <c r="A31" s="108">
        <f t="shared" si="0"/>
        <v>24</v>
      </c>
      <c r="B31" s="115" t="s">
        <v>17</v>
      </c>
      <c r="C31" s="186">
        <f t="shared" ref="C31:D31" si="17">SUM(C29:C30)</f>
        <v>626957000</v>
      </c>
      <c r="D31" s="253">
        <f t="shared" si="17"/>
        <v>40942000</v>
      </c>
      <c r="E31" s="253">
        <f t="shared" ref="E31:P31" si="18">SUM(E29:E30)</f>
        <v>-243000</v>
      </c>
      <c r="F31" s="253">
        <f t="shared" si="18"/>
        <v>-976000</v>
      </c>
      <c r="G31" s="253">
        <f t="shared" si="18"/>
        <v>1856000</v>
      </c>
      <c r="H31" s="253">
        <f t="shared" si="18"/>
        <v>422000</v>
      </c>
      <c r="I31" s="253">
        <f t="shared" si="18"/>
        <v>0</v>
      </c>
      <c r="J31" s="253">
        <f t="shared" si="18"/>
        <v>-42000</v>
      </c>
      <c r="K31" s="253">
        <f t="shared" si="18"/>
        <v>977000</v>
      </c>
      <c r="L31" s="253">
        <f t="shared" si="18"/>
        <v>398000</v>
      </c>
      <c r="M31" s="253">
        <f t="shared" si="18"/>
        <v>-398000</v>
      </c>
      <c r="N31" s="253">
        <f t="shared" si="18"/>
        <v>-409000</v>
      </c>
      <c r="O31" s="253">
        <f t="shared" si="18"/>
        <v>115000</v>
      </c>
      <c r="P31" s="253">
        <f t="shared" si="18"/>
        <v>0</v>
      </c>
      <c r="Q31" s="131">
        <f t="shared" ref="Q31:S31" si="19">SUM(Q29:Q30)</f>
        <v>42642000</v>
      </c>
      <c r="R31" s="131">
        <f t="shared" si="19"/>
        <v>-977000</v>
      </c>
      <c r="S31" s="131">
        <f t="shared" si="19"/>
        <v>41665000</v>
      </c>
    </row>
    <row r="32" spans="1:19" x14ac:dyDescent="0.25">
      <c r="A32" s="108">
        <f t="shared" si="0"/>
        <v>25</v>
      </c>
      <c r="B32" s="113"/>
      <c r="C32" s="185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130"/>
      <c r="R32" s="130"/>
      <c r="S32" s="130"/>
    </row>
    <row r="33" spans="1:19" x14ac:dyDescent="0.25">
      <c r="A33" s="108">
        <f t="shared" si="0"/>
        <v>26</v>
      </c>
      <c r="B33" s="113" t="s">
        <v>19</v>
      </c>
      <c r="C33" s="186">
        <v>67926000</v>
      </c>
      <c r="D33" s="253">
        <v>15892000</v>
      </c>
      <c r="E33" s="253">
        <v>-41000</v>
      </c>
      <c r="F33" s="253">
        <v>-138000</v>
      </c>
      <c r="G33" s="253">
        <v>272000</v>
      </c>
      <c r="H33" s="253">
        <v>163000</v>
      </c>
      <c r="I33" s="253">
        <v>0</v>
      </c>
      <c r="J33" s="253">
        <v>-6000</v>
      </c>
      <c r="K33" s="253">
        <v>622000</v>
      </c>
      <c r="L33" s="253">
        <v>238000</v>
      </c>
      <c r="M33" s="253">
        <v>-238000</v>
      </c>
      <c r="N33" s="253">
        <v>-244000</v>
      </c>
      <c r="O33" s="253">
        <v>0</v>
      </c>
      <c r="P33" s="253">
        <v>-13000</v>
      </c>
      <c r="Q33" s="131">
        <f>SUM(D33:P33)</f>
        <v>16507000</v>
      </c>
      <c r="R33" s="131">
        <f>-K33</f>
        <v>-622000</v>
      </c>
      <c r="S33" s="131">
        <f>SUM(Q33:R33)</f>
        <v>15885000</v>
      </c>
    </row>
    <row r="34" spans="1:19" x14ac:dyDescent="0.25">
      <c r="A34" s="108">
        <f t="shared" si="0"/>
        <v>27</v>
      </c>
      <c r="B34" s="113"/>
      <c r="C34" s="185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130"/>
      <c r="R34" s="130"/>
      <c r="S34" s="130"/>
    </row>
    <row r="35" spans="1:19" x14ac:dyDescent="0.25">
      <c r="A35" s="108">
        <f t="shared" si="0"/>
        <v>28</v>
      </c>
      <c r="B35" s="113" t="s">
        <v>87</v>
      </c>
      <c r="C35" s="186">
        <v>2036910000</v>
      </c>
      <c r="D35" s="253">
        <v>8558000</v>
      </c>
      <c r="E35" s="253">
        <v>0</v>
      </c>
      <c r="F35" s="253">
        <v>0</v>
      </c>
      <c r="G35" s="253">
        <v>2133000</v>
      </c>
      <c r="H35" s="253">
        <v>88000</v>
      </c>
      <c r="I35" s="253">
        <v>0</v>
      </c>
      <c r="J35" s="253">
        <v>0</v>
      </c>
      <c r="K35" s="253">
        <v>51000</v>
      </c>
      <c r="L35" s="253">
        <v>7000</v>
      </c>
      <c r="M35" s="253">
        <v>-7000</v>
      </c>
      <c r="N35" s="253">
        <v>0</v>
      </c>
      <c r="O35" s="253">
        <v>0</v>
      </c>
      <c r="P35" s="253">
        <v>0</v>
      </c>
      <c r="Q35" s="131">
        <f>SUM(D35:P35)</f>
        <v>10830000</v>
      </c>
      <c r="R35" s="131">
        <f>-K35</f>
        <v>-51000</v>
      </c>
      <c r="S35" s="131">
        <f>SUM(Q35:R35)</f>
        <v>10779000</v>
      </c>
    </row>
    <row r="36" spans="1:19" x14ac:dyDescent="0.25">
      <c r="A36" s="216">
        <f t="shared" si="0"/>
        <v>29</v>
      </c>
      <c r="B36" s="113"/>
      <c r="C36" s="188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133"/>
      <c r="R36" s="133"/>
      <c r="S36" s="133"/>
    </row>
    <row r="37" spans="1:19" x14ac:dyDescent="0.25">
      <c r="A37" s="216">
        <f t="shared" si="0"/>
        <v>30</v>
      </c>
      <c r="B37" s="113" t="s">
        <v>392</v>
      </c>
      <c r="C37" s="186">
        <v>480416000</v>
      </c>
      <c r="D37" s="253">
        <v>3840000</v>
      </c>
      <c r="E37" s="253">
        <v>0</v>
      </c>
      <c r="F37" s="253">
        <v>0</v>
      </c>
      <c r="G37" s="253">
        <v>1726000</v>
      </c>
      <c r="H37" s="253">
        <v>295000</v>
      </c>
      <c r="I37" s="253">
        <v>0</v>
      </c>
      <c r="J37" s="253">
        <v>0</v>
      </c>
      <c r="K37" s="253">
        <v>1050000</v>
      </c>
      <c r="L37" s="253">
        <v>291000</v>
      </c>
      <c r="M37" s="253">
        <v>-291000</v>
      </c>
      <c r="N37" s="253">
        <v>-70000</v>
      </c>
      <c r="O37" s="253">
        <v>2009000</v>
      </c>
      <c r="P37" s="253">
        <v>0</v>
      </c>
      <c r="Q37" s="131">
        <f>SUM(D37:P37)</f>
        <v>8850000</v>
      </c>
      <c r="R37" s="131">
        <f>-K37</f>
        <v>-1050000</v>
      </c>
      <c r="S37" s="131">
        <f>SUM(Q37:R37)</f>
        <v>7800000</v>
      </c>
    </row>
    <row r="38" spans="1:19" x14ac:dyDescent="0.25">
      <c r="A38" s="216">
        <f t="shared" si="0"/>
        <v>31</v>
      </c>
      <c r="B38" s="113"/>
      <c r="C38" s="185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130"/>
      <c r="R38" s="130"/>
      <c r="S38" s="130"/>
    </row>
    <row r="39" spans="1:19" ht="15.75" thickBot="1" x14ac:dyDescent="0.3">
      <c r="A39" s="216">
        <f t="shared" si="0"/>
        <v>32</v>
      </c>
      <c r="B39" s="115" t="s">
        <v>37</v>
      </c>
      <c r="C39" s="187">
        <f>SUM(C10,C19,C25,C27,C31,C33,C35,C37)</f>
        <v>23239609000</v>
      </c>
      <c r="D39" s="255">
        <f>SUM(D10,D19,D25,D27,D31,D33,D35,D37)</f>
        <v>2017046000</v>
      </c>
      <c r="E39" s="255">
        <f t="shared" ref="E39:P39" si="20">SUM(E10,E19,E25,E27,E31,E33,E35,E37)</f>
        <v>-20593000</v>
      </c>
      <c r="F39" s="255">
        <f t="shared" si="20"/>
        <v>-37477000</v>
      </c>
      <c r="G39" s="255">
        <f t="shared" si="20"/>
        <v>78404000</v>
      </c>
      <c r="H39" s="255">
        <f t="shared" si="20"/>
        <v>21018000</v>
      </c>
      <c r="I39" s="255">
        <f t="shared" si="20"/>
        <v>0</v>
      </c>
      <c r="J39" s="255">
        <f t="shared" si="20"/>
        <v>-1622000</v>
      </c>
      <c r="K39" s="255">
        <f t="shared" si="20"/>
        <v>57952000</v>
      </c>
      <c r="L39" s="255">
        <f t="shared" si="20"/>
        <v>26212000</v>
      </c>
      <c r="M39" s="255">
        <f t="shared" si="20"/>
        <v>-26212000</v>
      </c>
      <c r="N39" s="255">
        <f t="shared" si="20"/>
        <v>-22603000</v>
      </c>
      <c r="O39" s="255">
        <f t="shared" si="20"/>
        <v>16904000</v>
      </c>
      <c r="P39" s="255">
        <f t="shared" si="20"/>
        <v>-83194000</v>
      </c>
      <c r="Q39" s="132">
        <f t="shared" ref="Q39:S39" si="21">SUM(Q10,Q19,Q25,Q27,Q31,Q33,Q35,Q37)</f>
        <v>2025835000</v>
      </c>
      <c r="R39" s="132">
        <f t="shared" si="21"/>
        <v>-57952000</v>
      </c>
      <c r="S39" s="132">
        <f t="shared" si="21"/>
        <v>1967883000</v>
      </c>
    </row>
    <row r="40" spans="1:19" ht="15.75" thickTop="1" x14ac:dyDescent="0.25">
      <c r="A40" s="108">
        <f t="shared" si="0"/>
        <v>33</v>
      </c>
      <c r="B40" s="113"/>
      <c r="C40" s="188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133"/>
      <c r="R40" s="133"/>
      <c r="S40" s="133"/>
    </row>
    <row r="41" spans="1:19" x14ac:dyDescent="0.25">
      <c r="A41" s="108">
        <f t="shared" si="0"/>
        <v>34</v>
      </c>
      <c r="B41" s="113">
        <v>5</v>
      </c>
      <c r="C41" s="186">
        <v>7409000</v>
      </c>
      <c r="D41" s="253">
        <v>338000</v>
      </c>
      <c r="E41" s="253">
        <v>-4000</v>
      </c>
      <c r="F41" s="253">
        <v>0</v>
      </c>
      <c r="G41" s="253">
        <v>0</v>
      </c>
      <c r="H41" s="253">
        <v>0</v>
      </c>
      <c r="I41" s="253">
        <v>0</v>
      </c>
      <c r="J41" s="253">
        <v>-1000</v>
      </c>
      <c r="K41" s="253">
        <v>0</v>
      </c>
      <c r="L41" s="253">
        <v>0</v>
      </c>
      <c r="M41" s="253">
        <v>0</v>
      </c>
      <c r="N41" s="253">
        <v>0</v>
      </c>
      <c r="O41" s="253">
        <v>0</v>
      </c>
      <c r="P41" s="253">
        <v>0</v>
      </c>
      <c r="Q41" s="131">
        <f>SUM(D41:P41)</f>
        <v>333000</v>
      </c>
      <c r="R41" s="131">
        <f>-K41</f>
        <v>0</v>
      </c>
      <c r="S41" s="131">
        <f>SUM(Q41:R41)</f>
        <v>333000</v>
      </c>
    </row>
    <row r="42" spans="1:19" x14ac:dyDescent="0.25">
      <c r="A42" s="108">
        <f t="shared" si="0"/>
        <v>35</v>
      </c>
      <c r="B42" s="113"/>
      <c r="C42" s="188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133"/>
      <c r="R42" s="133"/>
      <c r="S42" s="133"/>
    </row>
    <row r="43" spans="1:19" ht="15.75" thickBot="1" x14ac:dyDescent="0.3">
      <c r="A43" s="108">
        <f t="shared" si="0"/>
        <v>36</v>
      </c>
      <c r="B43" s="115" t="s">
        <v>136</v>
      </c>
      <c r="C43" s="187">
        <f t="shared" ref="C43:D43" si="22">+C41+C39</f>
        <v>23247018000</v>
      </c>
      <c r="D43" s="255">
        <f t="shared" si="22"/>
        <v>2017384000</v>
      </c>
      <c r="E43" s="255">
        <f t="shared" ref="E43:P43" si="23">+E41+E39</f>
        <v>-20597000</v>
      </c>
      <c r="F43" s="255">
        <f t="shared" si="23"/>
        <v>-37477000</v>
      </c>
      <c r="G43" s="255">
        <f t="shared" si="23"/>
        <v>78404000</v>
      </c>
      <c r="H43" s="255">
        <f t="shared" si="23"/>
        <v>21018000</v>
      </c>
      <c r="I43" s="255">
        <f t="shared" si="23"/>
        <v>0</v>
      </c>
      <c r="J43" s="255">
        <f t="shared" si="23"/>
        <v>-1623000</v>
      </c>
      <c r="K43" s="255">
        <f t="shared" si="23"/>
        <v>57952000</v>
      </c>
      <c r="L43" s="255">
        <f t="shared" si="23"/>
        <v>26212000</v>
      </c>
      <c r="M43" s="255">
        <f t="shared" si="23"/>
        <v>-26212000</v>
      </c>
      <c r="N43" s="255">
        <f t="shared" si="23"/>
        <v>-22603000</v>
      </c>
      <c r="O43" s="255">
        <f t="shared" si="23"/>
        <v>16904000</v>
      </c>
      <c r="P43" s="255">
        <f t="shared" si="23"/>
        <v>-83194000</v>
      </c>
      <c r="Q43" s="132">
        <f t="shared" ref="Q43:S43" si="24">+Q41+Q39</f>
        <v>2026168000</v>
      </c>
      <c r="R43" s="132">
        <f t="shared" si="24"/>
        <v>-57952000</v>
      </c>
      <c r="S43" s="132">
        <f t="shared" si="24"/>
        <v>1968216000</v>
      </c>
    </row>
    <row r="44" spans="1:19" ht="15.75" thickTop="1" x14ac:dyDescent="0.25"/>
    <row r="48" spans="1:19" x14ac:dyDescent="0.25">
      <c r="Q48" s="189"/>
    </row>
  </sheetData>
  <mergeCells count="4">
    <mergeCell ref="A1:Q1"/>
    <mergeCell ref="A2:Q2"/>
    <mergeCell ref="A3:Q3"/>
    <mergeCell ref="A4:Q4"/>
  </mergeCells>
  <printOptions horizontalCentered="1"/>
  <pageMargins left="0.7" right="0.7" top="0.75" bottom="0.75" header="0.3" footer="0.3"/>
  <pageSetup scale="47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F23" activePane="bottomRight" state="frozen"/>
      <selection activeCell="D39" sqref="D39"/>
      <selection pane="topRight" activeCell="D39" sqref="D39"/>
      <selection pane="bottomLeft" activeCell="D39" sqref="D39"/>
      <selection pane="bottomRight" activeCell="J26" sqref="J26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45.5703125" customWidth="1"/>
    <col min="4" max="4" width="9.42578125" bestFit="1" customWidth="1"/>
    <col min="5" max="8" width="15.140625" bestFit="1" customWidth="1"/>
    <col min="9" max="14" width="13.5703125" bestFit="1" customWidth="1"/>
    <col min="15" max="15" width="11.42578125" bestFit="1" customWidth="1"/>
    <col min="17" max="17" width="13.5703125" bestFit="1" customWidth="1"/>
    <col min="18" max="18" width="11.42578125" bestFit="1" customWidth="1"/>
    <col min="19" max="19" width="12.42578125" bestFit="1" customWidth="1"/>
    <col min="20" max="21" width="13.5703125" bestFit="1" customWidth="1"/>
  </cols>
  <sheetData>
    <row r="1" spans="1:2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169"/>
      <c r="Q1" s="169"/>
      <c r="R1" s="169"/>
      <c r="S1" s="169"/>
      <c r="T1" s="169"/>
      <c r="U1" s="169"/>
    </row>
    <row r="2" spans="1:21" x14ac:dyDescent="0.25">
      <c r="A2" s="306" t="s">
        <v>198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169"/>
      <c r="Q2" s="169"/>
      <c r="R2" s="169"/>
      <c r="S2" s="169"/>
      <c r="T2" s="169"/>
      <c r="U2" s="169"/>
    </row>
    <row r="3" spans="1:21" x14ac:dyDescent="0.25">
      <c r="A3" s="305" t="s">
        <v>299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169"/>
      <c r="Q3" s="169"/>
      <c r="R3" s="169"/>
      <c r="S3" s="169"/>
      <c r="T3" s="169"/>
      <c r="U3" s="169"/>
    </row>
    <row r="4" spans="1:21" x14ac:dyDescent="0.25">
      <c r="A4" s="135"/>
      <c r="B4" s="135"/>
      <c r="C4" s="135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1" ht="51.75" x14ac:dyDescent="0.25">
      <c r="A5" s="136" t="s">
        <v>1</v>
      </c>
      <c r="B5" s="136" t="s">
        <v>199</v>
      </c>
      <c r="C5" s="167" t="s">
        <v>200</v>
      </c>
      <c r="D5" s="136" t="s">
        <v>201</v>
      </c>
      <c r="E5" s="136" t="s">
        <v>37</v>
      </c>
      <c r="F5" s="136" t="s">
        <v>290</v>
      </c>
      <c r="G5" s="136" t="s">
        <v>291</v>
      </c>
      <c r="H5" s="136" t="s">
        <v>292</v>
      </c>
      <c r="I5" s="136" t="s">
        <v>293</v>
      </c>
      <c r="J5" s="136" t="s">
        <v>294</v>
      </c>
      <c r="K5" s="136" t="s">
        <v>295</v>
      </c>
      <c r="L5" s="136" t="s">
        <v>296</v>
      </c>
      <c r="M5" s="136" t="s">
        <v>297</v>
      </c>
      <c r="N5" s="136" t="s">
        <v>298</v>
      </c>
      <c r="O5" s="136" t="s">
        <v>300</v>
      </c>
      <c r="P5" s="168"/>
      <c r="Q5" s="139" t="s">
        <v>282</v>
      </c>
      <c r="R5" s="139" t="s">
        <v>283</v>
      </c>
      <c r="S5" s="139" t="s">
        <v>284</v>
      </c>
      <c r="T5" s="139" t="s">
        <v>285</v>
      </c>
      <c r="U5" s="139" t="s">
        <v>286</v>
      </c>
    </row>
    <row r="6" spans="1:21" x14ac:dyDescent="0.25">
      <c r="A6" s="168"/>
      <c r="B6" s="168" t="s">
        <v>32</v>
      </c>
      <c r="C6" s="168" t="s">
        <v>31</v>
      </c>
      <c r="D6" s="168" t="s">
        <v>30</v>
      </c>
      <c r="E6" s="168" t="s">
        <v>34</v>
      </c>
      <c r="F6" s="168" t="s">
        <v>33</v>
      </c>
      <c r="G6" s="168" t="s">
        <v>29</v>
      </c>
      <c r="H6" s="168" t="s">
        <v>141</v>
      </c>
      <c r="I6" s="168" t="s">
        <v>99</v>
      </c>
      <c r="J6" s="168" t="s">
        <v>202</v>
      </c>
      <c r="K6" s="168" t="s">
        <v>203</v>
      </c>
      <c r="L6" s="168" t="s">
        <v>142</v>
      </c>
      <c r="M6" s="168" t="s">
        <v>143</v>
      </c>
      <c r="N6" s="168" t="s">
        <v>144</v>
      </c>
      <c r="O6" s="168" t="s">
        <v>145</v>
      </c>
      <c r="P6" s="168"/>
      <c r="Q6" s="168"/>
      <c r="R6" s="168"/>
      <c r="S6" s="168"/>
      <c r="T6" s="168"/>
      <c r="U6" s="168"/>
    </row>
    <row r="7" spans="1:21" x14ac:dyDescent="0.25">
      <c r="A7" s="135">
        <v>1</v>
      </c>
      <c r="B7" s="135"/>
      <c r="C7" s="137" t="s">
        <v>204</v>
      </c>
      <c r="D7" s="166"/>
      <c r="E7" s="166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1" x14ac:dyDescent="0.25">
      <c r="A8" s="135">
        <f t="shared" ref="A8:A70" si="0">+A7+1</f>
        <v>2</v>
      </c>
      <c r="B8" s="135"/>
      <c r="C8" s="135"/>
      <c r="D8" s="166"/>
      <c r="E8" s="166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1" x14ac:dyDescent="0.25">
      <c r="A9" s="135">
        <f t="shared" si="0"/>
        <v>3</v>
      </c>
      <c r="B9" s="135"/>
      <c r="C9" s="137" t="s">
        <v>205</v>
      </c>
      <c r="D9" s="166"/>
      <c r="E9" s="166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</row>
    <row r="10" spans="1:21" x14ac:dyDescent="0.25">
      <c r="A10" s="135">
        <f t="shared" si="0"/>
        <v>4</v>
      </c>
      <c r="B10" s="135"/>
      <c r="C10" s="137" t="s">
        <v>206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1" x14ac:dyDescent="0.25">
      <c r="A11" s="135">
        <f t="shared" si="0"/>
        <v>5</v>
      </c>
      <c r="B11" s="170">
        <v>300</v>
      </c>
      <c r="C11" s="135" t="s">
        <v>207</v>
      </c>
      <c r="D11" s="166" t="s">
        <v>208</v>
      </c>
      <c r="E11" s="171">
        <v>71973279</v>
      </c>
      <c r="F11" s="171">
        <v>38454075.971436448</v>
      </c>
      <c r="G11" s="171">
        <v>9427408.3280417956</v>
      </c>
      <c r="H11" s="171">
        <v>9518487.5898792371</v>
      </c>
      <c r="I11" s="171">
        <v>6156137.3929111613</v>
      </c>
      <c r="J11" s="171">
        <v>4380202.8235320868</v>
      </c>
      <c r="K11" s="171">
        <v>1914522.9679305665</v>
      </c>
      <c r="L11" s="171">
        <v>1837841.8877231576</v>
      </c>
      <c r="M11" s="171">
        <v>0</v>
      </c>
      <c r="N11" s="171">
        <v>260129.32749372019</v>
      </c>
      <c r="O11" s="171">
        <v>24472.711051832724</v>
      </c>
      <c r="P11" s="166"/>
      <c r="Q11" s="171">
        <v>4066700.2176939882</v>
      </c>
      <c r="R11" s="171">
        <v>11134.274188423173</v>
      </c>
      <c r="S11" s="171">
        <v>302368.33164967579</v>
      </c>
      <c r="T11" s="171">
        <f>SUM(Q11:S11)</f>
        <v>4380202.8235320868</v>
      </c>
      <c r="U11" s="171">
        <f>SUM(Q11:R11)</f>
        <v>4077834.4918824113</v>
      </c>
    </row>
    <row r="12" spans="1:21" x14ac:dyDescent="0.25">
      <c r="A12" s="135">
        <f t="shared" si="0"/>
        <v>6</v>
      </c>
      <c r="B12" s="170">
        <v>300.01</v>
      </c>
      <c r="C12" s="135" t="s">
        <v>209</v>
      </c>
      <c r="D12" s="166" t="s">
        <v>210</v>
      </c>
      <c r="E12" s="171">
        <v>83029</v>
      </c>
      <c r="F12" s="171">
        <v>44360.956151968523</v>
      </c>
      <c r="G12" s="171">
        <v>10875.540158021457</v>
      </c>
      <c r="H12" s="171">
        <v>10980.609985826592</v>
      </c>
      <c r="I12" s="171">
        <v>7101.7735845551915</v>
      </c>
      <c r="J12" s="171">
        <v>5053.0400349697238</v>
      </c>
      <c r="K12" s="171">
        <v>2208.6103302908709</v>
      </c>
      <c r="L12" s="171">
        <v>2120.1503699138962</v>
      </c>
      <c r="M12" s="171">
        <v>0</v>
      </c>
      <c r="N12" s="171">
        <v>300.08745235125519</v>
      </c>
      <c r="O12" s="171">
        <v>28.231932102504587</v>
      </c>
      <c r="P12" s="166"/>
      <c r="Q12" s="171">
        <v>4691.380704982389</v>
      </c>
      <c r="R12" s="171">
        <v>12.844595444798168</v>
      </c>
      <c r="S12" s="171">
        <v>348.81473454253666</v>
      </c>
      <c r="T12" s="171">
        <f>SUM(Q12:S12)</f>
        <v>5053.0400349697238</v>
      </c>
      <c r="U12" s="171">
        <f>SUM(Q12:R12)</f>
        <v>4704.225300427187</v>
      </c>
    </row>
    <row r="13" spans="1:21" x14ac:dyDescent="0.25">
      <c r="A13" s="135">
        <f t="shared" si="0"/>
        <v>7</v>
      </c>
      <c r="B13" s="170">
        <v>300.02</v>
      </c>
      <c r="C13" s="135" t="s">
        <v>211</v>
      </c>
      <c r="D13" s="166" t="s">
        <v>212</v>
      </c>
      <c r="E13" s="171">
        <v>177634269</v>
      </c>
      <c r="F13" s="171">
        <v>108396150.92325711</v>
      </c>
      <c r="G13" s="171">
        <v>21926460.822066031</v>
      </c>
      <c r="H13" s="171">
        <v>18384457.50789753</v>
      </c>
      <c r="I13" s="171">
        <v>10527272.442336291</v>
      </c>
      <c r="J13" s="171">
        <v>8238433.1115532396</v>
      </c>
      <c r="K13" s="171">
        <v>3325215.7181211836</v>
      </c>
      <c r="L13" s="171">
        <v>2730945.8069843245</v>
      </c>
      <c r="M13" s="171">
        <v>1932950.0570126709</v>
      </c>
      <c r="N13" s="171">
        <v>2118710.5708934804</v>
      </c>
      <c r="O13" s="171">
        <v>53672.039878144315</v>
      </c>
      <c r="P13" s="166"/>
      <c r="Q13" s="171">
        <v>7256179.7021665014</v>
      </c>
      <c r="R13" s="171">
        <v>36555.133103162225</v>
      </c>
      <c r="S13" s="171">
        <v>945698.2762835758</v>
      </c>
      <c r="T13" s="171">
        <f>SUM(Q13:S13)</f>
        <v>8238433.1115532396</v>
      </c>
      <c r="U13" s="171">
        <f>SUM(Q13:R13)</f>
        <v>7292734.8352696635</v>
      </c>
    </row>
    <row r="14" spans="1:21" x14ac:dyDescent="0.25">
      <c r="A14" s="138">
        <f>+A13+1</f>
        <v>8</v>
      </c>
      <c r="B14" s="172"/>
      <c r="C14" s="138" t="s">
        <v>213</v>
      </c>
      <c r="D14" s="173"/>
      <c r="E14" s="174">
        <f t="shared" ref="E14:U14" si="1">SUM(E11:E13)</f>
        <v>249690577</v>
      </c>
      <c r="F14" s="174">
        <f t="shared" si="1"/>
        <v>146894587.85084552</v>
      </c>
      <c r="G14" s="174">
        <f t="shared" si="1"/>
        <v>31364744.690265849</v>
      </c>
      <c r="H14" s="174">
        <f t="shared" si="1"/>
        <v>27913925.707762592</v>
      </c>
      <c r="I14" s="174">
        <f t="shared" si="1"/>
        <v>16690511.608832007</v>
      </c>
      <c r="J14" s="174">
        <f t="shared" si="1"/>
        <v>12623688.975120295</v>
      </c>
      <c r="K14" s="174">
        <f t="shared" si="1"/>
        <v>5241947.2963820407</v>
      </c>
      <c r="L14" s="174">
        <f t="shared" si="1"/>
        <v>4570907.8450773954</v>
      </c>
      <c r="M14" s="174">
        <f t="shared" si="1"/>
        <v>1932950.0570126709</v>
      </c>
      <c r="N14" s="174">
        <f t="shared" si="1"/>
        <v>2379139.9858395518</v>
      </c>
      <c r="O14" s="174">
        <f t="shared" si="1"/>
        <v>78172.982862079545</v>
      </c>
      <c r="P14" s="1"/>
      <c r="Q14" s="174">
        <f t="shared" si="1"/>
        <v>11327571.300565472</v>
      </c>
      <c r="R14" s="174">
        <f t="shared" si="1"/>
        <v>47702.251887030194</v>
      </c>
      <c r="S14" s="174">
        <f t="shared" si="1"/>
        <v>1248415.4226677942</v>
      </c>
      <c r="T14" s="174">
        <f t="shared" si="1"/>
        <v>12623688.975120295</v>
      </c>
      <c r="U14" s="174">
        <f t="shared" si="1"/>
        <v>11375273.552452501</v>
      </c>
    </row>
    <row r="15" spans="1:21" x14ac:dyDescent="0.25">
      <c r="A15" s="135">
        <f t="shared" si="0"/>
        <v>9</v>
      </c>
      <c r="B15" s="170"/>
      <c r="C15" s="135"/>
      <c r="D15" s="166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66"/>
      <c r="Q15" s="171"/>
      <c r="R15" s="171"/>
      <c r="S15" s="171"/>
      <c r="T15" s="171"/>
      <c r="U15" s="171"/>
    </row>
    <row r="16" spans="1:21" x14ac:dyDescent="0.25">
      <c r="A16" s="135">
        <f t="shared" si="0"/>
        <v>10</v>
      </c>
      <c r="B16" s="170"/>
      <c r="C16" s="137" t="s">
        <v>207</v>
      </c>
      <c r="D16" s="166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66"/>
      <c r="Q16" s="171"/>
      <c r="R16" s="171"/>
      <c r="S16" s="171"/>
      <c r="T16" s="171"/>
      <c r="U16" s="171"/>
    </row>
    <row r="17" spans="1:21" x14ac:dyDescent="0.25">
      <c r="A17" s="135">
        <f t="shared" si="0"/>
        <v>11</v>
      </c>
      <c r="B17" s="170">
        <v>310</v>
      </c>
      <c r="C17" s="135" t="s">
        <v>214</v>
      </c>
      <c r="D17" s="166" t="s">
        <v>210</v>
      </c>
      <c r="E17" s="171">
        <v>1304541451.6862471</v>
      </c>
      <c r="F17" s="171">
        <v>696993895.34595108</v>
      </c>
      <c r="G17" s="171">
        <v>170875151.40032265</v>
      </c>
      <c r="H17" s="171">
        <v>172525995.63177592</v>
      </c>
      <c r="I17" s="171">
        <v>111582194.43257986</v>
      </c>
      <c r="J17" s="171">
        <v>79392744.494672075</v>
      </c>
      <c r="K17" s="171">
        <v>34701414.282803535</v>
      </c>
      <c r="L17" s="171">
        <v>33311542.248619255</v>
      </c>
      <c r="M17" s="171">
        <v>0</v>
      </c>
      <c r="N17" s="171">
        <v>4714937.1993295588</v>
      </c>
      <c r="O17" s="171">
        <v>443576.65019341314</v>
      </c>
      <c r="P17" s="166"/>
      <c r="Q17" s="171">
        <v>73710397.515212446</v>
      </c>
      <c r="R17" s="171">
        <v>201812.70625780823</v>
      </c>
      <c r="S17" s="171">
        <v>5480534.2732018176</v>
      </c>
      <c r="T17" s="171">
        <f>SUM(Q17:S17)</f>
        <v>79392744.494672075</v>
      </c>
      <c r="U17" s="171">
        <f>SUM(Q17:R17)</f>
        <v>73912210.221470252</v>
      </c>
    </row>
    <row r="18" spans="1:21" x14ac:dyDescent="0.25">
      <c r="A18" s="135">
        <f t="shared" si="0"/>
        <v>12</v>
      </c>
      <c r="B18" s="170">
        <v>330</v>
      </c>
      <c r="C18" s="135" t="s">
        <v>215</v>
      </c>
      <c r="D18" s="166" t="s">
        <v>210</v>
      </c>
      <c r="E18" s="171">
        <v>710256219.2691648</v>
      </c>
      <c r="F18" s="171">
        <v>379477592.16252589</v>
      </c>
      <c r="G18" s="171">
        <v>93032796.193454027</v>
      </c>
      <c r="H18" s="171">
        <v>93931596.596399218</v>
      </c>
      <c r="I18" s="171">
        <v>60750808.226906195</v>
      </c>
      <c r="J18" s="171">
        <v>43225296.114048392</v>
      </c>
      <c r="K18" s="171">
        <v>18893148.45453053</v>
      </c>
      <c r="L18" s="171">
        <v>18136434.089500837</v>
      </c>
      <c r="M18" s="171">
        <v>0</v>
      </c>
      <c r="N18" s="171">
        <v>2567042.5918307835</v>
      </c>
      <c r="O18" s="171">
        <v>241504.83996903096</v>
      </c>
      <c r="P18" s="166"/>
      <c r="Q18" s="171">
        <v>40131548.286419205</v>
      </c>
      <c r="R18" s="171">
        <v>109876.71534842384</v>
      </c>
      <c r="S18" s="171">
        <v>2983871.1122807628</v>
      </c>
      <c r="T18" s="171">
        <f>SUM(Q18:S18)</f>
        <v>43225296.114048392</v>
      </c>
      <c r="U18" s="171">
        <f>SUM(Q18:R18)</f>
        <v>40241425.001767628</v>
      </c>
    </row>
    <row r="19" spans="1:21" x14ac:dyDescent="0.25">
      <c r="A19" s="135">
        <f t="shared" si="0"/>
        <v>13</v>
      </c>
      <c r="B19" s="170">
        <v>340</v>
      </c>
      <c r="C19" s="135" t="s">
        <v>216</v>
      </c>
      <c r="D19" s="166" t="s">
        <v>210</v>
      </c>
      <c r="E19" s="171">
        <v>1974152231.1274989</v>
      </c>
      <c r="F19" s="171">
        <v>1054755333.2252322</v>
      </c>
      <c r="G19" s="171">
        <v>258584011.22107661</v>
      </c>
      <c r="H19" s="171">
        <v>261082220.70192894</v>
      </c>
      <c r="I19" s="171">
        <v>168856449.75745782</v>
      </c>
      <c r="J19" s="171">
        <v>120144410.49527338</v>
      </c>
      <c r="K19" s="171">
        <v>52513374.980247445</v>
      </c>
      <c r="L19" s="171">
        <v>50410092.655473515</v>
      </c>
      <c r="M19" s="171">
        <v>0</v>
      </c>
      <c r="N19" s="171">
        <v>7135077.0645509092</v>
      </c>
      <c r="O19" s="171">
        <v>671261.02625828923</v>
      </c>
      <c r="P19" s="166"/>
      <c r="Q19" s="171">
        <v>111545359.88401017</v>
      </c>
      <c r="R19" s="171">
        <v>305401.56758817297</v>
      </c>
      <c r="S19" s="171">
        <v>8293649.0436750418</v>
      </c>
      <c r="T19" s="171">
        <f>SUM(Q19:S19)</f>
        <v>120144410.49527338</v>
      </c>
      <c r="U19" s="171">
        <f>SUM(Q19:R19)</f>
        <v>111850761.45159835</v>
      </c>
    </row>
    <row r="20" spans="1:21" x14ac:dyDescent="0.25">
      <c r="A20" s="138">
        <f t="shared" si="0"/>
        <v>14</v>
      </c>
      <c r="B20" s="172"/>
      <c r="C20" s="138" t="s">
        <v>213</v>
      </c>
      <c r="D20" s="173"/>
      <c r="E20" s="174">
        <f>SUM(E17:E19)</f>
        <v>3988949902.0829105</v>
      </c>
      <c r="F20" s="174">
        <f t="shared" ref="F20:U20" si="2">SUM(F17:F19)</f>
        <v>2131226820.7337093</v>
      </c>
      <c r="G20" s="174">
        <f t="shared" si="2"/>
        <v>522491958.81485331</v>
      </c>
      <c r="H20" s="174">
        <f t="shared" si="2"/>
        <v>527539812.93010408</v>
      </c>
      <c r="I20" s="174">
        <f t="shared" si="2"/>
        <v>341189452.41694391</v>
      </c>
      <c r="J20" s="174">
        <f t="shared" si="2"/>
        <v>242762451.10399383</v>
      </c>
      <c r="K20" s="174">
        <f t="shared" si="2"/>
        <v>106107937.71758151</v>
      </c>
      <c r="L20" s="174">
        <f t="shared" si="2"/>
        <v>101858068.9935936</v>
      </c>
      <c r="M20" s="174">
        <f t="shared" si="2"/>
        <v>0</v>
      </c>
      <c r="N20" s="174">
        <f t="shared" si="2"/>
        <v>14417056.855711251</v>
      </c>
      <c r="O20" s="174">
        <f t="shared" si="2"/>
        <v>1356342.5164207332</v>
      </c>
      <c r="P20" s="166"/>
      <c r="Q20" s="174">
        <f t="shared" si="2"/>
        <v>225387305.68564183</v>
      </c>
      <c r="R20" s="174">
        <f t="shared" si="2"/>
        <v>617090.98919440503</v>
      </c>
      <c r="S20" s="174">
        <f t="shared" si="2"/>
        <v>16758054.429157622</v>
      </c>
      <c r="T20" s="174">
        <f t="shared" si="2"/>
        <v>242762451.10399383</v>
      </c>
      <c r="U20" s="174">
        <f t="shared" si="2"/>
        <v>226004396.67483622</v>
      </c>
    </row>
    <row r="21" spans="1:21" x14ac:dyDescent="0.25">
      <c r="A21" s="135">
        <f t="shared" si="0"/>
        <v>15</v>
      </c>
      <c r="B21" s="170"/>
      <c r="C21" s="135"/>
      <c r="D21" s="166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66"/>
      <c r="Q21" s="171"/>
      <c r="R21" s="171"/>
      <c r="S21" s="171"/>
      <c r="T21" s="171"/>
      <c r="U21" s="171"/>
    </row>
    <row r="22" spans="1:21" x14ac:dyDescent="0.25">
      <c r="A22" s="135">
        <f t="shared" si="0"/>
        <v>16</v>
      </c>
      <c r="B22" s="170"/>
      <c r="C22" s="137" t="s">
        <v>209</v>
      </c>
      <c r="D22" s="166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66"/>
      <c r="Q22" s="171"/>
      <c r="R22" s="171"/>
      <c r="S22" s="171"/>
      <c r="T22" s="171"/>
      <c r="U22" s="171"/>
    </row>
    <row r="23" spans="1:21" x14ac:dyDescent="0.25">
      <c r="A23" s="135">
        <f t="shared" si="0"/>
        <v>17</v>
      </c>
      <c r="B23" s="170">
        <v>350</v>
      </c>
      <c r="C23" s="135" t="s">
        <v>217</v>
      </c>
      <c r="D23" s="166" t="s">
        <v>210</v>
      </c>
      <c r="E23" s="171">
        <v>174349685</v>
      </c>
      <c r="F23" s="171">
        <v>93152015.938943297</v>
      </c>
      <c r="G23" s="171">
        <v>22837165.336880982</v>
      </c>
      <c r="H23" s="171">
        <v>23057797.78314469</v>
      </c>
      <c r="I23" s="171">
        <v>14912765.267659716</v>
      </c>
      <c r="J23" s="171">
        <v>10610701.542706287</v>
      </c>
      <c r="K23" s="171">
        <v>4637783.3693523863</v>
      </c>
      <c r="L23" s="171">
        <v>4452029.4011384128</v>
      </c>
      <c r="M23" s="171">
        <v>0</v>
      </c>
      <c r="N23" s="171">
        <v>630143.11613886536</v>
      </c>
      <c r="O23" s="171">
        <v>59283.244035373937</v>
      </c>
      <c r="P23" s="166"/>
      <c r="Q23" s="171">
        <v>9851265.8002475929</v>
      </c>
      <c r="R23" s="171">
        <v>26971.915472340934</v>
      </c>
      <c r="S23" s="171">
        <v>732463.8269863528</v>
      </c>
      <c r="T23" s="171">
        <f>SUM(Q23:S23)</f>
        <v>10610701.542706287</v>
      </c>
      <c r="U23" s="171">
        <f>SUM(Q23:R23)</f>
        <v>9878237.7157199346</v>
      </c>
    </row>
    <row r="24" spans="1:21" x14ac:dyDescent="0.25">
      <c r="A24" s="135">
        <f t="shared" si="0"/>
        <v>18</v>
      </c>
      <c r="B24" s="170">
        <v>350.01</v>
      </c>
      <c r="C24" s="135" t="s">
        <v>218</v>
      </c>
      <c r="D24" s="166" t="s">
        <v>219</v>
      </c>
      <c r="E24" s="171">
        <v>1214311299</v>
      </c>
      <c r="F24" s="171">
        <v>597433388.70555854</v>
      </c>
      <c r="G24" s="171">
        <v>146229019.88115436</v>
      </c>
      <c r="H24" s="171">
        <v>147560220.47328535</v>
      </c>
      <c r="I24" s="171">
        <v>95365048.061260626</v>
      </c>
      <c r="J24" s="171">
        <v>67838221.009173229</v>
      </c>
      <c r="K24" s="171">
        <v>29655883.23777055</v>
      </c>
      <c r="L24" s="171">
        <v>28445402.264599342</v>
      </c>
      <c r="M24" s="171">
        <v>97368058.384898379</v>
      </c>
      <c r="N24" s="171">
        <v>4035837.6076959856</v>
      </c>
      <c r="O24" s="171">
        <v>380219.37460385484</v>
      </c>
      <c r="P24" s="166"/>
      <c r="Q24" s="171">
        <v>63011895.608862832</v>
      </c>
      <c r="R24" s="171">
        <v>171419.30377560804</v>
      </c>
      <c r="S24" s="171">
        <v>4654906.096534783</v>
      </c>
      <c r="T24" s="171">
        <f>SUM(Q24:S24)</f>
        <v>67838221.009173229</v>
      </c>
      <c r="U24" s="171">
        <f>SUM(Q24:R24)</f>
        <v>63183314.912638441</v>
      </c>
    </row>
    <row r="25" spans="1:21" x14ac:dyDescent="0.25">
      <c r="A25" s="135">
        <f t="shared" si="0"/>
        <v>19</v>
      </c>
      <c r="B25" s="170">
        <v>350.02</v>
      </c>
      <c r="C25" s="135" t="s">
        <v>220</v>
      </c>
      <c r="D25" s="166" t="s">
        <v>221</v>
      </c>
      <c r="E25" s="171">
        <v>389231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389231</v>
      </c>
      <c r="N25" s="171">
        <v>0</v>
      </c>
      <c r="O25" s="171">
        <v>0</v>
      </c>
      <c r="P25" s="166"/>
      <c r="Q25" s="171">
        <v>0</v>
      </c>
      <c r="R25" s="171">
        <v>0</v>
      </c>
      <c r="S25" s="171">
        <v>0</v>
      </c>
      <c r="T25" s="171">
        <f>SUM(Q25:S25)</f>
        <v>0</v>
      </c>
      <c r="U25" s="171">
        <f>SUM(Q25:R25)</f>
        <v>0</v>
      </c>
    </row>
    <row r="26" spans="1:21" x14ac:dyDescent="0.25">
      <c r="A26" s="138">
        <f>+A25+1</f>
        <v>20</v>
      </c>
      <c r="B26" s="172"/>
      <c r="C26" s="138" t="s">
        <v>213</v>
      </c>
      <c r="D26" s="173"/>
      <c r="E26" s="174">
        <f t="shared" ref="E26:U26" si="3">SUM(E23:E25)</f>
        <v>1389050215</v>
      </c>
      <c r="F26" s="174">
        <f t="shared" si="3"/>
        <v>690585404.64450181</v>
      </c>
      <c r="G26" s="174">
        <f t="shared" si="3"/>
        <v>169066185.21803534</v>
      </c>
      <c r="H26" s="174">
        <f t="shared" si="3"/>
        <v>170618018.25643003</v>
      </c>
      <c r="I26" s="174">
        <f t="shared" si="3"/>
        <v>110277813.32892033</v>
      </c>
      <c r="J26" s="174">
        <f t="shared" si="3"/>
        <v>78448922.55187951</v>
      </c>
      <c r="K26" s="174">
        <f t="shared" si="3"/>
        <v>34293666.607122935</v>
      </c>
      <c r="L26" s="174">
        <f t="shared" si="3"/>
        <v>32897431.665737756</v>
      </c>
      <c r="M26" s="174">
        <f t="shared" si="3"/>
        <v>97757289.384898379</v>
      </c>
      <c r="N26" s="174">
        <f t="shared" si="3"/>
        <v>4665980.7238348508</v>
      </c>
      <c r="O26" s="174">
        <f t="shared" si="3"/>
        <v>439502.61863922875</v>
      </c>
      <c r="P26" s="166"/>
      <c r="Q26" s="174">
        <f t="shared" si="3"/>
        <v>72863161.409110427</v>
      </c>
      <c r="R26" s="174">
        <f t="shared" si="3"/>
        <v>198391.21924794899</v>
      </c>
      <c r="S26" s="174">
        <f t="shared" si="3"/>
        <v>5387369.9235211359</v>
      </c>
      <c r="T26" s="174">
        <f t="shared" si="3"/>
        <v>78448922.55187951</v>
      </c>
      <c r="U26" s="174">
        <f t="shared" si="3"/>
        <v>73061552.628358379</v>
      </c>
    </row>
    <row r="27" spans="1:21" x14ac:dyDescent="0.25">
      <c r="A27" s="135">
        <f t="shared" si="0"/>
        <v>21</v>
      </c>
      <c r="B27" s="170"/>
      <c r="C27" s="135"/>
      <c r="D27" s="166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66"/>
      <c r="Q27" s="171"/>
      <c r="R27" s="171"/>
      <c r="S27" s="171"/>
      <c r="T27" s="171"/>
      <c r="U27" s="171"/>
    </row>
    <row r="28" spans="1:21" x14ac:dyDescent="0.25">
      <c r="A28" s="135">
        <f t="shared" si="0"/>
        <v>22</v>
      </c>
      <c r="B28" s="170"/>
      <c r="C28" s="137" t="s">
        <v>222</v>
      </c>
      <c r="D28" s="166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66"/>
      <c r="Q28" s="171"/>
      <c r="R28" s="171"/>
      <c r="S28" s="171"/>
      <c r="T28" s="171"/>
      <c r="U28" s="171"/>
    </row>
    <row r="29" spans="1:21" x14ac:dyDescent="0.25">
      <c r="A29" s="135">
        <f t="shared" si="0"/>
        <v>23</v>
      </c>
      <c r="B29" s="170">
        <v>360.01</v>
      </c>
      <c r="C29" s="135" t="s">
        <v>223</v>
      </c>
      <c r="D29" s="166" t="s">
        <v>224</v>
      </c>
      <c r="E29" s="171">
        <v>5368160.9644597787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4625429.5874469783</v>
      </c>
      <c r="L29" s="171">
        <v>742731.37701280008</v>
      </c>
      <c r="M29" s="171">
        <v>0</v>
      </c>
      <c r="N29" s="171">
        <v>0</v>
      </c>
      <c r="O29" s="171">
        <v>0</v>
      </c>
      <c r="P29" s="166"/>
      <c r="Q29" s="171">
        <v>0</v>
      </c>
      <c r="R29" s="171">
        <v>0</v>
      </c>
      <c r="S29" s="171">
        <v>0</v>
      </c>
      <c r="T29" s="171">
        <f t="shared" ref="T29:T49" si="4">SUM(Q29:S29)</f>
        <v>0</v>
      </c>
      <c r="U29" s="171">
        <f t="shared" ref="U29:U49" si="5">SUM(Q29:R29)</f>
        <v>0</v>
      </c>
    </row>
    <row r="30" spans="1:21" x14ac:dyDescent="0.25">
      <c r="A30" s="135">
        <f t="shared" si="0"/>
        <v>24</v>
      </c>
      <c r="B30" s="170">
        <v>360.02</v>
      </c>
      <c r="C30" s="135" t="s">
        <v>225</v>
      </c>
      <c r="D30" s="166" t="s">
        <v>226</v>
      </c>
      <c r="E30" s="171">
        <v>40674420.272206821</v>
      </c>
      <c r="F30" s="171">
        <v>16652330.246595021</v>
      </c>
      <c r="G30" s="171">
        <v>6511045.5482309116</v>
      </c>
      <c r="H30" s="171">
        <v>8190746.9767189138</v>
      </c>
      <c r="I30" s="171">
        <v>4650678.3549073739</v>
      </c>
      <c r="J30" s="171">
        <v>4633325.1997884614</v>
      </c>
      <c r="K30" s="171">
        <v>0</v>
      </c>
      <c r="L30" s="171">
        <v>0</v>
      </c>
      <c r="M30" s="171">
        <v>0</v>
      </c>
      <c r="N30" s="171">
        <v>33605.73679784494</v>
      </c>
      <c r="O30" s="171">
        <v>2688.2091682951168</v>
      </c>
      <c r="P30" s="166"/>
      <c r="Q30" s="171">
        <v>4411162.3524258509</v>
      </c>
      <c r="R30" s="171">
        <v>825.82035425558468</v>
      </c>
      <c r="S30" s="171">
        <v>221337.02700835458</v>
      </c>
      <c r="T30" s="171">
        <f t="shared" si="4"/>
        <v>4633325.1997884614</v>
      </c>
      <c r="U30" s="171">
        <f t="shared" si="5"/>
        <v>4411988.1727801068</v>
      </c>
    </row>
    <row r="31" spans="1:21" x14ac:dyDescent="0.25">
      <c r="A31" s="135">
        <f t="shared" si="0"/>
        <v>25</v>
      </c>
      <c r="B31" s="170">
        <v>361.01</v>
      </c>
      <c r="C31" s="135" t="s">
        <v>227</v>
      </c>
      <c r="D31" s="166" t="s">
        <v>228</v>
      </c>
      <c r="E31" s="171">
        <v>696660.6761493294</v>
      </c>
      <c r="F31" s="171">
        <v>0</v>
      </c>
      <c r="G31" s="171">
        <v>0</v>
      </c>
      <c r="H31" s="171">
        <v>0</v>
      </c>
      <c r="I31" s="171">
        <v>0</v>
      </c>
      <c r="J31" s="171">
        <v>0</v>
      </c>
      <c r="K31" s="171">
        <v>340751.24407252943</v>
      </c>
      <c r="L31" s="171">
        <v>162866.1520768</v>
      </c>
      <c r="M31" s="171">
        <v>193043.28000000003</v>
      </c>
      <c r="N31" s="171">
        <v>0</v>
      </c>
      <c r="O31" s="171">
        <v>0</v>
      </c>
      <c r="P31" s="166"/>
      <c r="Q31" s="171">
        <v>0</v>
      </c>
      <c r="R31" s="171">
        <v>0</v>
      </c>
      <c r="S31" s="171">
        <v>0</v>
      </c>
      <c r="T31" s="171">
        <f t="shared" si="4"/>
        <v>0</v>
      </c>
      <c r="U31" s="171">
        <f t="shared" si="5"/>
        <v>0</v>
      </c>
    </row>
    <row r="32" spans="1:21" x14ac:dyDescent="0.25">
      <c r="A32" s="135">
        <f t="shared" si="0"/>
        <v>26</v>
      </c>
      <c r="B32" s="170">
        <v>361.02</v>
      </c>
      <c r="C32" s="135" t="s">
        <v>229</v>
      </c>
      <c r="D32" s="166" t="s">
        <v>230</v>
      </c>
      <c r="E32" s="171">
        <v>7274465.1559340004</v>
      </c>
      <c r="F32" s="171">
        <v>3608216.6419459647</v>
      </c>
      <c r="G32" s="171">
        <v>1062478.7889036175</v>
      </c>
      <c r="H32" s="171">
        <v>1276230.6404620162</v>
      </c>
      <c r="I32" s="171">
        <v>795970.25599712576</v>
      </c>
      <c r="J32" s="171">
        <v>524416.23448540224</v>
      </c>
      <c r="K32" s="171">
        <v>0</v>
      </c>
      <c r="L32" s="171">
        <v>0</v>
      </c>
      <c r="M32" s="171">
        <v>0</v>
      </c>
      <c r="N32" s="171">
        <v>6370.6521564746727</v>
      </c>
      <c r="O32" s="171">
        <v>781.94198339942272</v>
      </c>
      <c r="P32" s="166"/>
      <c r="Q32" s="171">
        <v>460324.0468270792</v>
      </c>
      <c r="R32" s="171">
        <v>0</v>
      </c>
      <c r="S32" s="171">
        <v>64092.187658322975</v>
      </c>
      <c r="T32" s="171">
        <f t="shared" si="4"/>
        <v>524416.23448540224</v>
      </c>
      <c r="U32" s="171">
        <f t="shared" si="5"/>
        <v>460324.0468270792</v>
      </c>
    </row>
    <row r="33" spans="1:21" x14ac:dyDescent="0.25">
      <c r="A33" s="135">
        <f t="shared" si="0"/>
        <v>27</v>
      </c>
      <c r="B33" s="170">
        <v>362.01</v>
      </c>
      <c r="C33" s="135" t="s">
        <v>231</v>
      </c>
      <c r="D33" s="166" t="s">
        <v>232</v>
      </c>
      <c r="E33" s="171">
        <v>35097708.251315653</v>
      </c>
      <c r="F33" s="171">
        <v>0</v>
      </c>
      <c r="G33" s="171">
        <v>0</v>
      </c>
      <c r="H33" s="171">
        <v>0</v>
      </c>
      <c r="I33" s="171">
        <v>0</v>
      </c>
      <c r="J33" s="171">
        <v>761541.00886707939</v>
      </c>
      <c r="K33" s="171">
        <v>13560393.247539967</v>
      </c>
      <c r="L33" s="171">
        <v>14201762.606173621</v>
      </c>
      <c r="M33" s="171">
        <v>6574011.3887349814</v>
      </c>
      <c r="N33" s="171">
        <v>0</v>
      </c>
      <c r="O33" s="171">
        <v>0</v>
      </c>
      <c r="P33" s="166"/>
      <c r="Q33" s="171">
        <v>761541.00886707939</v>
      </c>
      <c r="R33" s="171">
        <v>0</v>
      </c>
      <c r="S33" s="171">
        <v>0</v>
      </c>
      <c r="T33" s="171">
        <f t="shared" si="4"/>
        <v>761541.00886707939</v>
      </c>
      <c r="U33" s="171">
        <f t="shared" si="5"/>
        <v>761541.00886707939</v>
      </c>
    </row>
    <row r="34" spans="1:21" x14ac:dyDescent="0.25">
      <c r="A34" s="135">
        <f t="shared" si="0"/>
        <v>28</v>
      </c>
      <c r="B34" s="170">
        <v>362.02</v>
      </c>
      <c r="C34" s="135" t="s">
        <v>233</v>
      </c>
      <c r="D34" s="166" t="s">
        <v>234</v>
      </c>
      <c r="E34" s="171">
        <v>382771525.11910033</v>
      </c>
      <c r="F34" s="171">
        <v>208447896.19434407</v>
      </c>
      <c r="G34" s="171">
        <v>53924614.375055522</v>
      </c>
      <c r="H34" s="171">
        <v>58078548.225764371</v>
      </c>
      <c r="I34" s="171">
        <v>32918182.582390293</v>
      </c>
      <c r="J34" s="171">
        <v>28923531.712034073</v>
      </c>
      <c r="K34" s="171">
        <v>0</v>
      </c>
      <c r="L34" s="171">
        <v>0</v>
      </c>
      <c r="M34" s="171">
        <v>0</v>
      </c>
      <c r="N34" s="171">
        <v>369107.23564576328</v>
      </c>
      <c r="O34" s="171">
        <v>109644.79386626516</v>
      </c>
      <c r="P34" s="166"/>
      <c r="Q34" s="171">
        <v>25531157.873123337</v>
      </c>
      <c r="R34" s="171">
        <v>93281.092550123896</v>
      </c>
      <c r="S34" s="171">
        <v>3299092.7463606107</v>
      </c>
      <c r="T34" s="171">
        <f t="shared" si="4"/>
        <v>28923531.712034073</v>
      </c>
      <c r="U34" s="171">
        <f t="shared" si="5"/>
        <v>25624438.965673462</v>
      </c>
    </row>
    <row r="35" spans="1:21" x14ac:dyDescent="0.25">
      <c r="A35" s="135">
        <f t="shared" si="0"/>
        <v>29</v>
      </c>
      <c r="B35" s="170">
        <v>363.01</v>
      </c>
      <c r="C35" s="135" t="s">
        <v>235</v>
      </c>
      <c r="D35" s="166" t="s">
        <v>236</v>
      </c>
      <c r="E35" s="171">
        <v>2897295.0557666672</v>
      </c>
      <c r="F35" s="171">
        <v>1577795.1581976237</v>
      </c>
      <c r="G35" s="171">
        <v>408169.12534013449</v>
      </c>
      <c r="H35" s="171">
        <v>439611.30747187947</v>
      </c>
      <c r="I35" s="171">
        <v>249166.09878728064</v>
      </c>
      <c r="J35" s="171">
        <v>218929.57005752227</v>
      </c>
      <c r="K35" s="171">
        <v>0</v>
      </c>
      <c r="L35" s="171">
        <v>0</v>
      </c>
      <c r="M35" s="171">
        <v>0</v>
      </c>
      <c r="N35" s="171">
        <v>2793.8665723669537</v>
      </c>
      <c r="O35" s="171">
        <v>829.92933985996103</v>
      </c>
      <c r="P35" s="166"/>
      <c r="Q35" s="171">
        <v>193251.82940601997</v>
      </c>
      <c r="R35" s="171">
        <v>706.06832145597537</v>
      </c>
      <c r="S35" s="171">
        <v>24971.672330046335</v>
      </c>
      <c r="T35" s="171">
        <f t="shared" si="4"/>
        <v>218929.57005752227</v>
      </c>
      <c r="U35" s="171">
        <f t="shared" si="5"/>
        <v>193957.89772747594</v>
      </c>
    </row>
    <row r="36" spans="1:21" x14ac:dyDescent="0.25">
      <c r="A36" s="135">
        <f t="shared" si="0"/>
        <v>30</v>
      </c>
      <c r="B36" s="170">
        <v>364.01</v>
      </c>
      <c r="C36" s="135" t="s">
        <v>237</v>
      </c>
      <c r="D36" s="166" t="s">
        <v>238</v>
      </c>
      <c r="E36" s="171">
        <v>332822112.07291597</v>
      </c>
      <c r="F36" s="171">
        <v>226091887.13043806</v>
      </c>
      <c r="G36" s="171">
        <v>43352567.342443854</v>
      </c>
      <c r="H36" s="171">
        <v>33490237.154935446</v>
      </c>
      <c r="I36" s="171">
        <v>13954934.590092976</v>
      </c>
      <c r="J36" s="171">
        <v>15478495.486796165</v>
      </c>
      <c r="K36" s="171">
        <v>0</v>
      </c>
      <c r="L36" s="171">
        <v>0</v>
      </c>
      <c r="M36" s="171">
        <v>0</v>
      </c>
      <c r="N36" s="171">
        <v>217794.93714399997</v>
      </c>
      <c r="O36" s="171">
        <v>236195.43106553608</v>
      </c>
      <c r="P36" s="166"/>
      <c r="Q36" s="171">
        <v>11887388.182182193</v>
      </c>
      <c r="R36" s="171">
        <v>266305.33020986785</v>
      </c>
      <c r="S36" s="171">
        <v>3324801.9744041041</v>
      </c>
      <c r="T36" s="171">
        <f t="shared" si="4"/>
        <v>15478495.486796165</v>
      </c>
      <c r="U36" s="171">
        <f t="shared" si="5"/>
        <v>12153693.512392061</v>
      </c>
    </row>
    <row r="37" spans="1:21" x14ac:dyDescent="0.25">
      <c r="A37" s="135">
        <f t="shared" si="0"/>
        <v>31</v>
      </c>
      <c r="B37" s="170">
        <v>365.01</v>
      </c>
      <c r="C37" s="135" t="s">
        <v>239</v>
      </c>
      <c r="D37" s="166" t="s">
        <v>240</v>
      </c>
      <c r="E37" s="171">
        <v>1570594.1159978251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1570594.1159978251</v>
      </c>
      <c r="L37" s="171">
        <v>0</v>
      </c>
      <c r="M37" s="171">
        <v>0</v>
      </c>
      <c r="N37" s="171">
        <v>0</v>
      </c>
      <c r="O37" s="171">
        <v>0</v>
      </c>
      <c r="P37" s="166"/>
      <c r="Q37" s="171">
        <v>0</v>
      </c>
      <c r="R37" s="171">
        <v>0</v>
      </c>
      <c r="S37" s="171">
        <v>0</v>
      </c>
      <c r="T37" s="171">
        <f t="shared" si="4"/>
        <v>0</v>
      </c>
      <c r="U37" s="171">
        <f t="shared" si="5"/>
        <v>0</v>
      </c>
    </row>
    <row r="38" spans="1:21" x14ac:dyDescent="0.25">
      <c r="A38" s="135">
        <f t="shared" si="0"/>
        <v>32</v>
      </c>
      <c r="B38" s="170">
        <v>365.02</v>
      </c>
      <c r="C38" s="135" t="s">
        <v>241</v>
      </c>
      <c r="D38" s="166" t="s">
        <v>238</v>
      </c>
      <c r="E38" s="171">
        <v>390472823.71608514</v>
      </c>
      <c r="F38" s="171">
        <v>265255024.78567058</v>
      </c>
      <c r="G38" s="171">
        <v>50862003.369046398</v>
      </c>
      <c r="H38" s="171">
        <v>39291342.114745148</v>
      </c>
      <c r="I38" s="171">
        <v>16372177.558241922</v>
      </c>
      <c r="J38" s="171">
        <v>18159646.310644921</v>
      </c>
      <c r="K38" s="171">
        <v>0</v>
      </c>
      <c r="L38" s="171">
        <v>0</v>
      </c>
      <c r="M38" s="171">
        <v>0</v>
      </c>
      <c r="N38" s="171">
        <v>255520.89543573774</v>
      </c>
      <c r="O38" s="171">
        <v>277108.6823005082</v>
      </c>
      <c r="P38" s="166"/>
      <c r="Q38" s="171">
        <v>13946495.32507317</v>
      </c>
      <c r="R38" s="171">
        <v>312434.15171558713</v>
      </c>
      <c r="S38" s="171">
        <v>3900716.8338561621</v>
      </c>
      <c r="T38" s="171">
        <f t="shared" si="4"/>
        <v>18159646.310644921</v>
      </c>
      <c r="U38" s="171">
        <f t="shared" si="5"/>
        <v>14258929.476788757</v>
      </c>
    </row>
    <row r="39" spans="1:21" x14ac:dyDescent="0.25">
      <c r="A39" s="135">
        <f>+A37+1</f>
        <v>32</v>
      </c>
      <c r="B39" s="170">
        <v>366.01</v>
      </c>
      <c r="C39" s="135" t="s">
        <v>242</v>
      </c>
      <c r="D39" s="166" t="s">
        <v>243</v>
      </c>
      <c r="E39" s="171">
        <v>32721604.036191806</v>
      </c>
      <c r="F39" s="171">
        <v>0</v>
      </c>
      <c r="G39" s="171">
        <v>0</v>
      </c>
      <c r="H39" s="171">
        <v>0</v>
      </c>
      <c r="I39" s="171">
        <v>0</v>
      </c>
      <c r="J39" s="171">
        <v>0</v>
      </c>
      <c r="K39" s="171">
        <v>26065398.946191806</v>
      </c>
      <c r="L39" s="171">
        <v>6656205.0899999999</v>
      </c>
      <c r="M39" s="171">
        <v>0</v>
      </c>
      <c r="N39" s="171">
        <v>0</v>
      </c>
      <c r="O39" s="171">
        <v>0</v>
      </c>
      <c r="P39" s="166"/>
      <c r="Q39" s="171">
        <v>0</v>
      </c>
      <c r="R39" s="171">
        <v>0</v>
      </c>
      <c r="S39" s="171">
        <v>0</v>
      </c>
      <c r="T39" s="171">
        <f t="shared" si="4"/>
        <v>0</v>
      </c>
      <c r="U39" s="171">
        <f t="shared" si="5"/>
        <v>0</v>
      </c>
    </row>
    <row r="40" spans="1:21" x14ac:dyDescent="0.25">
      <c r="A40" s="135">
        <f t="shared" si="0"/>
        <v>33</v>
      </c>
      <c r="B40" s="170">
        <v>366.02</v>
      </c>
      <c r="C40" s="135" t="s">
        <v>244</v>
      </c>
      <c r="D40" s="166" t="s">
        <v>245</v>
      </c>
      <c r="E40" s="171">
        <v>626101392.58839118</v>
      </c>
      <c r="F40" s="171">
        <v>418008234.76924467</v>
      </c>
      <c r="G40" s="171">
        <v>77352113.352016091</v>
      </c>
      <c r="H40" s="171">
        <v>71386684.267556116</v>
      </c>
      <c r="I40" s="171">
        <v>30653550.071890745</v>
      </c>
      <c r="J40" s="171">
        <v>28229217.049654607</v>
      </c>
      <c r="K40" s="171">
        <v>0</v>
      </c>
      <c r="L40" s="171">
        <v>0</v>
      </c>
      <c r="M40" s="171">
        <v>0</v>
      </c>
      <c r="N40" s="171">
        <v>306312.14811090985</v>
      </c>
      <c r="O40" s="171">
        <v>165280.92991817844</v>
      </c>
      <c r="P40" s="166"/>
      <c r="Q40" s="171">
        <v>20866238.789438609</v>
      </c>
      <c r="R40" s="171">
        <v>232286.71231744002</v>
      </c>
      <c r="S40" s="171">
        <v>7130691.547898557</v>
      </c>
      <c r="T40" s="171">
        <f t="shared" si="4"/>
        <v>28229217.049654607</v>
      </c>
      <c r="U40" s="171">
        <f t="shared" si="5"/>
        <v>21098525.50175605</v>
      </c>
    </row>
    <row r="41" spans="1:21" x14ac:dyDescent="0.25">
      <c r="A41" s="135">
        <f t="shared" si="0"/>
        <v>34</v>
      </c>
      <c r="B41" s="170">
        <v>367.01</v>
      </c>
      <c r="C41" s="135" t="s">
        <v>246</v>
      </c>
      <c r="D41" s="166" t="s">
        <v>245</v>
      </c>
      <c r="E41" s="171">
        <v>839507907.99583304</v>
      </c>
      <c r="F41" s="171">
        <v>560486245.27954161</v>
      </c>
      <c r="G41" s="171">
        <v>103717563.36580877</v>
      </c>
      <c r="H41" s="171">
        <v>95718819.152369767</v>
      </c>
      <c r="I41" s="171">
        <v>41101805.551191904</v>
      </c>
      <c r="J41" s="171">
        <v>37851139.176902786</v>
      </c>
      <c r="K41" s="171">
        <v>0</v>
      </c>
      <c r="L41" s="171">
        <v>0</v>
      </c>
      <c r="M41" s="171">
        <v>0</v>
      </c>
      <c r="N41" s="171">
        <v>410718.57321894681</v>
      </c>
      <c r="O41" s="171">
        <v>221616.89679939006</v>
      </c>
      <c r="P41" s="166"/>
      <c r="Q41" s="171">
        <v>27978491.473152347</v>
      </c>
      <c r="R41" s="171">
        <v>311461.58469103469</v>
      </c>
      <c r="S41" s="171">
        <v>9561186.1190594006</v>
      </c>
      <c r="T41" s="171">
        <f t="shared" si="4"/>
        <v>37851139.176902786</v>
      </c>
      <c r="U41" s="171">
        <f t="shared" si="5"/>
        <v>28289953.057843383</v>
      </c>
    </row>
    <row r="42" spans="1:21" x14ac:dyDescent="0.25">
      <c r="A42" s="135">
        <f t="shared" si="0"/>
        <v>35</v>
      </c>
      <c r="B42" s="170" t="s">
        <v>247</v>
      </c>
      <c r="C42" s="135" t="s">
        <v>248</v>
      </c>
      <c r="D42" s="166" t="s">
        <v>249</v>
      </c>
      <c r="E42" s="171">
        <v>158181415.66</v>
      </c>
      <c r="F42" s="171">
        <v>115526683.12460129</v>
      </c>
      <c r="G42" s="171">
        <v>18108248.172830954</v>
      </c>
      <c r="H42" s="171">
        <v>2322391.4985946612</v>
      </c>
      <c r="I42" s="171">
        <v>29481.619275960766</v>
      </c>
      <c r="J42" s="171">
        <v>0</v>
      </c>
      <c r="K42" s="171">
        <v>0</v>
      </c>
      <c r="L42" s="171">
        <v>0</v>
      </c>
      <c r="M42" s="171">
        <v>0</v>
      </c>
      <c r="N42" s="171">
        <v>22194611.244697127</v>
      </c>
      <c r="O42" s="171">
        <v>0</v>
      </c>
      <c r="P42" s="166"/>
      <c r="Q42" s="171">
        <v>0</v>
      </c>
      <c r="R42" s="171">
        <v>0</v>
      </c>
      <c r="S42" s="171">
        <v>0</v>
      </c>
      <c r="T42" s="171">
        <f t="shared" si="4"/>
        <v>0</v>
      </c>
      <c r="U42" s="171">
        <f t="shared" si="5"/>
        <v>0</v>
      </c>
    </row>
    <row r="43" spans="1:21" x14ac:dyDescent="0.25">
      <c r="A43" s="135">
        <f t="shared" si="0"/>
        <v>36</v>
      </c>
      <c r="B43" s="170" t="s">
        <v>250</v>
      </c>
      <c r="C43" s="135" t="s">
        <v>251</v>
      </c>
      <c r="D43" s="166" t="s">
        <v>252</v>
      </c>
      <c r="E43" s="171">
        <v>296187610.29000002</v>
      </c>
      <c r="F43" s="171">
        <v>217855494.88272569</v>
      </c>
      <c r="G43" s="171">
        <v>42928899.365865998</v>
      </c>
      <c r="H43" s="171">
        <v>25988517.945842933</v>
      </c>
      <c r="I43" s="171">
        <v>8714606.3912499603</v>
      </c>
      <c r="J43" s="171">
        <v>0</v>
      </c>
      <c r="K43" s="171">
        <v>0</v>
      </c>
      <c r="L43" s="171">
        <v>0</v>
      </c>
      <c r="M43" s="171">
        <v>0</v>
      </c>
      <c r="N43" s="171">
        <v>682591.23001439066</v>
      </c>
      <c r="O43" s="171">
        <v>17500.474301096579</v>
      </c>
      <c r="P43" s="166"/>
      <c r="Q43" s="171">
        <v>0</v>
      </c>
      <c r="R43" s="171">
        <v>0</v>
      </c>
      <c r="S43" s="171">
        <v>0</v>
      </c>
      <c r="T43" s="171">
        <f t="shared" si="4"/>
        <v>0</v>
      </c>
      <c r="U43" s="171">
        <f t="shared" si="5"/>
        <v>0</v>
      </c>
    </row>
    <row r="44" spans="1:21" x14ac:dyDescent="0.25">
      <c r="A44" s="135">
        <f t="shared" si="0"/>
        <v>37</v>
      </c>
      <c r="B44" s="170">
        <v>368.03</v>
      </c>
      <c r="C44" s="135" t="s">
        <v>253</v>
      </c>
      <c r="D44" s="166" t="s">
        <v>254</v>
      </c>
      <c r="E44" s="171">
        <v>2959610.05</v>
      </c>
      <c r="F44" s="171">
        <v>0</v>
      </c>
      <c r="G44" s="171">
        <v>0</v>
      </c>
      <c r="H44" s="171">
        <v>0</v>
      </c>
      <c r="I44" s="171">
        <v>0</v>
      </c>
      <c r="J44" s="171">
        <v>860858.16999999993</v>
      </c>
      <c r="K44" s="171">
        <v>2079354.69</v>
      </c>
      <c r="L44" s="171">
        <v>0</v>
      </c>
      <c r="M44" s="171">
        <v>0</v>
      </c>
      <c r="N44" s="171">
        <v>0</v>
      </c>
      <c r="O44" s="171">
        <v>19397.189999999995</v>
      </c>
      <c r="P44" s="166"/>
      <c r="Q44" s="171">
        <v>813608.53999999992</v>
      </c>
      <c r="R44" s="171">
        <v>0</v>
      </c>
      <c r="S44" s="171">
        <v>47249.63</v>
      </c>
      <c r="T44" s="171">
        <f t="shared" si="4"/>
        <v>860858.16999999993</v>
      </c>
      <c r="U44" s="171">
        <f t="shared" si="5"/>
        <v>813608.53999999992</v>
      </c>
    </row>
    <row r="45" spans="1:21" x14ac:dyDescent="0.25">
      <c r="A45" s="135">
        <f t="shared" si="0"/>
        <v>38</v>
      </c>
      <c r="B45" s="170" t="s">
        <v>255</v>
      </c>
      <c r="C45" s="135" t="s">
        <v>256</v>
      </c>
      <c r="D45" s="166" t="s">
        <v>257</v>
      </c>
      <c r="E45" s="171">
        <v>39681227</v>
      </c>
      <c r="F45" s="171">
        <v>34421864.686668307</v>
      </c>
      <c r="G45" s="171">
        <v>5076816.6766513577</v>
      </c>
      <c r="H45" s="171">
        <v>179788.74464848876</v>
      </c>
      <c r="I45" s="171">
        <v>2756.892031849773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66"/>
      <c r="Q45" s="171">
        <v>0</v>
      </c>
      <c r="R45" s="171">
        <v>0</v>
      </c>
      <c r="S45" s="171">
        <v>0</v>
      </c>
      <c r="T45" s="171">
        <f t="shared" si="4"/>
        <v>0</v>
      </c>
      <c r="U45" s="171">
        <f t="shared" si="5"/>
        <v>0</v>
      </c>
    </row>
    <row r="46" spans="1:21" x14ac:dyDescent="0.25">
      <c r="A46" s="135">
        <f t="shared" si="0"/>
        <v>39</v>
      </c>
      <c r="B46" s="170" t="s">
        <v>258</v>
      </c>
      <c r="C46" s="135" t="s">
        <v>259</v>
      </c>
      <c r="D46" s="166" t="s">
        <v>260</v>
      </c>
      <c r="E46" s="171">
        <v>141200591</v>
      </c>
      <c r="F46" s="171">
        <v>141200591</v>
      </c>
      <c r="G46" s="171">
        <v>0</v>
      </c>
      <c r="H46" s="171">
        <v>0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66"/>
      <c r="Q46" s="171">
        <v>0</v>
      </c>
      <c r="R46" s="171">
        <v>0</v>
      </c>
      <c r="S46" s="171">
        <v>0</v>
      </c>
      <c r="T46" s="171">
        <f t="shared" si="4"/>
        <v>0</v>
      </c>
      <c r="U46" s="171">
        <f t="shared" si="5"/>
        <v>0</v>
      </c>
    </row>
    <row r="47" spans="1:21" x14ac:dyDescent="0.25">
      <c r="A47" s="135">
        <f t="shared" si="0"/>
        <v>40</v>
      </c>
      <c r="B47" s="170">
        <v>370.01</v>
      </c>
      <c r="C47" s="135" t="s">
        <v>261</v>
      </c>
      <c r="D47" s="166" t="s">
        <v>262</v>
      </c>
      <c r="E47" s="171">
        <v>136044280.14375001</v>
      </c>
      <c r="F47" s="171">
        <v>88452023.525747895</v>
      </c>
      <c r="G47" s="171">
        <v>25069993.600194659</v>
      </c>
      <c r="H47" s="171">
        <v>6816310.6654023929</v>
      </c>
      <c r="I47" s="171">
        <v>777623.28688800591</v>
      </c>
      <c r="J47" s="171">
        <v>12956708.119440977</v>
      </c>
      <c r="K47" s="171">
        <v>766009.46925425529</v>
      </c>
      <c r="L47" s="171">
        <v>418776.31203883816</v>
      </c>
      <c r="M47" s="171">
        <v>588094.24947242113</v>
      </c>
      <c r="N47" s="171">
        <v>0</v>
      </c>
      <c r="O47" s="171">
        <v>198740.91531056986</v>
      </c>
      <c r="P47" s="166"/>
      <c r="Q47" s="171">
        <v>9590070.5189442951</v>
      </c>
      <c r="R47" s="171">
        <v>22484.476366603812</v>
      </c>
      <c r="S47" s="171">
        <v>3344153.1241300781</v>
      </c>
      <c r="T47" s="171">
        <f t="shared" si="4"/>
        <v>12956708.119440977</v>
      </c>
      <c r="U47" s="171">
        <f t="shared" si="5"/>
        <v>9612554.9953108989</v>
      </c>
    </row>
    <row r="48" spans="1:21" x14ac:dyDescent="0.25">
      <c r="A48" s="135">
        <f t="shared" si="0"/>
        <v>41</v>
      </c>
      <c r="B48" s="170">
        <v>373</v>
      </c>
      <c r="C48" s="135" t="s">
        <v>263</v>
      </c>
      <c r="D48" s="166" t="s">
        <v>264</v>
      </c>
      <c r="E48" s="171">
        <v>52258330.571666598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52258330.571666598</v>
      </c>
      <c r="O48" s="171">
        <v>0</v>
      </c>
      <c r="P48" s="166"/>
      <c r="Q48" s="171">
        <v>0</v>
      </c>
      <c r="R48" s="171">
        <v>0</v>
      </c>
      <c r="S48" s="171">
        <v>0</v>
      </c>
      <c r="T48" s="171">
        <f t="shared" si="4"/>
        <v>0</v>
      </c>
      <c r="U48" s="171">
        <f t="shared" si="5"/>
        <v>0</v>
      </c>
    </row>
    <row r="49" spans="1:21" x14ac:dyDescent="0.25">
      <c r="A49" s="135">
        <f t="shared" si="0"/>
        <v>42</v>
      </c>
      <c r="B49" s="170">
        <v>374</v>
      </c>
      <c r="C49" s="135" t="s">
        <v>265</v>
      </c>
      <c r="D49" s="166" t="s">
        <v>266</v>
      </c>
      <c r="E49" s="171">
        <v>2659127.9012499899</v>
      </c>
      <c r="F49" s="171">
        <v>1758052.5926942304</v>
      </c>
      <c r="G49" s="171">
        <v>329262.86303178634</v>
      </c>
      <c r="H49" s="171">
        <v>286924.90902881743</v>
      </c>
      <c r="I49" s="171">
        <v>122099.12451455314</v>
      </c>
      <c r="J49" s="171">
        <v>119271.62001902043</v>
      </c>
      <c r="K49" s="171">
        <v>33054.946962483315</v>
      </c>
      <c r="L49" s="171">
        <v>7961.3750707726149</v>
      </c>
      <c r="M49" s="171">
        <v>0</v>
      </c>
      <c r="N49" s="171">
        <v>1423.7535129609316</v>
      </c>
      <c r="O49" s="171">
        <v>1076.7164153655633</v>
      </c>
      <c r="P49" s="166"/>
      <c r="Q49" s="171">
        <v>89321.835182081355</v>
      </c>
      <c r="R49" s="171">
        <v>1342.5887723738256</v>
      </c>
      <c r="S49" s="171">
        <v>28607.196064565243</v>
      </c>
      <c r="T49" s="171">
        <f t="shared" si="4"/>
        <v>119271.62001902043</v>
      </c>
      <c r="U49" s="171">
        <f t="shared" si="5"/>
        <v>90664.423954455182</v>
      </c>
    </row>
    <row r="50" spans="1:21" x14ac:dyDescent="0.25">
      <c r="A50" s="138">
        <f>+A49+1</f>
        <v>43</v>
      </c>
      <c r="B50" s="172"/>
      <c r="C50" s="138" t="s">
        <v>213</v>
      </c>
      <c r="D50" s="173"/>
      <c r="E50" s="174">
        <f t="shared" ref="E50:U50" si="6">SUM(E29:E49)</f>
        <v>3527148862.6370139</v>
      </c>
      <c r="F50" s="174">
        <f t="shared" si="6"/>
        <v>2299342340.018415</v>
      </c>
      <c r="G50" s="174">
        <f t="shared" si="6"/>
        <v>428703775.94542003</v>
      </c>
      <c r="H50" s="174">
        <f t="shared" si="6"/>
        <v>343466153.60354096</v>
      </c>
      <c r="I50" s="174">
        <f t="shared" si="6"/>
        <v>150343032.37745991</v>
      </c>
      <c r="J50" s="174">
        <f t="shared" si="6"/>
        <v>148717079.65869099</v>
      </c>
      <c r="K50" s="174">
        <f t="shared" si="6"/>
        <v>49040986.247465841</v>
      </c>
      <c r="L50" s="174">
        <f t="shared" si="6"/>
        <v>22190302.912372835</v>
      </c>
      <c r="M50" s="174">
        <f t="shared" si="6"/>
        <v>7355148.9182074033</v>
      </c>
      <c r="N50" s="174">
        <f t="shared" si="6"/>
        <v>76739180.844973132</v>
      </c>
      <c r="O50" s="174">
        <f t="shared" si="6"/>
        <v>1250862.1104684644</v>
      </c>
      <c r="P50" s="166"/>
      <c r="Q50" s="174">
        <f t="shared" si="6"/>
        <v>116529051.77462205</v>
      </c>
      <c r="R50" s="174">
        <f t="shared" si="6"/>
        <v>1241127.8252987426</v>
      </c>
      <c r="S50" s="174">
        <f t="shared" si="6"/>
        <v>30946900.058770202</v>
      </c>
      <c r="T50" s="174">
        <f t="shared" si="6"/>
        <v>148717079.65869099</v>
      </c>
      <c r="U50" s="174">
        <f t="shared" si="6"/>
        <v>117770179.59992082</v>
      </c>
    </row>
    <row r="51" spans="1:21" x14ac:dyDescent="0.25">
      <c r="A51" s="135">
        <f t="shared" si="0"/>
        <v>44</v>
      </c>
      <c r="B51" s="170"/>
      <c r="C51" s="135"/>
      <c r="D51" s="166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66"/>
      <c r="Q51" s="171"/>
      <c r="R51" s="171"/>
      <c r="S51" s="171"/>
      <c r="T51" s="171"/>
      <c r="U51" s="171"/>
    </row>
    <row r="52" spans="1:21" x14ac:dyDescent="0.25">
      <c r="A52" s="135">
        <f t="shared" si="0"/>
        <v>45</v>
      </c>
      <c r="B52" s="170"/>
      <c r="C52" s="137" t="s">
        <v>211</v>
      </c>
      <c r="D52" s="166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66"/>
      <c r="Q52" s="171"/>
      <c r="R52" s="171"/>
      <c r="S52" s="171"/>
      <c r="T52" s="171"/>
      <c r="U52" s="171"/>
    </row>
    <row r="53" spans="1:21" x14ac:dyDescent="0.25">
      <c r="A53" s="135">
        <f t="shared" si="0"/>
        <v>46</v>
      </c>
      <c r="B53" s="170">
        <v>389</v>
      </c>
      <c r="C53" s="135" t="s">
        <v>267</v>
      </c>
      <c r="D53" s="166" t="s">
        <v>268</v>
      </c>
      <c r="E53" s="171">
        <v>34591566.081577167</v>
      </c>
      <c r="F53" s="171">
        <v>21196251.456623383</v>
      </c>
      <c r="G53" s="171">
        <v>4264016.5237157997</v>
      </c>
      <c r="H53" s="171">
        <v>3545951.8268920393</v>
      </c>
      <c r="I53" s="171">
        <v>2029993.6710878559</v>
      </c>
      <c r="J53" s="171">
        <v>1588216.6084786507</v>
      </c>
      <c r="K53" s="171">
        <v>641359.77412514307</v>
      </c>
      <c r="L53" s="171">
        <v>526761.90552403813</v>
      </c>
      <c r="M53" s="171">
        <v>373862.6239287486</v>
      </c>
      <c r="N53" s="171">
        <v>414806.94783389103</v>
      </c>
      <c r="O53" s="171">
        <v>10344.743367623774</v>
      </c>
      <c r="P53" s="166"/>
      <c r="Q53" s="171">
        <v>1398934.7289931579</v>
      </c>
      <c r="R53" s="171">
        <v>7042.0194862059434</v>
      </c>
      <c r="S53" s="171">
        <v>182239.859999287</v>
      </c>
      <c r="T53" s="171">
        <f t="shared" ref="T53:T63" si="7">SUM(Q53:S53)</f>
        <v>1588216.6084786507</v>
      </c>
      <c r="U53" s="171">
        <f t="shared" ref="U53:U63" si="8">SUM(Q53:R53)</f>
        <v>1405976.7484793637</v>
      </c>
    </row>
    <row r="54" spans="1:21" x14ac:dyDescent="0.25">
      <c r="A54" s="135">
        <f t="shared" si="0"/>
        <v>47</v>
      </c>
      <c r="B54" s="170">
        <v>390</v>
      </c>
      <c r="C54" s="135" t="s">
        <v>269</v>
      </c>
      <c r="D54" s="166" t="s">
        <v>268</v>
      </c>
      <c r="E54" s="171">
        <v>140669439.09722066</v>
      </c>
      <c r="F54" s="171">
        <v>86196294.100567997</v>
      </c>
      <c r="G54" s="171">
        <v>17339972.734331727</v>
      </c>
      <c r="H54" s="171">
        <v>14419903.781700231</v>
      </c>
      <c r="I54" s="171">
        <v>8255135.6712039579</v>
      </c>
      <c r="J54" s="171">
        <v>6458613.0316478452</v>
      </c>
      <c r="K54" s="171">
        <v>2608142.0966295404</v>
      </c>
      <c r="L54" s="171">
        <v>2142120.4698596606</v>
      </c>
      <c r="M54" s="171">
        <v>1520343.0074095784</v>
      </c>
      <c r="N54" s="171">
        <v>1686846.4569605018</v>
      </c>
      <c r="O54" s="171">
        <v>42067.746909653135</v>
      </c>
      <c r="P54" s="166"/>
      <c r="Q54" s="171">
        <v>5688882.7524318192</v>
      </c>
      <c r="R54" s="171">
        <v>28636.94950671406</v>
      </c>
      <c r="S54" s="171">
        <v>741093.32970931206</v>
      </c>
      <c r="T54" s="171">
        <f t="shared" si="7"/>
        <v>6458613.0316478452</v>
      </c>
      <c r="U54" s="171">
        <f t="shared" si="8"/>
        <v>5717519.7019385332</v>
      </c>
    </row>
    <row r="55" spans="1:21" x14ac:dyDescent="0.25">
      <c r="A55" s="135">
        <f t="shared" si="0"/>
        <v>48</v>
      </c>
      <c r="B55" s="170">
        <v>391</v>
      </c>
      <c r="C55" s="135" t="s">
        <v>270</v>
      </c>
      <c r="D55" s="166" t="s">
        <v>268</v>
      </c>
      <c r="E55" s="171">
        <v>83991254.610513493</v>
      </c>
      <c r="F55" s="171">
        <v>51466295.243275419</v>
      </c>
      <c r="G55" s="171">
        <v>10353393.560217826</v>
      </c>
      <c r="H55" s="171">
        <v>8609871.6093609575</v>
      </c>
      <c r="I55" s="171">
        <v>4928996.7064219499</v>
      </c>
      <c r="J55" s="171">
        <v>3856324.5510419663</v>
      </c>
      <c r="K55" s="171">
        <v>1557275.8966289109</v>
      </c>
      <c r="L55" s="171">
        <v>1279022.5577428238</v>
      </c>
      <c r="M55" s="171">
        <v>907770.14147612895</v>
      </c>
      <c r="N55" s="171">
        <v>1007186.4305756759</v>
      </c>
      <c r="O55" s="171">
        <v>25117.913771855863</v>
      </c>
      <c r="P55" s="166"/>
      <c r="Q55" s="171">
        <v>3396732.1031160662</v>
      </c>
      <c r="R55" s="171">
        <v>17098.620231395824</v>
      </c>
      <c r="S55" s="171">
        <v>442493.82769450382</v>
      </c>
      <c r="T55" s="171">
        <f t="shared" si="7"/>
        <v>3856324.5510419663</v>
      </c>
      <c r="U55" s="171">
        <f t="shared" si="8"/>
        <v>3413830.7233474622</v>
      </c>
    </row>
    <row r="56" spans="1:21" x14ac:dyDescent="0.25">
      <c r="A56" s="135">
        <f t="shared" si="0"/>
        <v>49</v>
      </c>
      <c r="B56" s="170">
        <v>392</v>
      </c>
      <c r="C56" s="135" t="s">
        <v>271</v>
      </c>
      <c r="D56" s="166" t="s">
        <v>268</v>
      </c>
      <c r="E56" s="171">
        <v>13379543.047083501</v>
      </c>
      <c r="F56" s="171">
        <v>8198419.1791691398</v>
      </c>
      <c r="G56" s="171">
        <v>1649263.0746462501</v>
      </c>
      <c r="H56" s="171">
        <v>1371525.5041908557</v>
      </c>
      <c r="I56" s="171">
        <v>785173.69359845668</v>
      </c>
      <c r="J56" s="171">
        <v>614300.38845654414</v>
      </c>
      <c r="K56" s="171">
        <v>248069.15900651395</v>
      </c>
      <c r="L56" s="171">
        <v>203744.27610191802</v>
      </c>
      <c r="M56" s="171">
        <v>144604.93227608775</v>
      </c>
      <c r="N56" s="171">
        <v>160441.63486800482</v>
      </c>
      <c r="O56" s="171">
        <v>4001.2047697333765</v>
      </c>
      <c r="P56" s="166"/>
      <c r="Q56" s="171">
        <v>541088.75505906716</v>
      </c>
      <c r="R56" s="171">
        <v>2723.7564969419691</v>
      </c>
      <c r="S56" s="171">
        <v>70487.876900534931</v>
      </c>
      <c r="T56" s="171">
        <f t="shared" si="7"/>
        <v>614300.38845654414</v>
      </c>
      <c r="U56" s="171">
        <f t="shared" si="8"/>
        <v>543812.51155600918</v>
      </c>
    </row>
    <row r="57" spans="1:21" x14ac:dyDescent="0.25">
      <c r="A57" s="135">
        <f t="shared" si="0"/>
        <v>50</v>
      </c>
      <c r="B57" s="170">
        <v>393</v>
      </c>
      <c r="C57" s="135" t="s">
        <v>272</v>
      </c>
      <c r="D57" s="166" t="s">
        <v>273</v>
      </c>
      <c r="E57" s="171">
        <v>798002.50228599901</v>
      </c>
      <c r="F57" s="171">
        <v>458913.62032085907</v>
      </c>
      <c r="G57" s="171">
        <v>100388.19309977721</v>
      </c>
      <c r="H57" s="171">
        <v>93341.340857582807</v>
      </c>
      <c r="I57" s="171">
        <v>53929.03868285424</v>
      </c>
      <c r="J57" s="171">
        <v>42110.927340398739</v>
      </c>
      <c r="K57" s="171">
        <v>16976.207996116926</v>
      </c>
      <c r="L57" s="171">
        <v>14064.126749448929</v>
      </c>
      <c r="M57" s="171">
        <v>9419.2684455122089</v>
      </c>
      <c r="N57" s="171">
        <v>8586.759216662409</v>
      </c>
      <c r="O57" s="171">
        <v>273.0195767865788</v>
      </c>
      <c r="P57" s="166"/>
      <c r="Q57" s="171">
        <v>37168.956376645998</v>
      </c>
      <c r="R57" s="171">
        <v>184.29562008332675</v>
      </c>
      <c r="S57" s="171">
        <v>4757.6753436694107</v>
      </c>
      <c r="T57" s="171">
        <f t="shared" si="7"/>
        <v>42110.927340398739</v>
      </c>
      <c r="U57" s="171">
        <f t="shared" si="8"/>
        <v>37353.251996729326</v>
      </c>
    </row>
    <row r="58" spans="1:21" x14ac:dyDescent="0.25">
      <c r="A58" s="135">
        <f t="shared" si="0"/>
        <v>51</v>
      </c>
      <c r="B58" s="170">
        <v>394</v>
      </c>
      <c r="C58" s="135" t="s">
        <v>274</v>
      </c>
      <c r="D58" s="166" t="s">
        <v>275</v>
      </c>
      <c r="E58" s="171">
        <v>13311690.639508801</v>
      </c>
      <c r="F58" s="171">
        <v>7684679.3125205422</v>
      </c>
      <c r="G58" s="171">
        <v>1672244.2690796752</v>
      </c>
      <c r="H58" s="171">
        <v>1548335.022258976</v>
      </c>
      <c r="I58" s="171">
        <v>888877.50079457683</v>
      </c>
      <c r="J58" s="171">
        <v>697790.33896758722</v>
      </c>
      <c r="K58" s="171">
        <v>280010.5591834127</v>
      </c>
      <c r="L58" s="171">
        <v>229796.29916874715</v>
      </c>
      <c r="M58" s="171">
        <v>157624.9663305858</v>
      </c>
      <c r="N58" s="171">
        <v>147774.39828772505</v>
      </c>
      <c r="O58" s="171">
        <v>4557.9729169743132</v>
      </c>
      <c r="P58" s="166"/>
      <c r="Q58" s="171">
        <v>614159.23396979517</v>
      </c>
      <c r="R58" s="171">
        <v>3123.589844132503</v>
      </c>
      <c r="S58" s="171">
        <v>80507.515153659537</v>
      </c>
      <c r="T58" s="171">
        <f t="shared" si="7"/>
        <v>697790.33896758722</v>
      </c>
      <c r="U58" s="171">
        <f t="shared" si="8"/>
        <v>617282.82381392771</v>
      </c>
    </row>
    <row r="59" spans="1:21" x14ac:dyDescent="0.25">
      <c r="A59" s="135">
        <f t="shared" si="0"/>
        <v>52</v>
      </c>
      <c r="B59" s="170">
        <v>395</v>
      </c>
      <c r="C59" s="135" t="s">
        <v>276</v>
      </c>
      <c r="D59" s="166" t="s">
        <v>275</v>
      </c>
      <c r="E59" s="171">
        <v>12031126.7299999</v>
      </c>
      <c r="F59" s="171">
        <v>6945425.1298432155</v>
      </c>
      <c r="G59" s="171">
        <v>1511376.9745445356</v>
      </c>
      <c r="H59" s="171">
        <v>1399387.6043067609</v>
      </c>
      <c r="I59" s="171">
        <v>803368.86944810743</v>
      </c>
      <c r="J59" s="171">
        <v>630663.9950129136</v>
      </c>
      <c r="K59" s="171">
        <v>253073.97944443856</v>
      </c>
      <c r="L59" s="171">
        <v>207690.25304558798</v>
      </c>
      <c r="M59" s="171">
        <v>142461.69003558077</v>
      </c>
      <c r="N59" s="171">
        <v>133558.73129836377</v>
      </c>
      <c r="O59" s="171">
        <v>4119.5030203953702</v>
      </c>
      <c r="P59" s="166"/>
      <c r="Q59" s="171">
        <v>555078.07207897352</v>
      </c>
      <c r="R59" s="171">
        <v>2823.105365426783</v>
      </c>
      <c r="S59" s="171">
        <v>72762.817568513332</v>
      </c>
      <c r="T59" s="171">
        <f t="shared" si="7"/>
        <v>630663.9950129136</v>
      </c>
      <c r="U59" s="171">
        <f t="shared" si="8"/>
        <v>557901.17744440027</v>
      </c>
    </row>
    <row r="60" spans="1:21" x14ac:dyDescent="0.25">
      <c r="A60" s="135">
        <f t="shared" si="0"/>
        <v>53</v>
      </c>
      <c r="B60" s="170">
        <v>396</v>
      </c>
      <c r="C60" s="135" t="s">
        <v>277</v>
      </c>
      <c r="D60" s="166" t="s">
        <v>275</v>
      </c>
      <c r="E60" s="171">
        <v>6323256.5831426596</v>
      </c>
      <c r="F60" s="171">
        <v>3650340.1685143705</v>
      </c>
      <c r="G60" s="171">
        <v>794341.59562701662</v>
      </c>
      <c r="H60" s="171">
        <v>735482.8088741306</v>
      </c>
      <c r="I60" s="171">
        <v>422230.40338879923</v>
      </c>
      <c r="J60" s="171">
        <v>331461.07988977106</v>
      </c>
      <c r="K60" s="171">
        <v>133009.29683949641</v>
      </c>
      <c r="L60" s="171">
        <v>109156.75558053823</v>
      </c>
      <c r="M60" s="171">
        <v>74874.269017289524</v>
      </c>
      <c r="N60" s="171">
        <v>70195.098586461943</v>
      </c>
      <c r="O60" s="171">
        <v>2165.1068247862527</v>
      </c>
      <c r="P60" s="166"/>
      <c r="Q60" s="171">
        <v>291735.02633626864</v>
      </c>
      <c r="R60" s="171">
        <v>1483.7529341560194</v>
      </c>
      <c r="S60" s="171">
        <v>38242.300619346403</v>
      </c>
      <c r="T60" s="171">
        <f t="shared" si="7"/>
        <v>331461.07988977106</v>
      </c>
      <c r="U60" s="171">
        <f t="shared" si="8"/>
        <v>293218.77927042468</v>
      </c>
    </row>
    <row r="61" spans="1:21" x14ac:dyDescent="0.25">
      <c r="A61" s="135">
        <f t="shared" si="0"/>
        <v>54</v>
      </c>
      <c r="B61" s="170">
        <v>397</v>
      </c>
      <c r="C61" s="135" t="s">
        <v>278</v>
      </c>
      <c r="D61" s="166" t="s">
        <v>268</v>
      </c>
      <c r="E61" s="171">
        <v>147993975.31044</v>
      </c>
      <c r="F61" s="171">
        <v>90684460.696217626</v>
      </c>
      <c r="G61" s="171">
        <v>18242850.139999568</v>
      </c>
      <c r="H61" s="171">
        <v>15170735.718743825</v>
      </c>
      <c r="I61" s="171">
        <v>8684973.4565596152</v>
      </c>
      <c r="J61" s="171">
        <v>6794907.4346189154</v>
      </c>
      <c r="K61" s="171">
        <v>2743945.8032383518</v>
      </c>
      <c r="L61" s="171">
        <v>2253658.83281369</v>
      </c>
      <c r="M61" s="171">
        <v>1599505.9548539768</v>
      </c>
      <c r="N61" s="171">
        <v>1774679.0952324779</v>
      </c>
      <c r="O61" s="171">
        <v>44258.178161997472</v>
      </c>
      <c r="P61" s="166"/>
      <c r="Q61" s="171">
        <v>5985097.9644946726</v>
      </c>
      <c r="R61" s="171">
        <v>30128.050736975561</v>
      </c>
      <c r="S61" s="171">
        <v>779681.41938726674</v>
      </c>
      <c r="T61" s="171">
        <f t="shared" si="7"/>
        <v>6794907.4346189154</v>
      </c>
      <c r="U61" s="171">
        <f t="shared" si="8"/>
        <v>6015226.0152316485</v>
      </c>
    </row>
    <row r="62" spans="1:21" x14ac:dyDescent="0.25">
      <c r="A62" s="135">
        <f t="shared" si="0"/>
        <v>55</v>
      </c>
      <c r="B62" s="170">
        <v>398</v>
      </c>
      <c r="C62" s="135" t="s">
        <v>279</v>
      </c>
      <c r="D62" s="166" t="s">
        <v>268</v>
      </c>
      <c r="E62" s="171">
        <v>967417.93570825004</v>
      </c>
      <c r="F62" s="171">
        <v>592792.87270663679</v>
      </c>
      <c r="G62" s="171">
        <v>119251.20861746566</v>
      </c>
      <c r="H62" s="171">
        <v>99169.18443076135</v>
      </c>
      <c r="I62" s="171">
        <v>56772.5752038309</v>
      </c>
      <c r="J62" s="171">
        <v>44417.452196541912</v>
      </c>
      <c r="K62" s="171">
        <v>17936.827354599085</v>
      </c>
      <c r="L62" s="171">
        <v>14731.883316587167</v>
      </c>
      <c r="M62" s="171">
        <v>10455.768525387595</v>
      </c>
      <c r="N62" s="171">
        <v>11600.853232390167</v>
      </c>
      <c r="O62" s="171">
        <v>289.31012404980754</v>
      </c>
      <c r="P62" s="166"/>
      <c r="Q62" s="171">
        <v>39123.829910491186</v>
      </c>
      <c r="R62" s="171">
        <v>196.94326468181731</v>
      </c>
      <c r="S62" s="171">
        <v>5096.679021368911</v>
      </c>
      <c r="T62" s="171">
        <f t="shared" si="7"/>
        <v>44417.452196541912</v>
      </c>
      <c r="U62" s="171">
        <f t="shared" si="8"/>
        <v>39320.773175173003</v>
      </c>
    </row>
    <row r="63" spans="1:21" x14ac:dyDescent="0.25">
      <c r="A63" s="135">
        <f t="shared" si="0"/>
        <v>56</v>
      </c>
      <c r="B63" s="170">
        <v>399</v>
      </c>
      <c r="C63" s="135" t="s">
        <v>280</v>
      </c>
      <c r="D63" s="166" t="s">
        <v>268</v>
      </c>
      <c r="E63" s="171">
        <v>545833.37664433336</v>
      </c>
      <c r="F63" s="171">
        <v>334463.65155849012</v>
      </c>
      <c r="G63" s="171">
        <v>67283.526039793287</v>
      </c>
      <c r="H63" s="171">
        <v>55952.912178828337</v>
      </c>
      <c r="I63" s="171">
        <v>32032.036290101118</v>
      </c>
      <c r="J63" s="171">
        <v>25061.069285041965</v>
      </c>
      <c r="K63" s="171">
        <v>10120.257935966001</v>
      </c>
      <c r="L63" s="171">
        <v>8311.9749161319178</v>
      </c>
      <c r="M63" s="171">
        <v>5899.3194450603823</v>
      </c>
      <c r="N63" s="171">
        <v>6545.3953850411908</v>
      </c>
      <c r="O63" s="171">
        <v>163.23360987915441</v>
      </c>
      <c r="P63" s="166"/>
      <c r="Q63" s="171">
        <v>22074.319070452035</v>
      </c>
      <c r="R63" s="171">
        <v>111.11868325031125</v>
      </c>
      <c r="S63" s="171">
        <v>2875.6315313396199</v>
      </c>
      <c r="T63" s="171">
        <f t="shared" si="7"/>
        <v>25061.069285041965</v>
      </c>
      <c r="U63" s="171">
        <f t="shared" si="8"/>
        <v>22185.437753702347</v>
      </c>
    </row>
    <row r="64" spans="1:21" x14ac:dyDescent="0.25">
      <c r="A64" s="138">
        <f t="shared" si="0"/>
        <v>57</v>
      </c>
      <c r="B64" s="172"/>
      <c r="C64" s="138" t="s">
        <v>213</v>
      </c>
      <c r="D64" s="173"/>
      <c r="E64" s="174">
        <f t="shared" ref="E64:N64" si="9">SUM(E53:E63)</f>
        <v>454603105.91412473</v>
      </c>
      <c r="F64" s="174">
        <f t="shared" si="9"/>
        <v>277408335.43131769</v>
      </c>
      <c r="G64" s="174">
        <f t="shared" si="9"/>
        <v>56114381.799919434</v>
      </c>
      <c r="H64" s="174">
        <f t="shared" si="9"/>
        <v>47049657.313794948</v>
      </c>
      <c r="I64" s="174">
        <f t="shared" si="9"/>
        <v>26941483.622680102</v>
      </c>
      <c r="J64" s="174">
        <f t="shared" si="9"/>
        <v>21083866.876936175</v>
      </c>
      <c r="K64" s="174">
        <f t="shared" si="9"/>
        <v>8509919.8583824877</v>
      </c>
      <c r="L64" s="174">
        <f t="shared" si="9"/>
        <v>6989059.3348191706</v>
      </c>
      <c r="M64" s="174">
        <f t="shared" si="9"/>
        <v>4946821.9417439364</v>
      </c>
      <c r="N64" s="174">
        <f t="shared" si="9"/>
        <v>5422221.8014771957</v>
      </c>
      <c r="O64" s="174">
        <f>SUM(O53:O63)</f>
        <v>137357.93305373509</v>
      </c>
      <c r="P64" s="166"/>
      <c r="Q64" s="174">
        <f>SUM(Q53:Q63)</f>
        <v>18570075.741837408</v>
      </c>
      <c r="R64" s="174">
        <f>SUM(R53:R63)</f>
        <v>93552.202169964134</v>
      </c>
      <c r="S64" s="174">
        <f>SUM(S53:S63)</f>
        <v>2420238.9329288015</v>
      </c>
      <c r="T64" s="174">
        <f>SUM(T53:T63)</f>
        <v>21083866.876936175</v>
      </c>
      <c r="U64" s="174">
        <f>SUM(U53:U63)</f>
        <v>18663627.944007378</v>
      </c>
    </row>
    <row r="65" spans="1:21" x14ac:dyDescent="0.25">
      <c r="A65" s="135">
        <f t="shared" si="0"/>
        <v>58</v>
      </c>
      <c r="B65" s="170"/>
      <c r="C65" s="135"/>
      <c r="D65" s="166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66"/>
      <c r="Q65" s="171"/>
      <c r="R65" s="171"/>
      <c r="S65" s="171"/>
      <c r="T65" s="171"/>
      <c r="U65" s="171"/>
    </row>
    <row r="66" spans="1:21" x14ac:dyDescent="0.25">
      <c r="A66" s="138">
        <f t="shared" si="0"/>
        <v>59</v>
      </c>
      <c r="B66" s="172"/>
      <c r="C66" s="138" t="s">
        <v>281</v>
      </c>
      <c r="D66" s="173"/>
      <c r="E66" s="174">
        <f t="shared" ref="E66:N66" si="10">SUM(E64,E50,E26,E20,E14)</f>
        <v>9609442662.6340485</v>
      </c>
      <c r="F66" s="174">
        <f t="shared" si="10"/>
        <v>5545457488.6787891</v>
      </c>
      <c r="G66" s="174">
        <f t="shared" si="10"/>
        <v>1207741046.4684942</v>
      </c>
      <c r="H66" s="174">
        <f t="shared" si="10"/>
        <v>1116587567.8116324</v>
      </c>
      <c r="I66" s="174">
        <f t="shared" si="10"/>
        <v>645442293.35483623</v>
      </c>
      <c r="J66" s="174">
        <f t="shared" si="10"/>
        <v>503636009.16662079</v>
      </c>
      <c r="K66" s="174">
        <f t="shared" si="10"/>
        <v>203194457.72693482</v>
      </c>
      <c r="L66" s="174">
        <f t="shared" si="10"/>
        <v>168505770.75160074</v>
      </c>
      <c r="M66" s="174">
        <f t="shared" si="10"/>
        <v>111992210.30186239</v>
      </c>
      <c r="N66" s="174">
        <f t="shared" si="10"/>
        <v>103623580.21183598</v>
      </c>
      <c r="O66" s="174">
        <f>SUM(O64,O50,O26,O20,O14)</f>
        <v>3262238.1614442412</v>
      </c>
      <c r="P66" s="166"/>
      <c r="Q66" s="174">
        <f>SUM(Q64,Q50,Q26,Q20,Q14)</f>
        <v>444677165.9117772</v>
      </c>
      <c r="R66" s="174">
        <f>SUM(R64,R50,R26,R20,R14)</f>
        <v>2197864.487798091</v>
      </c>
      <c r="S66" s="174">
        <f>SUM(S64,S50,S26,S20,S14)</f>
        <v>56760978.767045557</v>
      </c>
      <c r="T66" s="174">
        <f>SUM(T64,T50,T26,T20,T14)</f>
        <v>503636009.16662079</v>
      </c>
      <c r="U66" s="174">
        <f>SUM(U64,U50,U26,U20,U14)</f>
        <v>446875030.39957529</v>
      </c>
    </row>
    <row r="67" spans="1:21" x14ac:dyDescent="0.25">
      <c r="A67" s="179">
        <f t="shared" si="0"/>
        <v>60</v>
      </c>
    </row>
    <row r="68" spans="1:21" x14ac:dyDescent="0.25">
      <c r="A68" s="179">
        <f t="shared" si="0"/>
        <v>61</v>
      </c>
      <c r="C68" s="176" t="s">
        <v>287</v>
      </c>
      <c r="E68" s="174">
        <f>SUM(F68:O68)</f>
        <v>-97368058.384898379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f>-M24</f>
        <v>-97368058.384898379</v>
      </c>
      <c r="N68" s="174">
        <v>0</v>
      </c>
      <c r="O68" s="174">
        <v>0</v>
      </c>
      <c r="Q68" s="174">
        <v>0</v>
      </c>
      <c r="R68" s="174">
        <v>0</v>
      </c>
      <c r="S68" s="174">
        <v>0</v>
      </c>
      <c r="T68" s="174">
        <v>0</v>
      </c>
      <c r="U68" s="174">
        <v>0</v>
      </c>
    </row>
    <row r="69" spans="1:21" x14ac:dyDescent="0.25">
      <c r="A69" s="179">
        <f t="shared" si="0"/>
        <v>62</v>
      </c>
      <c r="C69" s="177" t="s">
        <v>288</v>
      </c>
      <c r="E69" s="174">
        <f>SUM(F69:O69)</f>
        <v>-6372890.3302391516</v>
      </c>
      <c r="M69" s="174">
        <f>+M68/SUM(M50,M26)*SUM(M14,M64)</f>
        <v>-6372890.3302391516</v>
      </c>
    </row>
    <row r="70" spans="1:21" x14ac:dyDescent="0.25">
      <c r="A70" s="178">
        <f t="shared" si="0"/>
        <v>63</v>
      </c>
      <c r="B70" s="172"/>
      <c r="C70" s="138" t="s">
        <v>289</v>
      </c>
      <c r="D70" s="173"/>
      <c r="E70" s="174">
        <f>SUM(E66:E69)</f>
        <v>9505701713.918911</v>
      </c>
      <c r="F70" s="174">
        <f t="shared" ref="F70:O70" si="11">SUM(F66:F69)</f>
        <v>5545457488.6787891</v>
      </c>
      <c r="G70" s="174">
        <f t="shared" si="11"/>
        <v>1207741046.4684942</v>
      </c>
      <c r="H70" s="174">
        <f t="shared" si="11"/>
        <v>1116587567.8116324</v>
      </c>
      <c r="I70" s="174">
        <f t="shared" si="11"/>
        <v>645442293.35483623</v>
      </c>
      <c r="J70" s="174">
        <f t="shared" si="11"/>
        <v>503636009.16662079</v>
      </c>
      <c r="K70" s="174">
        <f t="shared" si="11"/>
        <v>203194457.72693482</v>
      </c>
      <c r="L70" s="174">
        <f t="shared" si="11"/>
        <v>168505770.75160074</v>
      </c>
      <c r="M70" s="174">
        <f t="shared" si="11"/>
        <v>8251261.5867248578</v>
      </c>
      <c r="N70" s="174">
        <f t="shared" si="11"/>
        <v>103623580.21183598</v>
      </c>
      <c r="O70" s="174">
        <f t="shared" si="11"/>
        <v>3262238.1614442412</v>
      </c>
      <c r="Q70" s="174">
        <f t="shared" ref="Q70" si="12">SUM(Q66:Q69)</f>
        <v>444677165.9117772</v>
      </c>
      <c r="R70" s="174">
        <f t="shared" ref="R70" si="13">SUM(R66:R69)</f>
        <v>2197864.487798091</v>
      </c>
      <c r="S70" s="174">
        <f t="shared" ref="S70" si="14">SUM(S66:S69)</f>
        <v>56760978.767045557</v>
      </c>
      <c r="T70" s="174">
        <f t="shared" ref="T70" si="15">SUM(T66:T69)</f>
        <v>503636009.16662079</v>
      </c>
      <c r="U70" s="174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workbookViewId="0">
      <pane xSplit="2" ySplit="6" topLeftCell="X10" activePane="bottomRight" state="frozen"/>
      <selection pane="topRight" activeCell="C1" sqref="C1"/>
      <selection pane="bottomLeft" activeCell="A7" sqref="A7"/>
      <selection pane="bottomRight" activeCell="X23" sqref="X23:Z34"/>
    </sheetView>
  </sheetViews>
  <sheetFormatPr defaultColWidth="9.140625" defaultRowHeight="15" x14ac:dyDescent="0.25"/>
  <cols>
    <col min="1" max="16384" width="9.140625" style="257"/>
  </cols>
  <sheetData>
    <row r="1" spans="1:27" ht="21" x14ac:dyDescent="0.35">
      <c r="A1" s="256" t="s">
        <v>346</v>
      </c>
    </row>
    <row r="2" spans="1:27" ht="18.75" x14ac:dyDescent="0.3">
      <c r="A2" s="258" t="s">
        <v>348</v>
      </c>
    </row>
    <row r="3" spans="1:27" x14ac:dyDescent="0.25">
      <c r="A3" s="259" t="s">
        <v>349</v>
      </c>
    </row>
    <row r="4" spans="1:27" ht="15.75" x14ac:dyDescent="0.25">
      <c r="A4" s="260"/>
    </row>
    <row r="6" spans="1:27" x14ac:dyDescent="0.25">
      <c r="A6" s="261" t="s">
        <v>324</v>
      </c>
      <c r="B6" s="262" t="s">
        <v>36</v>
      </c>
      <c r="C6" s="263" t="s">
        <v>350</v>
      </c>
      <c r="D6" s="263" t="s">
        <v>351</v>
      </c>
      <c r="E6" s="263" t="s">
        <v>352</v>
      </c>
      <c r="F6" s="263" t="s">
        <v>353</v>
      </c>
      <c r="G6" s="263" t="s">
        <v>354</v>
      </c>
      <c r="H6" s="263" t="s">
        <v>355</v>
      </c>
      <c r="I6" s="263" t="s">
        <v>356</v>
      </c>
      <c r="J6" s="263" t="s">
        <v>357</v>
      </c>
      <c r="K6" s="263" t="s">
        <v>358</v>
      </c>
      <c r="L6" s="263" t="s">
        <v>359</v>
      </c>
      <c r="M6" s="263" t="s">
        <v>360</v>
      </c>
      <c r="N6" s="263" t="s">
        <v>361</v>
      </c>
      <c r="O6" s="263" t="s">
        <v>362</v>
      </c>
      <c r="P6" s="263" t="s">
        <v>363</v>
      </c>
      <c r="Q6" s="263" t="s">
        <v>364</v>
      </c>
      <c r="R6" s="263" t="s">
        <v>365</v>
      </c>
      <c r="S6" s="263" t="s">
        <v>366</v>
      </c>
      <c r="T6" s="263" t="s">
        <v>367</v>
      </c>
      <c r="U6" s="263" t="s">
        <v>368</v>
      </c>
      <c r="V6" s="263" t="s">
        <v>369</v>
      </c>
      <c r="W6" s="263" t="s">
        <v>370</v>
      </c>
      <c r="X6" s="261" t="s">
        <v>325</v>
      </c>
      <c r="Y6" s="263" t="s">
        <v>326</v>
      </c>
      <c r="Z6" s="262" t="s">
        <v>327</v>
      </c>
      <c r="AA6" s="264" t="s">
        <v>371</v>
      </c>
    </row>
    <row r="7" spans="1:27" x14ac:dyDescent="0.25">
      <c r="A7" s="265">
        <v>2019</v>
      </c>
      <c r="B7" s="265">
        <v>1</v>
      </c>
      <c r="C7" s="266">
        <v>1558.9453426006269</v>
      </c>
      <c r="D7" s="267">
        <v>428.99929552643613</v>
      </c>
      <c r="E7" s="267">
        <v>7084.4220148926979</v>
      </c>
      <c r="F7" s="267">
        <v>20628.641634747968</v>
      </c>
      <c r="G7" s="267">
        <v>3733.5862857746233</v>
      </c>
      <c r="H7" s="267">
        <v>352261.02885870985</v>
      </c>
      <c r="I7" s="267">
        <v>35160.574382221603</v>
      </c>
      <c r="J7" s="267">
        <v>170.27931209317077</v>
      </c>
      <c r="K7" s="266">
        <v>303552.08172060282</v>
      </c>
      <c r="L7" s="267">
        <v>52182.590803186948</v>
      </c>
      <c r="M7" s="267">
        <v>136.36448086121868</v>
      </c>
      <c r="N7" s="267">
        <v>165408.8211888955</v>
      </c>
      <c r="O7" s="267">
        <v>111563.14435589887</v>
      </c>
      <c r="P7" s="267">
        <v>5.6101012772730074</v>
      </c>
      <c r="Q7" s="267">
        <v>5099.9300203101448</v>
      </c>
      <c r="R7" s="267">
        <v>10882.825781494041</v>
      </c>
      <c r="S7" s="267">
        <v>68039.515107551604</v>
      </c>
      <c r="T7" s="267">
        <v>8800</v>
      </c>
      <c r="U7" s="267">
        <v>31247.441426872432</v>
      </c>
      <c r="V7" s="267">
        <v>78928.139222509941</v>
      </c>
      <c r="W7" s="267">
        <v>28122.690933552607</v>
      </c>
      <c r="X7" s="268">
        <v>11305.375603436334</v>
      </c>
      <c r="Y7" s="267">
        <v>229345.42823236034</v>
      </c>
      <c r="Z7" s="269">
        <v>42915.382440117406</v>
      </c>
      <c r="AA7" s="269">
        <v>86945.104439564762</v>
      </c>
    </row>
    <row r="8" spans="1:27" x14ac:dyDescent="0.25">
      <c r="A8" s="270">
        <v>2019</v>
      </c>
      <c r="B8" s="271">
        <v>2</v>
      </c>
      <c r="C8" s="266">
        <v>1577.6336542384111</v>
      </c>
      <c r="D8" s="267">
        <v>376.67877498226977</v>
      </c>
      <c r="E8" s="267">
        <v>5946.4967975557638</v>
      </c>
      <c r="F8" s="267">
        <v>16706.017712397625</v>
      </c>
      <c r="G8" s="267">
        <v>3355.5240393014215</v>
      </c>
      <c r="H8" s="267">
        <v>315013.339258964</v>
      </c>
      <c r="I8" s="267">
        <v>27881.520009790438</v>
      </c>
      <c r="J8" s="267">
        <v>186.45929901951612</v>
      </c>
      <c r="K8" s="267">
        <v>273206.08711796004</v>
      </c>
      <c r="L8" s="267">
        <v>42561.10131910885</v>
      </c>
      <c r="M8" s="267">
        <v>154.98570760001778</v>
      </c>
      <c r="N8" s="267">
        <v>148956.52395077245</v>
      </c>
      <c r="O8" s="267">
        <v>87897.193360887599</v>
      </c>
      <c r="P8" s="267">
        <v>4.1005151579394088</v>
      </c>
      <c r="Q8" s="267">
        <v>7684.7207062350099</v>
      </c>
      <c r="R8" s="267">
        <v>8499.4531035612636</v>
      </c>
      <c r="S8" s="267">
        <v>60328.75146411574</v>
      </c>
      <c r="T8" s="267">
        <v>8800</v>
      </c>
      <c r="U8" s="267">
        <v>27175.52680426183</v>
      </c>
      <c r="V8" s="267">
        <v>69974.813882496557</v>
      </c>
      <c r="W8" s="267">
        <v>23013.678656303418</v>
      </c>
      <c r="X8" s="268">
        <v>12146.649463794252</v>
      </c>
      <c r="Y8" s="267">
        <v>252449.07312049167</v>
      </c>
      <c r="Z8" s="269">
        <v>46784.830547185607</v>
      </c>
      <c r="AA8" s="269">
        <v>85556.867943755336</v>
      </c>
    </row>
    <row r="9" spans="1:27" x14ac:dyDescent="0.25">
      <c r="A9" s="270">
        <v>2019</v>
      </c>
      <c r="B9" s="271">
        <v>3</v>
      </c>
      <c r="C9" s="266">
        <v>1588.50570747649</v>
      </c>
      <c r="D9" s="267">
        <v>363.37437245625739</v>
      </c>
      <c r="E9" s="267">
        <v>6929.933249044213</v>
      </c>
      <c r="F9" s="267">
        <v>18168.250027506791</v>
      </c>
      <c r="G9" s="267">
        <v>3607.8354348448311</v>
      </c>
      <c r="H9" s="267">
        <v>342591.64932246378</v>
      </c>
      <c r="I9" s="267">
        <v>33247.31829852084</v>
      </c>
      <c r="J9" s="267">
        <v>299.46484797207899</v>
      </c>
      <c r="K9" s="267">
        <v>311049.99357265042</v>
      </c>
      <c r="L9" s="267">
        <v>50562.235408320281</v>
      </c>
      <c r="M9" s="267">
        <v>201.81822819168715</v>
      </c>
      <c r="N9" s="267">
        <v>169357.97741864124</v>
      </c>
      <c r="O9" s="267">
        <v>104267.41742269581</v>
      </c>
      <c r="P9" s="267">
        <v>5.3081014616236581</v>
      </c>
      <c r="Q9" s="267">
        <v>13074.221236073692</v>
      </c>
      <c r="R9" s="267">
        <v>9465.6225709709543</v>
      </c>
      <c r="S9" s="267">
        <v>65048.109711369631</v>
      </c>
      <c r="T9" s="267">
        <v>8800</v>
      </c>
      <c r="U9" s="267">
        <v>30993.838008217012</v>
      </c>
      <c r="V9" s="267">
        <v>90258.918265984059</v>
      </c>
      <c r="W9" s="267">
        <v>29223.311557826924</v>
      </c>
      <c r="X9" s="268">
        <v>10644.926289556512</v>
      </c>
      <c r="Y9" s="267">
        <v>233583.47666065203</v>
      </c>
      <c r="Z9" s="269">
        <v>42375.65099288529</v>
      </c>
      <c r="AA9" s="269">
        <v>90710.218344639812</v>
      </c>
    </row>
    <row r="10" spans="1:27" x14ac:dyDescent="0.25">
      <c r="A10" s="270">
        <v>2019</v>
      </c>
      <c r="B10" s="271">
        <v>4</v>
      </c>
      <c r="C10" s="266">
        <v>1278.0706666358096</v>
      </c>
      <c r="D10" s="267">
        <v>291.71327852144628</v>
      </c>
      <c r="E10" s="267">
        <v>6386.8495437025549</v>
      </c>
      <c r="F10" s="267">
        <v>15794.805628850083</v>
      </c>
      <c r="G10" s="267">
        <v>3292.1898175517681</v>
      </c>
      <c r="H10" s="267">
        <v>337310.06163904234</v>
      </c>
      <c r="I10" s="267">
        <v>31189.290815757431</v>
      </c>
      <c r="J10" s="267">
        <v>426.79328574029898</v>
      </c>
      <c r="K10" s="267">
        <v>300997.69920679973</v>
      </c>
      <c r="L10" s="267">
        <v>48554.289311309411</v>
      </c>
      <c r="M10" s="267">
        <v>282.99916142369716</v>
      </c>
      <c r="N10" s="267">
        <v>164455.01698157744</v>
      </c>
      <c r="O10" s="267">
        <v>102031.51766724346</v>
      </c>
      <c r="P10" s="267">
        <v>6.6684977954578759</v>
      </c>
      <c r="Q10" s="267">
        <v>13362.315285662053</v>
      </c>
      <c r="R10" s="267">
        <v>8836.3152793001154</v>
      </c>
      <c r="S10" s="267">
        <v>58905.703436237338</v>
      </c>
      <c r="T10" s="267">
        <v>8800</v>
      </c>
      <c r="U10" s="267">
        <v>24229.746628288041</v>
      </c>
      <c r="V10" s="267">
        <v>84713.029960409316</v>
      </c>
      <c r="W10" s="267">
        <v>29120.363675637742</v>
      </c>
      <c r="X10" s="268">
        <v>10784.971206105651</v>
      </c>
      <c r="Y10" s="267">
        <v>248672.69987773767</v>
      </c>
      <c r="Z10" s="269">
        <v>42370.1339964566</v>
      </c>
      <c r="AA10" s="269">
        <v>87893.79178681162</v>
      </c>
    </row>
    <row r="11" spans="1:27" x14ac:dyDescent="0.25">
      <c r="A11" s="270">
        <v>2019</v>
      </c>
      <c r="B11" s="271">
        <v>5</v>
      </c>
      <c r="C11" s="266">
        <v>1080.0197029652136</v>
      </c>
      <c r="D11" s="267">
        <v>284.71813563625147</v>
      </c>
      <c r="E11" s="267">
        <v>6195.563714146766</v>
      </c>
      <c r="F11" s="267">
        <v>13927.99254267473</v>
      </c>
      <c r="G11" s="267">
        <v>3142.0924810759116</v>
      </c>
      <c r="H11" s="267">
        <v>340118.46606729436</v>
      </c>
      <c r="I11" s="267">
        <v>31363.553721385357</v>
      </c>
      <c r="J11" s="267">
        <v>385.85504504649128</v>
      </c>
      <c r="K11" s="267">
        <v>315741.08109526662</v>
      </c>
      <c r="L11" s="267">
        <v>52842.699385797292</v>
      </c>
      <c r="M11" s="267">
        <v>489.22739080299351</v>
      </c>
      <c r="N11" s="267">
        <v>174630.09257183163</v>
      </c>
      <c r="O11" s="267">
        <v>106111.80896506082</v>
      </c>
      <c r="P11" s="267">
        <v>798.1690266181721</v>
      </c>
      <c r="Q11" s="267">
        <v>15101.9520126237</v>
      </c>
      <c r="R11" s="267">
        <v>10115.516232216569</v>
      </c>
      <c r="S11" s="267">
        <v>52250.987811749503</v>
      </c>
      <c r="T11" s="267">
        <v>8800</v>
      </c>
      <c r="U11" s="267">
        <v>20681.767322540967</v>
      </c>
      <c r="V11" s="267">
        <v>84005.661548531032</v>
      </c>
      <c r="W11" s="267">
        <v>28197.224891598002</v>
      </c>
      <c r="X11" s="268">
        <v>10840.210495805928</v>
      </c>
      <c r="Y11" s="267">
        <v>251928.18429335309</v>
      </c>
      <c r="Z11" s="269">
        <v>45469.779658804684</v>
      </c>
      <c r="AA11" s="269">
        <v>82637.345371527204</v>
      </c>
    </row>
    <row r="12" spans="1:27" x14ac:dyDescent="0.25">
      <c r="A12" s="270">
        <v>2019</v>
      </c>
      <c r="B12" s="271">
        <v>6</v>
      </c>
      <c r="C12" s="266">
        <v>834.93686807576023</v>
      </c>
      <c r="D12" s="267">
        <v>389.36379881334778</v>
      </c>
      <c r="E12" s="267">
        <v>5930.7579559055876</v>
      </c>
      <c r="F12" s="267">
        <v>12943.333987264019</v>
      </c>
      <c r="G12" s="267">
        <v>3064.6952275088893</v>
      </c>
      <c r="H12" s="267">
        <v>326357.57566250919</v>
      </c>
      <c r="I12" s="267">
        <v>29896.41239324155</v>
      </c>
      <c r="J12" s="267">
        <v>395.50287317278151</v>
      </c>
      <c r="K12" s="267">
        <v>308874.5010038311</v>
      </c>
      <c r="L12" s="267">
        <v>50576.223214204503</v>
      </c>
      <c r="M12" s="267">
        <v>480.1535933030313</v>
      </c>
      <c r="N12" s="267">
        <v>171678.10110730038</v>
      </c>
      <c r="O12" s="267">
        <v>100992.96843755487</v>
      </c>
      <c r="P12" s="267">
        <v>1216.9352876124105</v>
      </c>
      <c r="Q12" s="267">
        <v>8540.9860488854301</v>
      </c>
      <c r="R12" s="267">
        <v>9484.1528959474508</v>
      </c>
      <c r="S12" s="267">
        <v>39889.306977710054</v>
      </c>
      <c r="T12" s="267">
        <v>8800</v>
      </c>
      <c r="U12" s="267">
        <v>22238.982171923082</v>
      </c>
      <c r="V12" s="267">
        <v>84794.796080272557</v>
      </c>
      <c r="W12" s="267">
        <v>28391.191936555733</v>
      </c>
      <c r="X12" s="268">
        <v>10387.686178049316</v>
      </c>
      <c r="Y12" s="267">
        <v>229088.09470661715</v>
      </c>
      <c r="Z12" s="269">
        <v>44454.467703200658</v>
      </c>
      <c r="AA12" s="269">
        <v>74699.809776186856</v>
      </c>
    </row>
    <row r="13" spans="1:27" x14ac:dyDescent="0.25">
      <c r="A13" s="270">
        <v>2019</v>
      </c>
      <c r="B13" s="271">
        <v>7</v>
      </c>
      <c r="C13" s="266">
        <v>742.24130771219563</v>
      </c>
      <c r="D13" s="267">
        <v>502.94337218603289</v>
      </c>
      <c r="E13" s="267">
        <v>6338.0675720179515</v>
      </c>
      <c r="F13" s="267">
        <v>14122.984742366223</v>
      </c>
      <c r="G13" s="267">
        <v>4487.7743582760377</v>
      </c>
      <c r="H13" s="267">
        <v>346488.45231636293</v>
      </c>
      <c r="I13" s="267">
        <v>30645.512027605764</v>
      </c>
      <c r="J13" s="267">
        <v>327.96411285808398</v>
      </c>
      <c r="K13" s="267">
        <v>333907.67025648023</v>
      </c>
      <c r="L13" s="267">
        <v>50152.021359089907</v>
      </c>
      <c r="M13" s="267">
        <v>729.12605486403027</v>
      </c>
      <c r="N13" s="267">
        <v>174662.93197576472</v>
      </c>
      <c r="O13" s="267">
        <v>103717.71416918293</v>
      </c>
      <c r="P13" s="267">
        <v>1413.65792343821</v>
      </c>
      <c r="Q13" s="267">
        <v>9680.8069914546977</v>
      </c>
      <c r="R13" s="267">
        <v>10851.224417591746</v>
      </c>
      <c r="S13" s="267">
        <v>31924.012335220646</v>
      </c>
      <c r="T13" s="267">
        <v>8800</v>
      </c>
      <c r="U13" s="267">
        <v>23042.817242805559</v>
      </c>
      <c r="V13" s="267">
        <v>90203.256806291101</v>
      </c>
      <c r="W13" s="267">
        <v>27891.017858118117</v>
      </c>
      <c r="X13" s="268">
        <v>10433.219124922985</v>
      </c>
      <c r="Y13" s="267">
        <v>235428.00674912569</v>
      </c>
      <c r="Z13" s="269">
        <v>44871.174958969976</v>
      </c>
      <c r="AA13" s="269">
        <v>79321.650896439896</v>
      </c>
    </row>
    <row r="14" spans="1:27" x14ac:dyDescent="0.25">
      <c r="A14" s="270">
        <v>2019</v>
      </c>
      <c r="B14" s="271">
        <v>8</v>
      </c>
      <c r="C14" s="266">
        <v>693.42904569211612</v>
      </c>
      <c r="D14" s="267">
        <v>482.9955909853656</v>
      </c>
      <c r="E14" s="267">
        <v>6225.0647571539239</v>
      </c>
      <c r="F14" s="267">
        <v>14654.326287057778</v>
      </c>
      <c r="G14" s="267">
        <v>4640.6788418427914</v>
      </c>
      <c r="H14" s="267">
        <v>343235.45705458167</v>
      </c>
      <c r="I14" s="267">
        <v>31223.588459132498</v>
      </c>
      <c r="J14" s="267">
        <v>349.48526616459071</v>
      </c>
      <c r="K14" s="267">
        <v>330095.80795305013</v>
      </c>
      <c r="L14" s="267">
        <v>51738.440936158942</v>
      </c>
      <c r="M14" s="267">
        <v>954.96853717948375</v>
      </c>
      <c r="N14" s="267">
        <v>172416.97077887371</v>
      </c>
      <c r="O14" s="267">
        <v>104607.35756037761</v>
      </c>
      <c r="P14" s="267">
        <v>1455.3124041552323</v>
      </c>
      <c r="Q14" s="267">
        <v>6768.5777125579307</v>
      </c>
      <c r="R14" s="267">
        <v>9678.9008244411762</v>
      </c>
      <c r="S14" s="267">
        <v>21397.343124505791</v>
      </c>
      <c r="T14" s="267">
        <v>8800</v>
      </c>
      <c r="U14" s="267">
        <v>22859.967279921861</v>
      </c>
      <c r="V14" s="267">
        <v>88684.22631481204</v>
      </c>
      <c r="W14" s="267">
        <v>30282.042232420179</v>
      </c>
      <c r="X14" s="268">
        <v>11008.846073845607</v>
      </c>
      <c r="Y14" s="267">
        <v>243711.32401703476</v>
      </c>
      <c r="Z14" s="269">
        <v>46055.11511899891</v>
      </c>
      <c r="AA14" s="269">
        <v>89568.518367074066</v>
      </c>
    </row>
    <row r="15" spans="1:27" x14ac:dyDescent="0.25">
      <c r="A15" s="270">
        <v>2019</v>
      </c>
      <c r="B15" s="271">
        <v>9</v>
      </c>
      <c r="C15" s="266">
        <v>881.95047215339719</v>
      </c>
      <c r="D15" s="267">
        <v>406.64346872420549</v>
      </c>
      <c r="E15" s="267">
        <v>6031.2485216125351</v>
      </c>
      <c r="F15" s="267">
        <v>13963.762553423716</v>
      </c>
      <c r="G15" s="267">
        <v>4480.7180862393725</v>
      </c>
      <c r="H15" s="267">
        <v>334798.76682593219</v>
      </c>
      <c r="I15" s="267">
        <v>30051.982975824329</v>
      </c>
      <c r="J15" s="267">
        <v>299.31155468146738</v>
      </c>
      <c r="K15" s="267">
        <v>313093.31854581519</v>
      </c>
      <c r="L15" s="267">
        <v>50646.687058507021</v>
      </c>
      <c r="M15" s="267">
        <v>727.9127981424233</v>
      </c>
      <c r="N15" s="267">
        <v>165504.34621671189</v>
      </c>
      <c r="O15" s="267">
        <v>100228.2468700155</v>
      </c>
      <c r="P15" s="267">
        <v>1415.6812131699924</v>
      </c>
      <c r="Q15" s="267">
        <v>9987.0478375466664</v>
      </c>
      <c r="R15" s="267">
        <v>10746.055788684911</v>
      </c>
      <c r="S15" s="267">
        <v>30460.043630529755</v>
      </c>
      <c r="T15" s="267">
        <v>8800</v>
      </c>
      <c r="U15" s="267">
        <v>19005.21774182513</v>
      </c>
      <c r="V15" s="267">
        <v>91339.142304369292</v>
      </c>
      <c r="W15" s="267">
        <v>28909.805840376746</v>
      </c>
      <c r="X15" s="268">
        <v>10541.07391315743</v>
      </c>
      <c r="Y15" s="267">
        <v>245747.26293640659</v>
      </c>
      <c r="Z15" s="269">
        <v>52701.768068724981</v>
      </c>
      <c r="AA15" s="269">
        <v>80790.743895499589</v>
      </c>
    </row>
    <row r="16" spans="1:27" x14ac:dyDescent="0.25">
      <c r="A16" s="270">
        <v>2019</v>
      </c>
      <c r="B16" s="271">
        <v>10</v>
      </c>
      <c r="C16" s="266">
        <v>1224.2524619753417</v>
      </c>
      <c r="D16" s="267">
        <v>355.45532805404781</v>
      </c>
      <c r="E16" s="267">
        <v>6373.417976676812</v>
      </c>
      <c r="F16" s="267">
        <v>15429.303382666461</v>
      </c>
      <c r="G16" s="267">
        <v>3839.839156341819</v>
      </c>
      <c r="H16" s="267">
        <v>347459.48442985793</v>
      </c>
      <c r="I16" s="267">
        <v>31249.211474047617</v>
      </c>
      <c r="J16" s="267">
        <v>233.6107461195505</v>
      </c>
      <c r="K16" s="267">
        <v>332603.78786895686</v>
      </c>
      <c r="L16" s="267">
        <v>51429.641671149693</v>
      </c>
      <c r="M16" s="267">
        <v>629.6171445998159</v>
      </c>
      <c r="N16" s="267">
        <v>178574.96669818155</v>
      </c>
      <c r="O16" s="267">
        <v>105118.80844569254</v>
      </c>
      <c r="P16" s="267">
        <v>1249.8476995818867</v>
      </c>
      <c r="Q16" s="267">
        <v>13691.684062101825</v>
      </c>
      <c r="R16" s="267">
        <v>10760.966030607968</v>
      </c>
      <c r="S16" s="267">
        <v>44012.586219126992</v>
      </c>
      <c r="T16" s="267">
        <v>8800</v>
      </c>
      <c r="U16" s="267">
        <v>21733.637805527338</v>
      </c>
      <c r="V16" s="267">
        <v>95040.760147703651</v>
      </c>
      <c r="W16" s="267">
        <v>29230.215668096611</v>
      </c>
      <c r="X16" s="268">
        <v>10257.39906563138</v>
      </c>
      <c r="Y16" s="267">
        <v>234400.60082355881</v>
      </c>
      <c r="Z16" s="269">
        <v>51917.569542111451</v>
      </c>
      <c r="AA16" s="269">
        <v>88490.364320642635</v>
      </c>
    </row>
    <row r="17" spans="1:27" x14ac:dyDescent="0.25">
      <c r="A17" s="270">
        <v>2019</v>
      </c>
      <c r="B17" s="271">
        <v>11</v>
      </c>
      <c r="C17" s="266">
        <v>1571.8773269279391</v>
      </c>
      <c r="D17" s="267">
        <v>399.41956984427878</v>
      </c>
      <c r="E17" s="267">
        <v>6337.0697755442206</v>
      </c>
      <c r="F17" s="267">
        <v>17174.473362885088</v>
      </c>
      <c r="G17" s="267">
        <v>3443.6694086453831</v>
      </c>
      <c r="H17" s="267">
        <v>358806.36751089821</v>
      </c>
      <c r="I17" s="267">
        <v>30202.321726789662</v>
      </c>
      <c r="J17" s="267">
        <v>259.66857447075267</v>
      </c>
      <c r="K17" s="267">
        <v>330262.58913962985</v>
      </c>
      <c r="L17" s="267">
        <v>48043.933964002194</v>
      </c>
      <c r="M17" s="267">
        <v>473.3418992249841</v>
      </c>
      <c r="N17" s="267">
        <v>176110.81569883795</v>
      </c>
      <c r="O17" s="267">
        <v>100159.91431039895</v>
      </c>
      <c r="P17" s="267">
        <v>998.78743371190501</v>
      </c>
      <c r="Q17" s="267">
        <v>12247.558781314945</v>
      </c>
      <c r="R17" s="267">
        <v>9337.5966274977854</v>
      </c>
      <c r="S17" s="267">
        <v>58526.94256091032</v>
      </c>
      <c r="T17" s="267">
        <v>8800</v>
      </c>
      <c r="U17" s="267">
        <v>22288.079719202589</v>
      </c>
      <c r="V17" s="267">
        <v>89525.716020862004</v>
      </c>
      <c r="W17" s="267">
        <v>26153.747724185538</v>
      </c>
      <c r="X17" s="268">
        <v>10825.179964074694</v>
      </c>
      <c r="Y17" s="267">
        <v>240672.30445644259</v>
      </c>
      <c r="Z17" s="269">
        <v>50483.726062682545</v>
      </c>
      <c r="AA17" s="269">
        <v>88273.040255939341</v>
      </c>
    </row>
    <row r="18" spans="1:27" x14ac:dyDescent="0.25">
      <c r="A18" s="272">
        <v>2019</v>
      </c>
      <c r="B18" s="273">
        <v>12</v>
      </c>
      <c r="C18" s="274">
        <v>1903.79606110443</v>
      </c>
      <c r="D18" s="275">
        <v>531.99002139087725</v>
      </c>
      <c r="E18" s="275">
        <v>7210.4957906737518</v>
      </c>
      <c r="F18" s="275">
        <v>20351.619321816604</v>
      </c>
      <c r="G18" s="275">
        <v>4025.7814393876993</v>
      </c>
      <c r="H18" s="275">
        <v>380936.45114240184</v>
      </c>
      <c r="I18" s="275">
        <v>31996.235831528506</v>
      </c>
      <c r="J18" s="275">
        <v>317.13340659981776</v>
      </c>
      <c r="K18" s="275">
        <v>334200.97753539961</v>
      </c>
      <c r="L18" s="275">
        <v>46975.282077036085</v>
      </c>
      <c r="M18" s="275">
        <v>54.207348857679335</v>
      </c>
      <c r="N18" s="275">
        <v>176128.95803079213</v>
      </c>
      <c r="O18" s="275">
        <v>99329.708911742811</v>
      </c>
      <c r="P18" s="275">
        <v>6.0336019472320119</v>
      </c>
      <c r="Q18" s="275">
        <v>9632.0774539688973</v>
      </c>
      <c r="R18" s="275">
        <v>9149.4981277472998</v>
      </c>
      <c r="S18" s="275">
        <v>68865.915231835097</v>
      </c>
      <c r="T18" s="275">
        <v>8800</v>
      </c>
      <c r="U18" s="275">
        <v>22637.505493751883</v>
      </c>
      <c r="V18" s="275">
        <v>97396.440208906904</v>
      </c>
      <c r="W18" s="275">
        <v>28098.022817858906</v>
      </c>
      <c r="X18" s="276">
        <v>9958.798195487565</v>
      </c>
      <c r="Y18" s="275">
        <v>232942.19525542093</v>
      </c>
      <c r="Z18" s="277">
        <v>44841.535935479878</v>
      </c>
      <c r="AA18" s="277">
        <v>77631.675486743567</v>
      </c>
    </row>
    <row r="19" spans="1:27" x14ac:dyDescent="0.25">
      <c r="A19" s="265">
        <v>2020</v>
      </c>
      <c r="B19" s="265">
        <v>1</v>
      </c>
      <c r="C19" s="266">
        <v>1608.6611394033805</v>
      </c>
      <c r="D19" s="267">
        <v>443.48862944402987</v>
      </c>
      <c r="E19" s="267">
        <v>7262.6574411480733</v>
      </c>
      <c r="F19" s="267">
        <v>21177.774349291678</v>
      </c>
      <c r="G19" s="267">
        <v>3832.9740403535316</v>
      </c>
      <c r="H19" s="267">
        <v>362795.33031808253</v>
      </c>
      <c r="I19" s="267">
        <v>35815.337015558114</v>
      </c>
      <c r="J19" s="267">
        <v>187.29764338801053</v>
      </c>
      <c r="K19" s="267">
        <v>308932.09330453171</v>
      </c>
      <c r="L19" s="267">
        <v>51539.567201693149</v>
      </c>
      <c r="M19" s="267">
        <v>142.13381110955348</v>
      </c>
      <c r="N19" s="267">
        <v>168442.9800535955</v>
      </c>
      <c r="O19" s="267">
        <v>114356.33118185289</v>
      </c>
      <c r="P19" s="267">
        <v>5.7512445900780005</v>
      </c>
      <c r="Q19" s="267">
        <v>6469.3858680048288</v>
      </c>
      <c r="R19" s="267">
        <v>10989.1954652185</v>
      </c>
      <c r="S19" s="267">
        <v>69751.306408508884</v>
      </c>
      <c r="T19" s="267">
        <v>8800</v>
      </c>
      <c r="U19" s="267">
        <v>31728.137961409295</v>
      </c>
      <c r="V19" s="267">
        <v>80913.875039531398</v>
      </c>
      <c r="W19" s="267">
        <v>28555.317716940513</v>
      </c>
      <c r="X19" s="268">
        <v>10850.395452343462</v>
      </c>
      <c r="Y19" s="267">
        <v>234112.05520102874</v>
      </c>
      <c r="Z19" s="269">
        <v>44116.643597012029</v>
      </c>
      <c r="AA19" s="269">
        <v>84176.904160838734</v>
      </c>
    </row>
    <row r="20" spans="1:27" x14ac:dyDescent="0.25">
      <c r="A20" s="270">
        <v>2020</v>
      </c>
      <c r="B20" s="271">
        <v>2</v>
      </c>
      <c r="C20" s="266">
        <v>1509.3533821870903</v>
      </c>
      <c r="D20" s="267">
        <v>372.06715963810012</v>
      </c>
      <c r="E20" s="267">
        <v>6337.4397549400337</v>
      </c>
      <c r="F20" s="267">
        <v>17833.11741799425</v>
      </c>
      <c r="G20" s="267">
        <v>3581.9101369297268</v>
      </c>
      <c r="H20" s="267">
        <v>337277.6627588002</v>
      </c>
      <c r="I20" s="267">
        <v>30356.976410349012</v>
      </c>
      <c r="J20" s="267">
        <v>194.64799562189577</v>
      </c>
      <c r="K20" s="267">
        <v>289044.64969061915</v>
      </c>
      <c r="L20" s="267">
        <v>45006.698090737489</v>
      </c>
      <c r="M20" s="267">
        <v>167.93812746261884</v>
      </c>
      <c r="N20" s="267">
        <v>157590.68042026309</v>
      </c>
      <c r="O20" s="267">
        <v>96298.630675261404</v>
      </c>
      <c r="P20" s="267">
        <v>4.370096993635137</v>
      </c>
      <c r="Q20" s="267">
        <v>9215.1761872593761</v>
      </c>
      <c r="R20" s="267">
        <v>9174.6976710735635</v>
      </c>
      <c r="S20" s="267">
        <v>64294.969107144876</v>
      </c>
      <c r="T20" s="267">
        <v>8800</v>
      </c>
      <c r="U20" s="267">
        <v>29497.462182404237</v>
      </c>
      <c r="V20" s="267">
        <v>74575.196530122208</v>
      </c>
      <c r="W20" s="267">
        <v>24980.016789807105</v>
      </c>
      <c r="X20" s="268">
        <v>11076.832257573318</v>
      </c>
      <c r="Y20" s="267">
        <v>244853.31046745239</v>
      </c>
      <c r="Z20" s="269">
        <v>45697.56371020904</v>
      </c>
      <c r="AA20" s="269">
        <v>80294.38230324391</v>
      </c>
    </row>
    <row r="21" spans="1:27" x14ac:dyDescent="0.25">
      <c r="A21" s="270">
        <v>2020</v>
      </c>
      <c r="B21" s="271">
        <v>3</v>
      </c>
      <c r="C21" s="266">
        <v>1614.5163272480347</v>
      </c>
      <c r="D21" s="267">
        <v>361.16021606552283</v>
      </c>
      <c r="E21" s="267">
        <v>6944.3877579081636</v>
      </c>
      <c r="F21" s="267">
        <v>18233.703189505915</v>
      </c>
      <c r="G21" s="267">
        <v>3620.8330673534965</v>
      </c>
      <c r="H21" s="267">
        <v>344895.84717844304</v>
      </c>
      <c r="I21" s="267">
        <v>32525.823282146212</v>
      </c>
      <c r="J21" s="267">
        <v>300.9422646904481</v>
      </c>
      <c r="K21" s="267">
        <v>309321.02833288582</v>
      </c>
      <c r="L21" s="267">
        <v>47946.208601788538</v>
      </c>
      <c r="M21" s="267">
        <v>205.62234226662673</v>
      </c>
      <c r="N21" s="267">
        <v>168349.92796295855</v>
      </c>
      <c r="O21" s="267">
        <v>102679.70833979857</v>
      </c>
      <c r="P21" s="267">
        <v>5.3191731410858489</v>
      </c>
      <c r="Q21" s="267">
        <v>14109.11640915207</v>
      </c>
      <c r="R21" s="267">
        <v>9179.5478744216416</v>
      </c>
      <c r="S21" s="267">
        <v>65183.787566352701</v>
      </c>
      <c r="T21" s="267">
        <v>8800</v>
      </c>
      <c r="U21" s="267">
        <v>30224.099311117188</v>
      </c>
      <c r="V21" s="267">
        <v>90447.181022238816</v>
      </c>
      <c r="W21" s="267">
        <v>28497.544269584007</v>
      </c>
      <c r="X21" s="268">
        <v>10206.872054927891</v>
      </c>
      <c r="Y21" s="267">
        <v>238212.88542022696</v>
      </c>
      <c r="Z21" s="269">
        <v>43520.642780441602</v>
      </c>
      <c r="AA21" s="269">
        <v>83111.528893154362</v>
      </c>
    </row>
    <row r="22" spans="1:27" x14ac:dyDescent="0.25">
      <c r="A22" s="270">
        <v>2020</v>
      </c>
      <c r="B22" s="271">
        <v>4</v>
      </c>
      <c r="C22" s="266">
        <v>1280.0865509680427</v>
      </c>
      <c r="D22" s="267">
        <v>290.07384124468939</v>
      </c>
      <c r="E22" s="267">
        <v>6387.2963851325139</v>
      </c>
      <c r="F22" s="267">
        <v>15822.348315419915</v>
      </c>
      <c r="G22" s="267">
        <v>3297.9306765660508</v>
      </c>
      <c r="H22" s="267">
        <v>338897.39732315124</v>
      </c>
      <c r="I22" s="267">
        <v>31015.354603961652</v>
      </c>
      <c r="J22" s="267">
        <v>425.84621473749235</v>
      </c>
      <c r="K22" s="267">
        <v>298644.43945623084</v>
      </c>
      <c r="L22" s="267">
        <v>46762.523546442833</v>
      </c>
      <c r="M22" s="267">
        <v>287.75344613365974</v>
      </c>
      <c r="N22" s="267">
        <v>162958.10318393851</v>
      </c>
      <c r="O22" s="267">
        <v>102107.88499682872</v>
      </c>
      <c r="P22" s="267">
        <v>6.668964341768417</v>
      </c>
      <c r="Q22" s="267">
        <v>14397.253475051153</v>
      </c>
      <c r="R22" s="267">
        <v>8709.7027913866914</v>
      </c>
      <c r="S22" s="267">
        <v>58909.824640060287</v>
      </c>
      <c r="T22" s="267">
        <v>8800</v>
      </c>
      <c r="U22" s="267">
        <v>24015.238621548582</v>
      </c>
      <c r="V22" s="267">
        <v>84718.956715249034</v>
      </c>
      <c r="W22" s="267">
        <v>28862.558620412921</v>
      </c>
      <c r="X22" s="268">
        <v>10341.766027396769</v>
      </c>
      <c r="Y22" s="267">
        <v>253616.17413707796</v>
      </c>
      <c r="Z22" s="269">
        <v>43517.55243119278</v>
      </c>
      <c r="AA22" s="269">
        <v>85718.043554594056</v>
      </c>
    </row>
    <row r="23" spans="1:27" x14ac:dyDescent="0.25">
      <c r="A23" s="270">
        <v>2020</v>
      </c>
      <c r="B23" s="271">
        <v>5</v>
      </c>
      <c r="C23" s="266">
        <v>1084.3834189367901</v>
      </c>
      <c r="D23" s="267">
        <v>282.75229822212884</v>
      </c>
      <c r="E23" s="267">
        <v>6185.5760289599248</v>
      </c>
      <c r="F23" s="267">
        <v>13929.357644624393</v>
      </c>
      <c r="G23" s="267">
        <v>3142.4004419366597</v>
      </c>
      <c r="H23" s="267">
        <v>341144.73761032446</v>
      </c>
      <c r="I23" s="267">
        <v>31119.835203491592</v>
      </c>
      <c r="J23" s="267">
        <v>384.62205495797616</v>
      </c>
      <c r="K23" s="267">
        <v>312801.7587411576</v>
      </c>
      <c r="L23" s="267">
        <v>50827.397762621287</v>
      </c>
      <c r="M23" s="267">
        <v>496.60957347904184</v>
      </c>
      <c r="N23" s="267">
        <v>172652.39764852531</v>
      </c>
      <c r="O23" s="267">
        <v>105932.89338529433</v>
      </c>
      <c r="P23" s="267">
        <v>796.88232191597581</v>
      </c>
      <c r="Q23" s="267">
        <v>16150.689826617825</v>
      </c>
      <c r="R23" s="267">
        <v>9947.7758332006906</v>
      </c>
      <c r="S23" s="267">
        <v>52166.755538296551</v>
      </c>
      <c r="T23" s="267">
        <v>8800</v>
      </c>
      <c r="U23" s="267">
        <v>20451.797681507018</v>
      </c>
      <c r="V23" s="267">
        <v>83870.238503886474</v>
      </c>
      <c r="W23" s="267">
        <v>27883.687581882361</v>
      </c>
      <c r="X23" s="278">
        <v>9873.0654899373021</v>
      </c>
      <c r="Y23" s="279">
        <v>244041.77668380635</v>
      </c>
      <c r="Z23" s="280">
        <v>44357.397502950655</v>
      </c>
      <c r="AA23" s="269">
        <v>83235.742774269747</v>
      </c>
    </row>
    <row r="24" spans="1:27" x14ac:dyDescent="0.25">
      <c r="A24" s="270">
        <v>2020</v>
      </c>
      <c r="B24" s="271">
        <v>6</v>
      </c>
      <c r="C24" s="266">
        <v>839.47456844573719</v>
      </c>
      <c r="D24" s="267">
        <v>386.05529106182678</v>
      </c>
      <c r="E24" s="267">
        <v>5914.2123009401603</v>
      </c>
      <c r="F24" s="267">
        <v>12929.397751268292</v>
      </c>
      <c r="G24" s="267">
        <v>3061.3954350452505</v>
      </c>
      <c r="H24" s="267">
        <v>326954.88432601176</v>
      </c>
      <c r="I24" s="267">
        <v>29611.974077245948</v>
      </c>
      <c r="J24" s="267">
        <v>394.02183357846985</v>
      </c>
      <c r="K24" s="267">
        <v>305715.45407968009</v>
      </c>
      <c r="L24" s="267">
        <v>48550.089276554507</v>
      </c>
      <c r="M24" s="267">
        <v>486.82390409940433</v>
      </c>
      <c r="N24" s="267">
        <v>169454.54492237771</v>
      </c>
      <c r="O24" s="267">
        <v>100634.45833879685</v>
      </c>
      <c r="P24" s="267">
        <v>1213.5402761258877</v>
      </c>
      <c r="Q24" s="267">
        <v>9598.6212303975062</v>
      </c>
      <c r="R24" s="267">
        <v>9310.8055985787651</v>
      </c>
      <c r="S24" s="267">
        <v>39778.023611406774</v>
      </c>
      <c r="T24" s="267">
        <v>8800</v>
      </c>
      <c r="U24" s="267">
        <v>21953.790736142346</v>
      </c>
      <c r="V24" s="267">
        <v>84558.235180428208</v>
      </c>
      <c r="W24" s="267">
        <v>28027.104914527568</v>
      </c>
      <c r="X24" s="278">
        <v>9770.3387880445789</v>
      </c>
      <c r="Y24" s="279">
        <v>229174.57885052569</v>
      </c>
      <c r="Z24" s="280">
        <v>44785.262342792441</v>
      </c>
      <c r="AA24" s="269">
        <v>79616.295319767771</v>
      </c>
    </row>
    <row r="25" spans="1:27" x14ac:dyDescent="0.25">
      <c r="A25" s="270">
        <v>2020</v>
      </c>
      <c r="B25" s="271">
        <v>7</v>
      </c>
      <c r="C25" s="266">
        <v>744.56081179879618</v>
      </c>
      <c r="D25" s="267">
        <v>497.70953971460267</v>
      </c>
      <c r="E25" s="267">
        <v>6314.479097315595</v>
      </c>
      <c r="F25" s="267">
        <v>14094.501187257953</v>
      </c>
      <c r="G25" s="267">
        <v>4478.7233134311055</v>
      </c>
      <c r="H25" s="267">
        <v>346798.74998499156</v>
      </c>
      <c r="I25" s="267">
        <v>30289.194370690209</v>
      </c>
      <c r="J25" s="267">
        <v>326.8391809657133</v>
      </c>
      <c r="K25" s="267">
        <v>330272.76989192521</v>
      </c>
      <c r="L25" s="267">
        <v>47983.540563289833</v>
      </c>
      <c r="M25" s="267">
        <v>738.5642537553216</v>
      </c>
      <c r="N25" s="267">
        <v>172033.31137449443</v>
      </c>
      <c r="O25" s="267">
        <v>103134.59561766022</v>
      </c>
      <c r="P25" s="267">
        <v>1408.3966929786254</v>
      </c>
      <c r="Q25" s="267">
        <v>10828.225092254381</v>
      </c>
      <c r="R25" s="267">
        <v>10630.362168509064</v>
      </c>
      <c r="S25" s="267">
        <v>31805.20029214751</v>
      </c>
      <c r="T25" s="267">
        <v>8800</v>
      </c>
      <c r="U25" s="267">
        <v>22699.212577712125</v>
      </c>
      <c r="V25" s="267">
        <v>89867.546084203015</v>
      </c>
      <c r="W25" s="267">
        <v>27475.118892758495</v>
      </c>
      <c r="X25" s="278">
        <v>10111.98818477142</v>
      </c>
      <c r="Y25" s="279">
        <v>242688.65205928616</v>
      </c>
      <c r="Z25" s="280">
        <v>46581.618274752553</v>
      </c>
      <c r="AA25" s="269">
        <v>78558.161726354723</v>
      </c>
    </row>
    <row r="26" spans="1:27" x14ac:dyDescent="0.25">
      <c r="A26" s="270">
        <v>2020</v>
      </c>
      <c r="B26" s="271">
        <v>8</v>
      </c>
      <c r="C26" s="266">
        <v>695.68043869761004</v>
      </c>
      <c r="D26" s="267">
        <v>476.92275806617505</v>
      </c>
      <c r="E26" s="267">
        <v>6185.8421239971158</v>
      </c>
      <c r="F26" s="267">
        <v>14586.885953832314</v>
      </c>
      <c r="G26" s="267">
        <v>4619.3220819784619</v>
      </c>
      <c r="H26" s="267">
        <v>342653.47288384277</v>
      </c>
      <c r="I26" s="267">
        <v>30799.462327453784</v>
      </c>
      <c r="J26" s="267">
        <v>348.45136951297991</v>
      </c>
      <c r="K26" s="267">
        <v>325733.46015721036</v>
      </c>
      <c r="L26" s="267">
        <v>49441.043097394482</v>
      </c>
      <c r="M26" s="267">
        <v>964.82605468055283</v>
      </c>
      <c r="N26" s="267">
        <v>169239.27201181318</v>
      </c>
      <c r="O26" s="267">
        <v>103801.92835892316</v>
      </c>
      <c r="P26" s="267">
        <v>1446.1428313421727</v>
      </c>
      <c r="Q26" s="267">
        <v>7951.1499975681709</v>
      </c>
      <c r="R26" s="267">
        <v>9464.1861580639197</v>
      </c>
      <c r="S26" s="267">
        <v>21262.523620991651</v>
      </c>
      <c r="T26" s="267">
        <v>8800</v>
      </c>
      <c r="U26" s="267">
        <v>22477.020408702938</v>
      </c>
      <c r="V26" s="267">
        <v>88125.448372535408</v>
      </c>
      <c r="W26" s="267">
        <v>29774.761833239118</v>
      </c>
      <c r="X26" s="278">
        <v>10187.600287114832</v>
      </c>
      <c r="Y26" s="279">
        <v>239871.65180107072</v>
      </c>
      <c r="Z26" s="280">
        <v>45649.589382747545</v>
      </c>
      <c r="AA26" s="269">
        <v>83317.367930956214</v>
      </c>
    </row>
    <row r="27" spans="1:27" x14ac:dyDescent="0.25">
      <c r="A27" s="270">
        <v>2020</v>
      </c>
      <c r="B27" s="271">
        <v>9</v>
      </c>
      <c r="C27" s="266">
        <v>884.40715870535644</v>
      </c>
      <c r="D27" s="267">
        <v>400.94676250235227</v>
      </c>
      <c r="E27" s="267">
        <v>5975.707211949516</v>
      </c>
      <c r="F27" s="267">
        <v>13861.115010747229</v>
      </c>
      <c r="G27" s="267">
        <v>4447.7803519275121</v>
      </c>
      <c r="H27" s="267">
        <v>333256.91117168911</v>
      </c>
      <c r="I27" s="267">
        <v>29623.359319210653</v>
      </c>
      <c r="J27" s="267">
        <v>299.41341631566888</v>
      </c>
      <c r="K27" s="267">
        <v>308023.93288749707</v>
      </c>
      <c r="L27" s="267">
        <v>48308.203962296357</v>
      </c>
      <c r="M27" s="267">
        <v>733.27426435444363</v>
      </c>
      <c r="N27" s="267">
        <v>161862.66868294624</v>
      </c>
      <c r="O27" s="267">
        <v>99412.029614545638</v>
      </c>
      <c r="P27" s="267">
        <v>1402.6443123752342</v>
      </c>
      <c r="Q27" s="267">
        <v>11153.416442995147</v>
      </c>
      <c r="R27" s="267">
        <v>10499.510238258919</v>
      </c>
      <c r="S27" s="267">
        <v>30179.539401667364</v>
      </c>
      <c r="T27" s="267">
        <v>8800</v>
      </c>
      <c r="U27" s="267">
        <v>18672.338046263612</v>
      </c>
      <c r="V27" s="267">
        <v>90498.007078569441</v>
      </c>
      <c r="W27" s="267">
        <v>28403.445560919987</v>
      </c>
      <c r="X27" s="278">
        <v>9898.8010145567077</v>
      </c>
      <c r="Y27" s="279">
        <v>245448.02630767823</v>
      </c>
      <c r="Z27" s="280">
        <v>53009.270384888609</v>
      </c>
      <c r="AA27" s="269">
        <v>84787.307580089066</v>
      </c>
    </row>
    <row r="28" spans="1:27" x14ac:dyDescent="0.25">
      <c r="A28" s="270">
        <v>2020</v>
      </c>
      <c r="B28" s="271">
        <v>10</v>
      </c>
      <c r="C28" s="266">
        <v>1228.979305457872</v>
      </c>
      <c r="D28" s="267">
        <v>350.80043959871568</v>
      </c>
      <c r="E28" s="267">
        <v>6304.4028340041014</v>
      </c>
      <c r="F28" s="267">
        <v>15293.004282817268</v>
      </c>
      <c r="G28" s="267">
        <v>3805.9188549779205</v>
      </c>
      <c r="H28" s="267">
        <v>345297.11792164715</v>
      </c>
      <c r="I28" s="267">
        <v>30784.611784761692</v>
      </c>
      <c r="J28" s="267">
        <v>234.08600946335582</v>
      </c>
      <c r="K28" s="267">
        <v>326616.87461619673</v>
      </c>
      <c r="L28" s="267">
        <v>48951.39890471039</v>
      </c>
      <c r="M28" s="267">
        <v>633.21778094895967</v>
      </c>
      <c r="N28" s="267">
        <v>174092.86610665513</v>
      </c>
      <c r="O28" s="267">
        <v>104194.11909544373</v>
      </c>
      <c r="P28" s="267">
        <v>1236.3136088284698</v>
      </c>
      <c r="Q28" s="267">
        <v>14673.997243391685</v>
      </c>
      <c r="R28" s="267">
        <v>10507.120633676448</v>
      </c>
      <c r="S28" s="267">
        <v>43535.991881767703</v>
      </c>
      <c r="T28" s="267">
        <v>8800</v>
      </c>
      <c r="U28" s="267">
        <v>21338.838885905086</v>
      </c>
      <c r="V28" s="267">
        <v>94011.602536305843</v>
      </c>
      <c r="W28" s="267">
        <v>28699.238862954713</v>
      </c>
      <c r="X28" s="278">
        <v>9623.509321750038</v>
      </c>
      <c r="Y28" s="279">
        <v>233898.83510375154</v>
      </c>
      <c r="Z28" s="280">
        <v>52172.239367814189</v>
      </c>
      <c r="AA28" s="269">
        <v>90799.363262483239</v>
      </c>
    </row>
    <row r="29" spans="1:27" x14ac:dyDescent="0.25">
      <c r="A29" s="270">
        <v>2020</v>
      </c>
      <c r="B29" s="271">
        <v>11</v>
      </c>
      <c r="C29" s="266">
        <v>1574.0276379086886</v>
      </c>
      <c r="D29" s="267">
        <v>394.3664223433401</v>
      </c>
      <c r="E29" s="267">
        <v>6261.4740631511349</v>
      </c>
      <c r="F29" s="267">
        <v>17003.943272408422</v>
      </c>
      <c r="G29" s="267">
        <v>3409.4762637716012</v>
      </c>
      <c r="H29" s="267">
        <v>356176.7463476219</v>
      </c>
      <c r="I29" s="267">
        <v>29725.408170908486</v>
      </c>
      <c r="J29" s="267">
        <v>260.56839605282909</v>
      </c>
      <c r="K29" s="267">
        <v>323952.55985297926</v>
      </c>
      <c r="L29" s="267">
        <v>45610.803526761207</v>
      </c>
      <c r="M29" s="267">
        <v>475.51918932662704</v>
      </c>
      <c r="N29" s="267">
        <v>171306.63364414615</v>
      </c>
      <c r="O29" s="267">
        <v>99181.964286142742</v>
      </c>
      <c r="P29" s="267">
        <v>986.87277121724628</v>
      </c>
      <c r="Q29" s="267">
        <v>13200.111686783697</v>
      </c>
      <c r="R29" s="267">
        <v>9109.3881357239279</v>
      </c>
      <c r="S29" s="267">
        <v>57828.767209558551</v>
      </c>
      <c r="T29" s="267">
        <v>8800</v>
      </c>
      <c r="U29" s="267">
        <v>21864.15268958532</v>
      </c>
      <c r="V29" s="267">
        <v>88457.752353140371</v>
      </c>
      <c r="W29" s="267">
        <v>25656.294344362905</v>
      </c>
      <c r="X29" s="278">
        <v>9984.0889067075659</v>
      </c>
      <c r="Y29" s="279">
        <v>236087.25909175561</v>
      </c>
      <c r="Z29" s="280">
        <v>49871.636763083698</v>
      </c>
      <c r="AA29" s="269">
        <v>82721.116461559141</v>
      </c>
    </row>
    <row r="30" spans="1:27" x14ac:dyDescent="0.25">
      <c r="A30" s="272">
        <v>2020</v>
      </c>
      <c r="B30" s="273">
        <v>12</v>
      </c>
      <c r="C30" s="274">
        <v>1905.6178755169701</v>
      </c>
      <c r="D30" s="275">
        <v>525.27739104722912</v>
      </c>
      <c r="E30" s="275">
        <v>7113.2565546215228</v>
      </c>
      <c r="F30" s="275">
        <v>20117.994712122298</v>
      </c>
      <c r="G30" s="275">
        <v>3979.5678382673536</v>
      </c>
      <c r="H30" s="275">
        <v>377549.78601231449</v>
      </c>
      <c r="I30" s="275">
        <v>31521.553040636267</v>
      </c>
      <c r="J30" s="275">
        <v>318.83845772547238</v>
      </c>
      <c r="K30" s="275">
        <v>327449.25056931964</v>
      </c>
      <c r="L30" s="275">
        <v>44519.430793352578</v>
      </c>
      <c r="M30" s="275">
        <v>54.370899018740133</v>
      </c>
      <c r="N30" s="275">
        <v>171047.00473686607</v>
      </c>
      <c r="O30" s="275">
        <v>98471.615432943159</v>
      </c>
      <c r="P30" s="275">
        <v>5.9522340550614166</v>
      </c>
      <c r="Q30" s="275">
        <v>10630.994893141498</v>
      </c>
      <c r="R30" s="275">
        <v>8935.4553096053096</v>
      </c>
      <c r="S30" s="275">
        <v>67937.203922434928</v>
      </c>
      <c r="T30" s="275">
        <v>8800</v>
      </c>
      <c r="U30" s="275">
        <v>22230.738203901925</v>
      </c>
      <c r="V30" s="275">
        <v>96082.972215156682</v>
      </c>
      <c r="W30" s="275">
        <v>27593.136950689604</v>
      </c>
      <c r="X30" s="281">
        <v>9481.8468089296512</v>
      </c>
      <c r="Y30" s="282">
        <v>235888.7807504496</v>
      </c>
      <c r="Z30" s="283">
        <v>45729.387877966423</v>
      </c>
      <c r="AA30" s="277">
        <v>77173.709278186943</v>
      </c>
    </row>
    <row r="31" spans="1:27" x14ac:dyDescent="0.25">
      <c r="A31" s="265">
        <v>2021</v>
      </c>
      <c r="B31" s="265">
        <v>1</v>
      </c>
      <c r="C31" s="266">
        <v>1610.4367035749074</v>
      </c>
      <c r="D31" s="267">
        <v>437.54079694069708</v>
      </c>
      <c r="E31" s="267">
        <v>7159.2978583584581</v>
      </c>
      <c r="F31" s="267">
        <v>20918.623588911465</v>
      </c>
      <c r="G31" s="267">
        <v>3786.0702382498666</v>
      </c>
      <c r="H31" s="267">
        <v>358465.05577011517</v>
      </c>
      <c r="I31" s="267">
        <v>35214.849071743294</v>
      </c>
      <c r="J31" s="267">
        <v>188.14189167741907</v>
      </c>
      <c r="K31" s="267">
        <v>302484.2421648422</v>
      </c>
      <c r="L31" s="267">
        <v>48725.773564278825</v>
      </c>
      <c r="M31" s="267">
        <v>142.45486114859102</v>
      </c>
      <c r="N31" s="267">
        <v>163558.43145521692</v>
      </c>
      <c r="O31" s="267">
        <v>113138.19882905643</v>
      </c>
      <c r="P31" s="267">
        <v>5.669394902664199</v>
      </c>
      <c r="Q31" s="267">
        <v>7582.4478266539327</v>
      </c>
      <c r="R31" s="267">
        <v>10711.202201168689</v>
      </c>
      <c r="S31" s="267">
        <v>68758.630382159739</v>
      </c>
      <c r="T31" s="267">
        <v>8800</v>
      </c>
      <c r="U31" s="267">
        <v>31097.308779123261</v>
      </c>
      <c r="V31" s="267">
        <v>79762.33726788967</v>
      </c>
      <c r="W31" s="267">
        <v>27987.571581090844</v>
      </c>
      <c r="X31" s="278">
        <v>10175.196544411068</v>
      </c>
      <c r="Y31" s="279">
        <v>233503.89902610634</v>
      </c>
      <c r="Z31" s="280">
        <v>44312.740499949658</v>
      </c>
      <c r="AA31" s="269">
        <v>80280.271254255815</v>
      </c>
    </row>
    <row r="32" spans="1:27" x14ac:dyDescent="0.25">
      <c r="A32" s="270">
        <v>2021</v>
      </c>
      <c r="B32" s="271">
        <v>2</v>
      </c>
      <c r="C32" s="266">
        <v>1532.7124226257001</v>
      </c>
      <c r="D32" s="267">
        <v>365.86877748538416</v>
      </c>
      <c r="E32" s="267">
        <v>6241.8356278730289</v>
      </c>
      <c r="F32" s="267">
        <v>17602.471489784653</v>
      </c>
      <c r="G32" s="267">
        <v>3535.5832402390829</v>
      </c>
      <c r="H32" s="267">
        <v>332960.98259028845</v>
      </c>
      <c r="I32" s="267">
        <v>29269.646480818279</v>
      </c>
      <c r="J32" s="267">
        <v>196.37490094865038</v>
      </c>
      <c r="K32" s="267">
        <v>282746.06839325291</v>
      </c>
      <c r="L32" s="267">
        <v>41869.231390482324</v>
      </c>
      <c r="M32" s="267">
        <v>168.17165253752782</v>
      </c>
      <c r="N32" s="267">
        <v>152921.07318962613</v>
      </c>
      <c r="O32" s="267">
        <v>93421.965328705075</v>
      </c>
      <c r="P32" s="267">
        <v>4.3041714267768567</v>
      </c>
      <c r="Q32" s="267">
        <v>10070.782574993331</v>
      </c>
      <c r="R32" s="267">
        <v>8770.2814938488864</v>
      </c>
      <c r="S32" s="267">
        <v>63325.040455515933</v>
      </c>
      <c r="T32" s="267">
        <v>8800</v>
      </c>
      <c r="U32" s="267">
        <v>28353.868766358271</v>
      </c>
      <c r="V32" s="267">
        <v>73450.184405225067</v>
      </c>
      <c r="W32" s="267">
        <v>24011.561179731543</v>
      </c>
      <c r="X32" s="278">
        <v>10755.174012809044</v>
      </c>
      <c r="Y32" s="279">
        <v>252860.48215042945</v>
      </c>
      <c r="Z32" s="280">
        <v>47525.18488925149</v>
      </c>
      <c r="AA32" s="269">
        <v>78660.140380676065</v>
      </c>
    </row>
    <row r="33" spans="1:27" x14ac:dyDescent="0.25">
      <c r="A33" s="270">
        <v>2021</v>
      </c>
      <c r="B33" s="271">
        <v>3</v>
      </c>
      <c r="C33" s="266">
        <v>1594.0794117132496</v>
      </c>
      <c r="D33" s="267">
        <v>356.47476966787161</v>
      </c>
      <c r="E33" s="267">
        <v>6841.7160503491486</v>
      </c>
      <c r="F33" s="267">
        <v>18005.822737928451</v>
      </c>
      <c r="G33" s="267">
        <v>3575.580763644286</v>
      </c>
      <c r="H33" s="267">
        <v>340592.52068956476</v>
      </c>
      <c r="I33" s="267">
        <v>32565.166111107654</v>
      </c>
      <c r="J33" s="267">
        <v>299.29719585509127</v>
      </c>
      <c r="K33" s="267">
        <v>302641.26357040595</v>
      </c>
      <c r="L33" s="267">
        <v>46258.941591419898</v>
      </c>
      <c r="M33" s="267">
        <v>205.97114649336319</v>
      </c>
      <c r="N33" s="267">
        <v>163432.13880549575</v>
      </c>
      <c r="O33" s="267">
        <v>103475.39067527078</v>
      </c>
      <c r="P33" s="267">
        <v>5.2405299822882405</v>
      </c>
      <c r="Q33" s="267">
        <v>14878.351659915414</v>
      </c>
      <c r="R33" s="267">
        <v>9110.6881132449744</v>
      </c>
      <c r="S33" s="267">
        <v>64220.055267997064</v>
      </c>
      <c r="T33" s="267">
        <v>8800</v>
      </c>
      <c r="U33" s="267">
        <v>30164.015636409713</v>
      </c>
      <c r="V33" s="267">
        <v>89109.933327670267</v>
      </c>
      <c r="W33" s="267">
        <v>28440.892881490345</v>
      </c>
      <c r="X33" s="278">
        <v>9870.137692361317</v>
      </c>
      <c r="Y33" s="279">
        <v>245001.59361781256</v>
      </c>
      <c r="Z33" s="280">
        <v>45076.973260194129</v>
      </c>
      <c r="AA33" s="269">
        <v>90157.335449085498</v>
      </c>
    </row>
    <row r="34" spans="1:27" x14ac:dyDescent="0.25">
      <c r="A34" s="270">
        <v>2021</v>
      </c>
      <c r="B34" s="271">
        <v>4</v>
      </c>
      <c r="C34" s="266">
        <v>1282.1024353002761</v>
      </c>
      <c r="D34" s="267">
        <v>285.17731617877757</v>
      </c>
      <c r="E34" s="267">
        <v>6280.1260202473995</v>
      </c>
      <c r="F34" s="267">
        <v>15595.073532147097</v>
      </c>
      <c r="G34" s="267">
        <v>3250.5586642185003</v>
      </c>
      <c r="H34" s="267">
        <v>333991.82963306882</v>
      </c>
      <c r="I34" s="267">
        <v>30523.226865496199</v>
      </c>
      <c r="J34" s="267">
        <v>426.13281774080957</v>
      </c>
      <c r="K34" s="267">
        <v>291517.87025631283</v>
      </c>
      <c r="L34" s="267">
        <v>44363.931680031281</v>
      </c>
      <c r="M34" s="267">
        <v>287.6582437445399</v>
      </c>
      <c r="N34" s="267">
        <v>157847.35174222299</v>
      </c>
      <c r="O34" s="267">
        <v>101118.68004436954</v>
      </c>
      <c r="P34" s="267">
        <v>6.557067962014262</v>
      </c>
      <c r="Q34" s="267">
        <v>15157.090958661878</v>
      </c>
      <c r="R34" s="267">
        <v>8496.1588704811256</v>
      </c>
      <c r="S34" s="267">
        <v>57921.395886904451</v>
      </c>
      <c r="T34" s="267">
        <v>8800</v>
      </c>
      <c r="U34" s="267">
        <v>23556.572291882814</v>
      </c>
      <c r="V34" s="267">
        <v>83297.484944345575</v>
      </c>
      <c r="W34" s="267">
        <v>28311.313469956269</v>
      </c>
      <c r="X34" s="278">
        <v>9853.8518396015388</v>
      </c>
      <c r="Y34" s="279">
        <v>257016.7253532047</v>
      </c>
      <c r="Z34" s="280">
        <v>44412.445432553024</v>
      </c>
      <c r="AA34" s="269">
        <v>88951.991437791439</v>
      </c>
    </row>
    <row r="35" spans="1:27" x14ac:dyDescent="0.25">
      <c r="A35" s="270">
        <v>2021</v>
      </c>
      <c r="B35" s="271">
        <v>5</v>
      </c>
      <c r="C35" s="266">
        <v>1086.5652769225785</v>
      </c>
      <c r="D35" s="267">
        <v>277.63740462395657</v>
      </c>
      <c r="E35" s="267">
        <v>6079.5045660455944</v>
      </c>
      <c r="F35" s="267">
        <v>13724.454389901484</v>
      </c>
      <c r="G35" s="267">
        <v>3096.1751891559597</v>
      </c>
      <c r="H35" s="267">
        <v>336080.23798001936</v>
      </c>
      <c r="I35" s="267">
        <v>30620.991559651025</v>
      </c>
      <c r="J35" s="267">
        <v>384.58191424207098</v>
      </c>
      <c r="K35" s="267">
        <v>305273.81547637534</v>
      </c>
      <c r="L35" s="267">
        <v>48327.559063844725</v>
      </c>
      <c r="M35" s="267">
        <v>496.25869434274023</v>
      </c>
      <c r="N35" s="267">
        <v>167318.57795589729</v>
      </c>
      <c r="O35" s="267">
        <v>104865.8439493996</v>
      </c>
      <c r="P35" s="267">
        <v>783.21722859880424</v>
      </c>
      <c r="Q35" s="267">
        <v>16912.596208344516</v>
      </c>
      <c r="R35" s="267">
        <v>9701.4983462353885</v>
      </c>
      <c r="S35" s="267">
        <v>51272.189850390547</v>
      </c>
      <c r="T35" s="267">
        <v>8800</v>
      </c>
      <c r="U35" s="267">
        <v>20056.272092181673</v>
      </c>
      <c r="V35" s="267">
        <v>82432.01531312296</v>
      </c>
      <c r="W35" s="267">
        <v>27344.433667134304</v>
      </c>
      <c r="X35" s="268">
        <v>9247.0152534938225</v>
      </c>
      <c r="Y35" s="267">
        <v>243101.06054515779</v>
      </c>
      <c r="Z35" s="269">
        <v>44498.412704578899</v>
      </c>
      <c r="AA35" s="269">
        <v>82749.549065771149</v>
      </c>
    </row>
    <row r="36" spans="1:27" x14ac:dyDescent="0.25">
      <c r="A36" s="270">
        <v>2021</v>
      </c>
      <c r="B36" s="271">
        <v>6</v>
      </c>
      <c r="C36" s="266">
        <v>841.74341863072573</v>
      </c>
      <c r="D36" s="267">
        <v>378.87889663119739</v>
      </c>
      <c r="E36" s="267">
        <v>5807.3760123165275</v>
      </c>
      <c r="F36" s="267">
        <v>12727.092907679798</v>
      </c>
      <c r="G36" s="267">
        <v>3013.4941223496453</v>
      </c>
      <c r="H36" s="267">
        <v>321798.51474050607</v>
      </c>
      <c r="I36" s="267">
        <v>29145.43351682002</v>
      </c>
      <c r="J36" s="267">
        <v>393.7100880043551</v>
      </c>
      <c r="K36" s="267">
        <v>298149.70586896845</v>
      </c>
      <c r="L36" s="267">
        <v>46218.161636384233</v>
      </c>
      <c r="M36" s="267">
        <v>486.02648117049091</v>
      </c>
      <c r="N36" s="267">
        <v>164220.57746222758</v>
      </c>
      <c r="O36" s="267">
        <v>99637.860050397299</v>
      </c>
      <c r="P36" s="267">
        <v>1191.6184828930038</v>
      </c>
      <c r="Q36" s="267">
        <v>10471.226614258607</v>
      </c>
      <c r="R36" s="267">
        <v>9083.1334505775067</v>
      </c>
      <c r="S36" s="267">
        <v>39059.460226262418</v>
      </c>
      <c r="T36" s="267">
        <v>8800</v>
      </c>
      <c r="U36" s="267">
        <v>21535.941222488254</v>
      </c>
      <c r="V36" s="267">
        <v>83030.747231136105</v>
      </c>
      <c r="W36" s="267">
        <v>27493.661178162365</v>
      </c>
      <c r="X36" s="268">
        <v>9146.3135638558269</v>
      </c>
      <c r="Y36" s="267">
        <v>228179.18474412651</v>
      </c>
      <c r="Z36" s="269">
        <v>44905.598734229738</v>
      </c>
      <c r="AA36" s="269">
        <v>83071.302933192972</v>
      </c>
    </row>
    <row r="37" spans="1:27" x14ac:dyDescent="0.25">
      <c r="A37" s="270">
        <v>2021</v>
      </c>
      <c r="B37" s="271">
        <v>7</v>
      </c>
      <c r="C37" s="266">
        <v>746.88031588539673</v>
      </c>
      <c r="D37" s="267">
        <v>488.30976001043632</v>
      </c>
      <c r="E37" s="267">
        <v>6189.2737511751266</v>
      </c>
      <c r="F37" s="267">
        <v>13848.583105244061</v>
      </c>
      <c r="G37" s="267">
        <v>4400.5794307582228</v>
      </c>
      <c r="H37" s="267">
        <v>340716.59215823218</v>
      </c>
      <c r="I37" s="267">
        <v>29805.724722660423</v>
      </c>
      <c r="J37" s="267">
        <v>326.68514888724036</v>
      </c>
      <c r="K37" s="267">
        <v>321600.43890748633</v>
      </c>
      <c r="L37" s="267">
        <v>45667.323791281488</v>
      </c>
      <c r="M37" s="267">
        <v>736.0298836586785</v>
      </c>
      <c r="N37" s="267">
        <v>166470.3410258278</v>
      </c>
      <c r="O37" s="267">
        <v>102097.1972208396</v>
      </c>
      <c r="P37" s="267">
        <v>1380.4705896960215</v>
      </c>
      <c r="Q37" s="267">
        <v>11756.101696465088</v>
      </c>
      <c r="R37" s="267">
        <v>10368.437071663306</v>
      </c>
      <c r="S37" s="267">
        <v>31174.557439384225</v>
      </c>
      <c r="T37" s="267">
        <v>8800</v>
      </c>
      <c r="U37" s="267">
        <v>22262.909891356641</v>
      </c>
      <c r="V37" s="267">
        <v>88085.625985829349</v>
      </c>
      <c r="W37" s="267">
        <v>26947.018275179485</v>
      </c>
      <c r="X37" s="268">
        <v>9470.4917926177823</v>
      </c>
      <c r="Y37" s="267">
        <v>241745.59385414995</v>
      </c>
      <c r="Z37" s="269">
        <v>46728.243501494013</v>
      </c>
      <c r="AA37" s="269">
        <v>78663.075787736685</v>
      </c>
    </row>
    <row r="38" spans="1:27" x14ac:dyDescent="0.25">
      <c r="A38" s="270">
        <v>2021</v>
      </c>
      <c r="B38" s="271">
        <v>8</v>
      </c>
      <c r="C38" s="266">
        <v>697.93183170310385</v>
      </c>
      <c r="D38" s="267">
        <v>467.92200355443453</v>
      </c>
      <c r="E38" s="267">
        <v>6051.5117053615941</v>
      </c>
      <c r="F38" s="267">
        <v>14304.385740747441</v>
      </c>
      <c r="G38" s="267">
        <v>4529.8609401969461</v>
      </c>
      <c r="H38" s="267">
        <v>335995.25819167693</v>
      </c>
      <c r="I38" s="267">
        <v>30292.009557673966</v>
      </c>
      <c r="J38" s="267">
        <v>348.34611938595174</v>
      </c>
      <c r="K38" s="267">
        <v>316636.9120314102</v>
      </c>
      <c r="L38" s="267">
        <v>47123.200553366994</v>
      </c>
      <c r="M38" s="267">
        <v>959.66370599675281</v>
      </c>
      <c r="N38" s="267">
        <v>163576.88564573872</v>
      </c>
      <c r="O38" s="267">
        <v>102693.17408783683</v>
      </c>
      <c r="P38" s="267">
        <v>1414.7387042973935</v>
      </c>
      <c r="Q38" s="267">
        <v>8959.118199221195</v>
      </c>
      <c r="R38" s="267">
        <v>9227.1932911025669</v>
      </c>
      <c r="S38" s="267">
        <v>20800.791225951172</v>
      </c>
      <c r="T38" s="267">
        <v>8800</v>
      </c>
      <c r="U38" s="267">
        <v>22035.909759858056</v>
      </c>
      <c r="V38" s="267">
        <v>86211.735068019872</v>
      </c>
      <c r="W38" s="267">
        <v>29190.433293573053</v>
      </c>
      <c r="X38" s="268">
        <v>9693.1322671215294</v>
      </c>
      <c r="Y38" s="267">
        <v>242741.64284198303</v>
      </c>
      <c r="Z38" s="269">
        <v>46521.96208755947</v>
      </c>
      <c r="AA38" s="269">
        <v>78618.221965350473</v>
      </c>
    </row>
    <row r="39" spans="1:27" x14ac:dyDescent="0.25">
      <c r="A39" s="270">
        <v>2021</v>
      </c>
      <c r="B39" s="271">
        <v>9</v>
      </c>
      <c r="C39" s="266">
        <v>886.8638452573158</v>
      </c>
      <c r="D39" s="267">
        <v>393.84045664685368</v>
      </c>
      <c r="E39" s="267">
        <v>5830.1794340816186</v>
      </c>
      <c r="F39" s="267">
        <v>13558.685711013301</v>
      </c>
      <c r="G39" s="267">
        <v>4350.7362760244687</v>
      </c>
      <c r="H39" s="267">
        <v>325905.07305111893</v>
      </c>
      <c r="I39" s="267">
        <v>29149.161203533244</v>
      </c>
      <c r="J39" s="267">
        <v>300.19271120678582</v>
      </c>
      <c r="K39" s="267">
        <v>298595.85204108164</v>
      </c>
      <c r="L39" s="267">
        <v>46065.111451197197</v>
      </c>
      <c r="M39" s="267">
        <v>727.38452119870271</v>
      </c>
      <c r="N39" s="267">
        <v>156162.33675678531</v>
      </c>
      <c r="O39" s="267">
        <v>98420.209492747541</v>
      </c>
      <c r="P39" s="267">
        <v>1368.4853914845269</v>
      </c>
      <c r="Q39" s="267">
        <v>12091.073267781518</v>
      </c>
      <c r="R39" s="267">
        <v>10240.574071167397</v>
      </c>
      <c r="S39" s="267">
        <v>29444.570108423082</v>
      </c>
      <c r="T39" s="267">
        <v>8800</v>
      </c>
      <c r="U39" s="267">
        <v>18313.015554871174</v>
      </c>
      <c r="V39" s="267">
        <v>88294.088210978065</v>
      </c>
      <c r="W39" s="267">
        <v>27856.861796327015</v>
      </c>
      <c r="X39" s="268">
        <v>9575.5042851503913</v>
      </c>
      <c r="Y39" s="267">
        <v>252529.27049732089</v>
      </c>
      <c r="Z39" s="269">
        <v>54923.70086521552</v>
      </c>
      <c r="AA39" s="269">
        <v>46805.449887509516</v>
      </c>
    </row>
    <row r="40" spans="1:27" x14ac:dyDescent="0.25">
      <c r="A40" s="270">
        <v>2021</v>
      </c>
      <c r="B40" s="271">
        <v>10</v>
      </c>
      <c r="C40" s="266">
        <v>1231.3427271991372</v>
      </c>
      <c r="D40" s="267">
        <v>345.91762991811589</v>
      </c>
      <c r="E40" s="267">
        <v>6135.9818153822598</v>
      </c>
      <c r="F40" s="267">
        <v>14925.472908667318</v>
      </c>
      <c r="G40" s="267">
        <v>3714.4525504634507</v>
      </c>
      <c r="H40" s="267">
        <v>336865.84756747866</v>
      </c>
      <c r="I40" s="267">
        <v>30290.659367571476</v>
      </c>
      <c r="J40" s="267">
        <v>235.06372203627481</v>
      </c>
      <c r="K40" s="267">
        <v>315791.91246307391</v>
      </c>
      <c r="L40" s="267">
        <v>46675.562405416102</v>
      </c>
      <c r="M40" s="267">
        <v>626.6112837397244</v>
      </c>
      <c r="N40" s="267">
        <v>167668.95544052494</v>
      </c>
      <c r="O40" s="267">
        <v>103146.02098842074</v>
      </c>
      <c r="P40" s="267">
        <v>1203.2857070878238</v>
      </c>
      <c r="Q40" s="267">
        <v>15365.850130781912</v>
      </c>
      <c r="R40" s="267">
        <v>10247.111717910095</v>
      </c>
      <c r="S40" s="267">
        <v>42372.935476188592</v>
      </c>
      <c r="T40" s="267">
        <v>8800</v>
      </c>
      <c r="U40" s="267">
        <v>20926.395938434605</v>
      </c>
      <c r="V40" s="267">
        <v>91500.099023866074</v>
      </c>
      <c r="W40" s="267">
        <v>28144.532080168385</v>
      </c>
      <c r="X40" s="268">
        <v>9028.9485314245758</v>
      </c>
      <c r="Y40" s="267">
        <v>233402.16709888805</v>
      </c>
      <c r="Z40" s="269">
        <v>52429.062242697306</v>
      </c>
      <c r="AA40" s="269">
        <v>94655.2868181659</v>
      </c>
    </row>
    <row r="41" spans="1:27" x14ac:dyDescent="0.25">
      <c r="A41" s="270">
        <v>2021</v>
      </c>
      <c r="B41" s="271">
        <v>11</v>
      </c>
      <c r="C41" s="266">
        <v>1576.1779488894383</v>
      </c>
      <c r="D41" s="267">
        <v>389.74527271766726</v>
      </c>
      <c r="E41" s="267">
        <v>6087.9430224118414</v>
      </c>
      <c r="F41" s="267">
        <v>16577.672471097139</v>
      </c>
      <c r="G41" s="267">
        <v>3324.0043143698399</v>
      </c>
      <c r="H41" s="267">
        <v>347122.29493556911</v>
      </c>
      <c r="I41" s="267">
        <v>29226.045670809923</v>
      </c>
      <c r="J41" s="267">
        <v>261.96246175682069</v>
      </c>
      <c r="K41" s="267">
        <v>312876.63033455826</v>
      </c>
      <c r="L41" s="267">
        <v>43453.300361866502</v>
      </c>
      <c r="M41" s="267">
        <v>470.07487802612411</v>
      </c>
      <c r="N41" s="267">
        <v>164983.9876078823</v>
      </c>
      <c r="O41" s="267">
        <v>98105.40319661489</v>
      </c>
      <c r="P41" s="267">
        <v>959.52249277811211</v>
      </c>
      <c r="Q41" s="267">
        <v>13886.46688126256</v>
      </c>
      <c r="R41" s="267">
        <v>8877.7460202019829</v>
      </c>
      <c r="S41" s="267">
        <v>56226.095688869573</v>
      </c>
      <c r="T41" s="267">
        <v>8800</v>
      </c>
      <c r="U41" s="267">
        <v>21426.540793720858</v>
      </c>
      <c r="V41" s="267">
        <v>86006.226454848307</v>
      </c>
      <c r="W41" s="267">
        <v>25142.78258068769</v>
      </c>
      <c r="X41" s="268">
        <v>9363.7486502786469</v>
      </c>
      <c r="Y41" s="267">
        <v>235497.86657039603</v>
      </c>
      <c r="Z41" s="269">
        <v>50098.397612653323</v>
      </c>
      <c r="AA41" s="269">
        <v>83586.192835964845</v>
      </c>
    </row>
    <row r="42" spans="1:27" x14ac:dyDescent="0.25">
      <c r="A42" s="272">
        <v>2021</v>
      </c>
      <c r="B42" s="273">
        <v>12</v>
      </c>
      <c r="C42" s="274">
        <v>1907.4396899295102</v>
      </c>
      <c r="D42" s="275">
        <v>519.66611343658087</v>
      </c>
      <c r="E42" s="275">
        <v>6905.3313714579881</v>
      </c>
      <c r="F42" s="275">
        <v>19582.747151756994</v>
      </c>
      <c r="G42" s="275">
        <v>3873.6897919103108</v>
      </c>
      <c r="H42" s="275">
        <v>367378.71710321726</v>
      </c>
      <c r="I42" s="275">
        <v>30938.990766298128</v>
      </c>
      <c r="J42" s="275">
        <v>321.09795714836758</v>
      </c>
      <c r="K42" s="275">
        <v>315899.59417702875</v>
      </c>
      <c r="L42" s="275">
        <v>42303.188742127051</v>
      </c>
      <c r="M42" s="275">
        <v>53.664559276346559</v>
      </c>
      <c r="N42" s="275">
        <v>164733.58538752329</v>
      </c>
      <c r="O42" s="275">
        <v>97252.036941979124</v>
      </c>
      <c r="P42" s="275">
        <v>5.7782463257243117</v>
      </c>
      <c r="Q42" s="275">
        <v>11399.624283581043</v>
      </c>
      <c r="R42" s="275">
        <v>8694.2137417664908</v>
      </c>
      <c r="S42" s="275">
        <v>65951.354619697056</v>
      </c>
      <c r="T42" s="275">
        <v>8800</v>
      </c>
      <c r="U42" s="275">
        <v>21750.708659703789</v>
      </c>
      <c r="V42" s="275">
        <v>93274.403531695745</v>
      </c>
      <c r="W42" s="275">
        <v>26997.31683747756</v>
      </c>
      <c r="X42" s="276">
        <v>8887.991289812986</v>
      </c>
      <c r="Y42" s="275">
        <v>235174.96639197096</v>
      </c>
      <c r="Z42" s="277">
        <v>45912.926914848089</v>
      </c>
      <c r="AA42" s="277">
        <v>82966.337824037706</v>
      </c>
    </row>
  </sheetData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942F0C0600B2438203619E958EB3B4" ma:contentTypeVersion="52" ma:contentTypeDescription="" ma:contentTypeScope="" ma:versionID="a25085b4487780eb5bbb504865c73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200269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7FBE499-3339-40E7-9148-9E4087F90C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0D8D4A7-533F-4256-A9FB-E263D2D6B496}"/>
</file>

<file path=customXml/itemProps3.xml><?xml version="1.0" encoding="utf-8"?>
<ds:datastoreItem xmlns:ds="http://schemas.openxmlformats.org/officeDocument/2006/customXml" ds:itemID="{250E38C0-20C3-4761-94C1-EDF518784148}"/>
</file>

<file path=customXml/itemProps4.xml><?xml version="1.0" encoding="utf-8"?>
<ds:datastoreItem xmlns:ds="http://schemas.openxmlformats.org/officeDocument/2006/customXml" ds:itemID="{67142B96-FBED-4858-B70F-46EB13E7D1E5}"/>
</file>

<file path=customXml/itemProps5.xml><?xml version="1.0" encoding="utf-8"?>
<ds:datastoreItem xmlns:ds="http://schemas.openxmlformats.org/officeDocument/2006/customXml" ds:itemID="{EE5817DB-21FC-43F3-8D89-631BC03A9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2020 Prop Tax Rate Impacts</vt:lpstr>
      <vt:lpstr>FINAL 2020 Prop Tax Rate Des</vt:lpstr>
      <vt:lpstr>Sch 449-459 Rate Design</vt:lpstr>
      <vt:lpstr>2020 Street &amp; Area Lighting</vt:lpstr>
      <vt:lpstr>2020 FINAL Rev Req</vt:lpstr>
      <vt:lpstr>Typical Res Customer Sch 140</vt:lpstr>
      <vt:lpstr>Projected Revenue on F2019</vt:lpstr>
      <vt:lpstr>UE-180280 Compliance ECOS </vt:lpstr>
      <vt:lpstr>F2019 Demand Forecast</vt:lpstr>
      <vt:lpstr>2019 Final Prop Tax Rate Design</vt:lpstr>
      <vt:lpstr>'2020 Prop Tax Rate Impacts'!Print_Area</vt:lpstr>
      <vt:lpstr>'2020 Street &amp; Area Lighting'!Print_Area</vt:lpstr>
      <vt:lpstr>'FINAL 2020 Prop Tax Rate Des'!Print_Area</vt:lpstr>
      <vt:lpstr>'Projected Revenue on F2019'!Print_Area</vt:lpstr>
      <vt:lpstr>'Sch 449-459 Rate Design'!Print_Area</vt:lpstr>
      <vt:lpstr>'Typical Res Customer Sch 140'!Print_Area</vt:lpstr>
      <vt:lpstr>'UE-180280 Compliance ECOS '!Print_Area</vt:lpstr>
      <vt:lpstr>'2020 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2020-02-11T01:03:55Z</cp:lastPrinted>
  <dcterms:created xsi:type="dcterms:W3CDTF">2014-04-04T17:25:38Z</dcterms:created>
  <dcterms:modified xsi:type="dcterms:W3CDTF">2020-04-15T22:54:14Z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0x0101006E56B4D1795A2E4DB2F0B01679ED314A006E942F0C0600B2438203619E958EB3B4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