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ANNUAL REPORTING\Annual Report 2020\CAG Review\For CAG\"/>
    </mc:Choice>
  </mc:AlternateContent>
  <xr:revisionPtr revIDLastSave="0" documentId="13_ncr:1_{36D16272-625E-4581-BEA4-482CE749EBC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TOTAL FIRST YEAR" sheetId="3" r:id="rId1"/>
    <sheet name="APP 2885" sheetId="8" r:id="rId2"/>
  </sheets>
  <externalReferences>
    <externalReference r:id="rId3"/>
    <externalReference r:id="rId4"/>
    <externalReference r:id="rId5"/>
    <externalReference r:id="rId6"/>
  </externalReferences>
  <definedNames>
    <definedName name="AC">'APP 2885'!$B$10:$H$54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Tdiscount">'[3]Rates&amp;NEB'!$B$9</definedName>
    <definedName name="NEPercentage">'[3]Rates&amp;NEB'!$B$13</definedName>
    <definedName name="NomInt">'[3]Rates&amp;NEB'!$B$5</definedName>
    <definedName name="OffsetAnchor" localSheetId="0">'TOTAL FIRST YEAR'!$A$3</definedName>
    <definedName name="_xlnm.Print_Area" localSheetId="0">'TOTAL FIRST YEAR'!$A$1:$Z$84</definedName>
    <definedName name="SSMeasures">[4]Sheet4!$A$5:$G$115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3" l="1"/>
  <c r="J62" i="3"/>
  <c r="J63" i="3"/>
  <c r="J64" i="3"/>
  <c r="J65" i="3"/>
  <c r="J66" i="3"/>
  <c r="J67" i="3"/>
  <c r="J68" i="3"/>
  <c r="J69" i="3"/>
  <c r="J70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K7" i="3" l="1"/>
  <c r="H61" i="3" l="1"/>
  <c r="O61" i="3" s="1"/>
  <c r="K61" i="3"/>
  <c r="L61" i="3"/>
  <c r="H62" i="3"/>
  <c r="O62" i="3" s="1"/>
  <c r="T62" i="3" s="1"/>
  <c r="K62" i="3"/>
  <c r="L62" i="3"/>
  <c r="H63" i="3"/>
  <c r="K63" i="3"/>
  <c r="L63" i="3"/>
  <c r="M62" i="3" l="1"/>
  <c r="X62" i="3" s="1"/>
  <c r="M63" i="3"/>
  <c r="M61" i="3"/>
  <c r="X61" i="3" s="1"/>
  <c r="T61" i="3"/>
  <c r="O63" i="3"/>
  <c r="T63" i="3" l="1"/>
  <c r="X63" i="3"/>
  <c r="A81" i="3" l="1"/>
  <c r="A83" i="3" l="1"/>
  <c r="L22" i="3" l="1"/>
  <c r="K22" i="3"/>
  <c r="R22" i="3"/>
  <c r="L21" i="3"/>
  <c r="K21" i="3"/>
  <c r="R21" i="3"/>
  <c r="R20" i="3"/>
  <c r="R23" i="3"/>
  <c r="R24" i="3"/>
  <c r="M21" i="3" l="1"/>
  <c r="M22" i="3"/>
  <c r="J10" i="3"/>
  <c r="J7" i="3"/>
  <c r="J12" i="3"/>
  <c r="J9" i="3"/>
  <c r="J11" i="3"/>
  <c r="J8" i="3"/>
  <c r="H22" i="3"/>
  <c r="H21" i="3"/>
  <c r="J72" i="3" l="1"/>
  <c r="O21" i="3"/>
  <c r="T21" i="3" s="1"/>
  <c r="O22" i="3"/>
  <c r="X22" i="3" l="1"/>
  <c r="T22" i="3"/>
  <c r="X21" i="3"/>
  <c r="D72" i="3" l="1"/>
  <c r="H64" i="3"/>
  <c r="H65" i="3"/>
  <c r="H66" i="3"/>
  <c r="H67" i="3"/>
  <c r="H68" i="3"/>
  <c r="H69" i="3"/>
  <c r="H70" i="3"/>
  <c r="R53" i="3" l="1"/>
  <c r="R47" i="3"/>
  <c r="R38" i="3"/>
  <c r="R27" i="3"/>
  <c r="R16" i="3"/>
  <c r="R15" i="3"/>
  <c r="R13" i="3"/>
  <c r="R9" i="3"/>
  <c r="R8" i="3"/>
  <c r="R54" i="3"/>
  <c r="R51" i="3"/>
  <c r="H48" i="3"/>
  <c r="O48" i="3" s="1"/>
  <c r="H46" i="3"/>
  <c r="R45" i="3"/>
  <c r="L44" i="3"/>
  <c r="L42" i="3"/>
  <c r="H40" i="3"/>
  <c r="O40" i="3" s="1"/>
  <c r="H39" i="3"/>
  <c r="O39" i="3" s="1"/>
  <c r="U39" i="3" s="1"/>
  <c r="L37" i="3"/>
  <c r="R36" i="3"/>
  <c r="R31" i="3"/>
  <c r="L30" i="3"/>
  <c r="L27" i="3"/>
  <c r="L25" i="3"/>
  <c r="L23" i="3"/>
  <c r="L20" i="3"/>
  <c r="H18" i="3"/>
  <c r="L16" i="3"/>
  <c r="R55" i="3"/>
  <c r="V27" i="3" l="1"/>
  <c r="V9" i="3"/>
  <c r="V16" i="3"/>
  <c r="V38" i="3"/>
  <c r="L29" i="3"/>
  <c r="L47" i="3"/>
  <c r="L15" i="3"/>
  <c r="L35" i="3"/>
  <c r="L50" i="3"/>
  <c r="L49" i="3"/>
  <c r="H42" i="3"/>
  <c r="O42" i="3" s="1"/>
  <c r="L43" i="3"/>
  <c r="H49" i="3"/>
  <c r="O49" i="3" s="1"/>
  <c r="L14" i="3"/>
  <c r="L28" i="3"/>
  <c r="L41" i="3"/>
  <c r="L24" i="3"/>
  <c r="L32" i="3"/>
  <c r="L39" i="3"/>
  <c r="L52" i="3"/>
  <c r="L46" i="3"/>
  <c r="L18" i="3"/>
  <c r="L19" i="3"/>
  <c r="L26" i="3"/>
  <c r="L33" i="3"/>
  <c r="L40" i="3"/>
  <c r="H41" i="3"/>
  <c r="O41" i="3" s="1"/>
  <c r="K44" i="3"/>
  <c r="M44" i="3" s="1"/>
  <c r="H52" i="3"/>
  <c r="O52" i="3" s="1"/>
  <c r="K41" i="3"/>
  <c r="H38" i="3"/>
  <c r="O38" i="3" s="1"/>
  <c r="U38" i="3" s="1"/>
  <c r="K52" i="3"/>
  <c r="K47" i="3"/>
  <c r="K43" i="3"/>
  <c r="K40" i="3"/>
  <c r="M40" i="3" s="1"/>
  <c r="L38" i="3"/>
  <c r="L36" i="3"/>
  <c r="L34" i="3"/>
  <c r="L31" i="3"/>
  <c r="L17" i="3"/>
  <c r="L54" i="3"/>
  <c r="L51" i="3"/>
  <c r="L48" i="3"/>
  <c r="L45" i="3"/>
  <c r="H7" i="3"/>
  <c r="H56" i="3"/>
  <c r="H58" i="3"/>
  <c r="O58" i="3" s="1"/>
  <c r="Y58" i="3" s="1"/>
  <c r="H10" i="3"/>
  <c r="O10" i="3" s="1"/>
  <c r="H11" i="3"/>
  <c r="O11" i="3" s="1"/>
  <c r="H14" i="3"/>
  <c r="O14" i="3" s="1"/>
  <c r="U14" i="3" s="1"/>
  <c r="H17" i="3"/>
  <c r="O17" i="3" s="1"/>
  <c r="U17" i="3" s="1"/>
  <c r="O18" i="3"/>
  <c r="H19" i="3"/>
  <c r="O19" i="3" s="1"/>
  <c r="U19" i="3" s="1"/>
  <c r="H20" i="3"/>
  <c r="H25" i="3"/>
  <c r="O25" i="3" s="1"/>
  <c r="U25" i="3" s="1"/>
  <c r="H26" i="3"/>
  <c r="O26" i="3" s="1"/>
  <c r="H28" i="3"/>
  <c r="O28" i="3" s="1"/>
  <c r="H30" i="3"/>
  <c r="O30" i="3" s="1"/>
  <c r="U30" i="3" s="1"/>
  <c r="H32" i="3"/>
  <c r="O32" i="3" s="1"/>
  <c r="H33" i="3"/>
  <c r="O33" i="3" s="1"/>
  <c r="H34" i="3"/>
  <c r="O34" i="3" s="1"/>
  <c r="Y34" i="3" s="1"/>
  <c r="H37" i="3"/>
  <c r="O37" i="3" s="1"/>
  <c r="K50" i="3"/>
  <c r="K46" i="3"/>
  <c r="K42" i="3"/>
  <c r="M42" i="3" s="1"/>
  <c r="L53" i="3"/>
  <c r="K49" i="3"/>
  <c r="M49" i="3" s="1"/>
  <c r="K39" i="3"/>
  <c r="M39" i="3" s="1"/>
  <c r="R34" i="3"/>
  <c r="R26" i="3"/>
  <c r="R46" i="3"/>
  <c r="H16" i="3"/>
  <c r="O16" i="3" s="1"/>
  <c r="U16" i="3" s="1"/>
  <c r="R40" i="3"/>
  <c r="R25" i="3"/>
  <c r="H27" i="3"/>
  <c r="O27" i="3" s="1"/>
  <c r="U27" i="3" s="1"/>
  <c r="V45" i="3"/>
  <c r="R52" i="3"/>
  <c r="R42" i="3"/>
  <c r="R28" i="3"/>
  <c r="R19" i="3"/>
  <c r="R10" i="3"/>
  <c r="R7" i="3"/>
  <c r="Y39" i="3"/>
  <c r="H23" i="3"/>
  <c r="H24" i="3"/>
  <c r="H43" i="3"/>
  <c r="R43" i="3"/>
  <c r="H44" i="3"/>
  <c r="R44" i="3"/>
  <c r="V47" i="3"/>
  <c r="O46" i="3"/>
  <c r="R41" i="3"/>
  <c r="R37" i="3"/>
  <c r="R33" i="3"/>
  <c r="R18" i="3"/>
  <c r="R58" i="3"/>
  <c r="H50" i="3"/>
  <c r="R50" i="3"/>
  <c r="R49" i="3"/>
  <c r="R32" i="3"/>
  <c r="V8" i="3"/>
  <c r="H29" i="3"/>
  <c r="R29" i="3"/>
  <c r="R17" i="3"/>
  <c r="R56" i="3"/>
  <c r="H57" i="3"/>
  <c r="R57" i="3"/>
  <c r="H59" i="3"/>
  <c r="R59" i="3"/>
  <c r="H12" i="3"/>
  <c r="R12" i="3"/>
  <c r="H35" i="3"/>
  <c r="R35" i="3"/>
  <c r="R48" i="3"/>
  <c r="R39" i="3"/>
  <c r="R30" i="3"/>
  <c r="R14" i="3"/>
  <c r="R11" i="3"/>
  <c r="K51" i="3"/>
  <c r="M51" i="3" s="1"/>
  <c r="K48" i="3"/>
  <c r="K45" i="3"/>
  <c r="K53" i="3"/>
  <c r="M53" i="3" s="1"/>
  <c r="H31" i="3"/>
  <c r="H45" i="3"/>
  <c r="H51" i="3"/>
  <c r="H13" i="3"/>
  <c r="H36" i="3"/>
  <c r="H8" i="3"/>
  <c r="H9" i="3"/>
  <c r="H55" i="3"/>
  <c r="H15" i="3"/>
  <c r="H47" i="3"/>
  <c r="H53" i="3"/>
  <c r="H54" i="3"/>
  <c r="M46" i="3" l="1"/>
  <c r="M52" i="3"/>
  <c r="M48" i="3"/>
  <c r="M43" i="3"/>
  <c r="M45" i="3"/>
  <c r="Z45" i="3" s="1"/>
  <c r="M47" i="3"/>
  <c r="Z47" i="3" s="1"/>
  <c r="M50" i="3"/>
  <c r="M41" i="3"/>
  <c r="X41" i="3" s="1"/>
  <c r="P62" i="3"/>
  <c r="P63" i="3"/>
  <c r="P61" i="3"/>
  <c r="P70" i="3"/>
  <c r="R72" i="3"/>
  <c r="S72" i="3" s="1"/>
  <c r="O20" i="3"/>
  <c r="T20" i="3" s="1"/>
  <c r="X52" i="3"/>
  <c r="Z39" i="3"/>
  <c r="V25" i="3"/>
  <c r="Y38" i="3"/>
  <c r="T38" i="3"/>
  <c r="X49" i="3"/>
  <c r="X46" i="3"/>
  <c r="X48" i="3"/>
  <c r="Y30" i="3"/>
  <c r="Y25" i="3"/>
  <c r="U34" i="3"/>
  <c r="Y14" i="3"/>
  <c r="T16" i="3"/>
  <c r="Y19" i="3"/>
  <c r="T25" i="3"/>
  <c r="Y17" i="3"/>
  <c r="T26" i="3"/>
  <c r="T34" i="3"/>
  <c r="V34" i="3"/>
  <c r="U58" i="3"/>
  <c r="Y27" i="3"/>
  <c r="T27" i="3"/>
  <c r="Y16" i="3"/>
  <c r="T40" i="3"/>
  <c r="O13" i="3"/>
  <c r="V30" i="3"/>
  <c r="T30" i="3"/>
  <c r="T48" i="3"/>
  <c r="Y10" i="3"/>
  <c r="U10" i="3"/>
  <c r="V29" i="3"/>
  <c r="T41" i="3"/>
  <c r="O44" i="3"/>
  <c r="V24" i="3"/>
  <c r="V10" i="3"/>
  <c r="T10" i="3"/>
  <c r="X42" i="3"/>
  <c r="O15" i="3"/>
  <c r="O45" i="3"/>
  <c r="U11" i="3"/>
  <c r="Y11" i="3"/>
  <c r="T17" i="3"/>
  <c r="V17" i="3"/>
  <c r="O50" i="3"/>
  <c r="T18" i="3"/>
  <c r="T37" i="3"/>
  <c r="T52" i="3"/>
  <c r="O47" i="3"/>
  <c r="O31" i="3"/>
  <c r="V11" i="3"/>
  <c r="T11" i="3"/>
  <c r="O59" i="3"/>
  <c r="T59" i="3" s="1"/>
  <c r="O29" i="3"/>
  <c r="T49" i="3"/>
  <c r="O24" i="3"/>
  <c r="T24" i="3" s="1"/>
  <c r="T28" i="3"/>
  <c r="T42" i="3"/>
  <c r="U33" i="3"/>
  <c r="Y33" i="3"/>
  <c r="O53" i="3"/>
  <c r="O36" i="3"/>
  <c r="O54" i="3"/>
  <c r="O51" i="3"/>
  <c r="V14" i="3"/>
  <c r="T14" i="3"/>
  <c r="V39" i="3"/>
  <c r="T39" i="3"/>
  <c r="U32" i="3"/>
  <c r="Y32" i="3"/>
  <c r="O35" i="3"/>
  <c r="O12" i="3"/>
  <c r="V32" i="3"/>
  <c r="T32" i="3"/>
  <c r="T58" i="3"/>
  <c r="V33" i="3"/>
  <c r="T33" i="3"/>
  <c r="T46" i="3"/>
  <c r="O43" i="3"/>
  <c r="T43" i="3" s="1"/>
  <c r="O23" i="3"/>
  <c r="V19" i="3"/>
  <c r="T19" i="3"/>
  <c r="V61" i="3" l="1"/>
  <c r="Z61" i="3"/>
  <c r="Y61" i="3"/>
  <c r="U61" i="3"/>
  <c r="U63" i="3"/>
  <c r="Y63" i="3"/>
  <c r="V63" i="3"/>
  <c r="Z63" i="3"/>
  <c r="Z62" i="3"/>
  <c r="V62" i="3"/>
  <c r="U62" i="3"/>
  <c r="Y62" i="3"/>
  <c r="X39" i="3"/>
  <c r="X40" i="3"/>
  <c r="X50" i="3"/>
  <c r="T51" i="3"/>
  <c r="T53" i="3"/>
  <c r="U45" i="3"/>
  <c r="Y45" i="3"/>
  <c r="T45" i="3"/>
  <c r="T13" i="3"/>
  <c r="X53" i="3"/>
  <c r="U29" i="3"/>
  <c r="Y29" i="3"/>
  <c r="T36" i="3"/>
  <c r="X45" i="3"/>
  <c r="T31" i="3"/>
  <c r="U47" i="3"/>
  <c r="Y47" i="3"/>
  <c r="T47" i="3"/>
  <c r="X47" i="3"/>
  <c r="X51" i="3"/>
  <c r="T15" i="3"/>
  <c r="T29" i="3"/>
  <c r="T23" i="3"/>
  <c r="X43" i="3"/>
  <c r="T50" i="3"/>
  <c r="T54" i="3"/>
  <c r="U24" i="3"/>
  <c r="Y24" i="3"/>
  <c r="X44" i="3"/>
  <c r="Y59" i="3"/>
  <c r="U59" i="3"/>
  <c r="T12" i="3"/>
  <c r="T35" i="3"/>
  <c r="T44" i="3"/>
  <c r="K64" i="3" l="1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29" i="3"/>
  <c r="M29" i="3" s="1"/>
  <c r="K26" i="3"/>
  <c r="M26" i="3" s="1"/>
  <c r="K28" i="3"/>
  <c r="M28" i="3" s="1"/>
  <c r="K34" i="3"/>
  <c r="M34" i="3" s="1"/>
  <c r="K38" i="3"/>
  <c r="M38" i="3" s="1"/>
  <c r="M69" i="3" l="1"/>
  <c r="M65" i="3"/>
  <c r="M70" i="3"/>
  <c r="M67" i="3"/>
  <c r="M66" i="3"/>
  <c r="M68" i="3"/>
  <c r="M64" i="3"/>
  <c r="X38" i="3"/>
  <c r="Z38" i="3"/>
  <c r="Z29" i="3"/>
  <c r="X29" i="3"/>
  <c r="Z34" i="3"/>
  <c r="X34" i="3"/>
  <c r="X28" i="3"/>
  <c r="X26" i="3"/>
  <c r="P21" i="3" l="1"/>
  <c r="V21" i="3" s="1"/>
  <c r="P22" i="3"/>
  <c r="V22" i="3" s="1"/>
  <c r="O69" i="3"/>
  <c r="O65" i="3"/>
  <c r="O68" i="3"/>
  <c r="O64" i="3"/>
  <c r="O67" i="3"/>
  <c r="O70" i="3"/>
  <c r="O66" i="3"/>
  <c r="K33" i="3"/>
  <c r="M33" i="3" s="1"/>
  <c r="K36" i="3"/>
  <c r="M36" i="3" s="1"/>
  <c r="K54" i="3"/>
  <c r="M54" i="3" s="1"/>
  <c r="Z21" i="3" l="1"/>
  <c r="Y21" i="3"/>
  <c r="U21" i="3"/>
  <c r="Z22" i="3"/>
  <c r="U22" i="3"/>
  <c r="Y22" i="3"/>
  <c r="X33" i="3"/>
  <c r="Z33" i="3"/>
  <c r="X36" i="3"/>
  <c r="X54" i="3"/>
  <c r="T67" i="3"/>
  <c r="X67" i="3"/>
  <c r="T64" i="3"/>
  <c r="X64" i="3"/>
  <c r="T70" i="3"/>
  <c r="X70" i="3"/>
  <c r="T68" i="3"/>
  <c r="X68" i="3"/>
  <c r="T69" i="3"/>
  <c r="X69" i="3"/>
  <c r="T66" i="3"/>
  <c r="X66" i="3"/>
  <c r="T65" i="3"/>
  <c r="X65" i="3"/>
  <c r="K27" i="3" l="1"/>
  <c r="M27" i="3" s="1"/>
  <c r="K30" i="3"/>
  <c r="M30" i="3" s="1"/>
  <c r="K31" i="3"/>
  <c r="M31" i="3" s="1"/>
  <c r="K32" i="3"/>
  <c r="M32" i="3" s="1"/>
  <c r="K35" i="3"/>
  <c r="M35" i="3" s="1"/>
  <c r="K37" i="3"/>
  <c r="M37" i="3" l="1"/>
  <c r="X37" i="3" s="1"/>
  <c r="X31" i="3"/>
  <c r="X30" i="3"/>
  <c r="Z30" i="3"/>
  <c r="X35" i="3"/>
  <c r="X27" i="3"/>
  <c r="Z27" i="3"/>
  <c r="X32" i="3"/>
  <c r="Z32" i="3"/>
  <c r="K24" i="3"/>
  <c r="M24" i="3" s="1"/>
  <c r="K25" i="3"/>
  <c r="M25" i="3" s="1"/>
  <c r="X25" i="3" l="1"/>
  <c r="Z25" i="3"/>
  <c r="X24" i="3"/>
  <c r="Z24" i="3"/>
  <c r="K16" i="3" l="1"/>
  <c r="M16" i="3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X16" i="3" l="1"/>
  <c r="Z16" i="3"/>
  <c r="K20" i="3"/>
  <c r="M20" i="3" s="1"/>
  <c r="K55" i="3"/>
  <c r="L55" i="3"/>
  <c r="K17" i="3"/>
  <c r="M17" i="3" s="1"/>
  <c r="K15" i="3"/>
  <c r="M15" i="3" s="1"/>
  <c r="K12" i="3"/>
  <c r="M12" i="3" s="1"/>
  <c r="L12" i="3"/>
  <c r="K10" i="3"/>
  <c r="L10" i="3"/>
  <c r="K56" i="3"/>
  <c r="L56" i="3"/>
  <c r="K13" i="3"/>
  <c r="L13" i="3"/>
  <c r="K11" i="3"/>
  <c r="M11" i="3" s="1"/>
  <c r="L11" i="3"/>
  <c r="K58" i="3"/>
  <c r="L58" i="3"/>
  <c r="K9" i="3"/>
  <c r="L9" i="3"/>
  <c r="K59" i="3"/>
  <c r="L59" i="3"/>
  <c r="K23" i="3"/>
  <c r="M23" i="3" s="1"/>
  <c r="K19" i="3"/>
  <c r="M19" i="3" s="1"/>
  <c r="K57" i="3"/>
  <c r="L57" i="3"/>
  <c r="O57" i="3"/>
  <c r="O56" i="3"/>
  <c r="M55" i="3" l="1"/>
  <c r="M59" i="3"/>
  <c r="M13" i="3"/>
  <c r="M9" i="3"/>
  <c r="Z9" i="3" s="1"/>
  <c r="M57" i="3"/>
  <c r="M56" i="3"/>
  <c r="M58" i="3"/>
  <c r="X58" i="3" s="1"/>
  <c r="M10" i="3"/>
  <c r="U56" i="3"/>
  <c r="Y56" i="3"/>
  <c r="T56" i="3"/>
  <c r="X20" i="3"/>
  <c r="X15" i="3"/>
  <c r="X19" i="3"/>
  <c r="Z19" i="3"/>
  <c r="Y57" i="3"/>
  <c r="U57" i="3"/>
  <c r="T57" i="3"/>
  <c r="X23" i="3"/>
  <c r="Z17" i="3"/>
  <c r="X17" i="3"/>
  <c r="O55" i="3"/>
  <c r="O9" i="3"/>
  <c r="X13" i="3" l="1"/>
  <c r="X9" i="3"/>
  <c r="X12" i="3"/>
  <c r="Z57" i="3"/>
  <c r="X57" i="3"/>
  <c r="X55" i="3"/>
  <c r="Y55" i="3"/>
  <c r="U55" i="3"/>
  <c r="T55" i="3"/>
  <c r="P34" i="3"/>
  <c r="P33" i="3"/>
  <c r="P38" i="3"/>
  <c r="P46" i="3"/>
  <c r="P58" i="3"/>
  <c r="P7" i="3"/>
  <c r="V7" i="3" s="1"/>
  <c r="P28" i="3"/>
  <c r="P32" i="3"/>
  <c r="P30" i="3"/>
  <c r="P48" i="3"/>
  <c r="P41" i="3"/>
  <c r="P26" i="3"/>
  <c r="P40" i="3"/>
  <c r="P16" i="3"/>
  <c r="P25" i="3"/>
  <c r="P56" i="3"/>
  <c r="V56" i="3" s="1"/>
  <c r="P20" i="3"/>
  <c r="V20" i="3" s="1"/>
  <c r="P39" i="3"/>
  <c r="P17" i="3"/>
  <c r="P52" i="3"/>
  <c r="P10" i="3"/>
  <c r="P14" i="3"/>
  <c r="P42" i="3"/>
  <c r="P18" i="3"/>
  <c r="P19" i="3"/>
  <c r="P27" i="3"/>
  <c r="P49" i="3"/>
  <c r="P11" i="3"/>
  <c r="P37" i="3"/>
  <c r="P44" i="3"/>
  <c r="P15" i="3"/>
  <c r="P47" i="3"/>
  <c r="P9" i="3"/>
  <c r="P31" i="3"/>
  <c r="P36" i="3"/>
  <c r="P35" i="3"/>
  <c r="P43" i="3"/>
  <c r="P55" i="3"/>
  <c r="V55" i="3" s="1"/>
  <c r="P29" i="3"/>
  <c r="P8" i="3"/>
  <c r="P45" i="3"/>
  <c r="P50" i="3"/>
  <c r="P53" i="3"/>
  <c r="P57" i="3"/>
  <c r="V57" i="3" s="1"/>
  <c r="P51" i="3"/>
  <c r="P13" i="3"/>
  <c r="Z13" i="3" s="1"/>
  <c r="P59" i="3"/>
  <c r="V59" i="3" s="1"/>
  <c r="P24" i="3"/>
  <c r="P12" i="3"/>
  <c r="Z12" i="3" s="1"/>
  <c r="P54" i="3"/>
  <c r="P23" i="3"/>
  <c r="Z56" i="3"/>
  <c r="X56" i="3"/>
  <c r="Z11" i="3"/>
  <c r="X11" i="3"/>
  <c r="U9" i="3"/>
  <c r="Y9" i="3"/>
  <c r="T9" i="3"/>
  <c r="X59" i="3"/>
  <c r="Z59" i="3"/>
  <c r="X10" i="3"/>
  <c r="Z10" i="3"/>
  <c r="L7" i="3"/>
  <c r="M7" i="3" s="1"/>
  <c r="L8" i="3"/>
  <c r="U20" i="3" l="1"/>
  <c r="Y20" i="3"/>
  <c r="Z20" i="3"/>
  <c r="V37" i="3"/>
  <c r="U37" i="3"/>
  <c r="Y37" i="3"/>
  <c r="Z37" i="3"/>
  <c r="V28" i="3"/>
  <c r="U28" i="3"/>
  <c r="Z28" i="3"/>
  <c r="Y28" i="3"/>
  <c r="U40" i="3"/>
  <c r="V40" i="3"/>
  <c r="Y40" i="3"/>
  <c r="Z40" i="3"/>
  <c r="V12" i="3"/>
  <c r="U12" i="3"/>
  <c r="V13" i="3"/>
  <c r="U13" i="3"/>
  <c r="Y13" i="3"/>
  <c r="Y12" i="3"/>
  <c r="Z58" i="3"/>
  <c r="V58" i="3"/>
  <c r="Z55" i="3"/>
  <c r="Z43" i="3"/>
  <c r="V43" i="3"/>
  <c r="U43" i="3"/>
  <c r="Y43" i="3"/>
  <c r="V36" i="3"/>
  <c r="U36" i="3"/>
  <c r="Y36" i="3"/>
  <c r="Z36" i="3"/>
  <c r="V26" i="3"/>
  <c r="U26" i="3"/>
  <c r="Z26" i="3"/>
  <c r="Y26" i="3"/>
  <c r="V51" i="3"/>
  <c r="Z51" i="3"/>
  <c r="Y51" i="3"/>
  <c r="U51" i="3"/>
  <c r="V31" i="3"/>
  <c r="U31" i="3"/>
  <c r="Z31" i="3"/>
  <c r="Y31" i="3"/>
  <c r="V15" i="3"/>
  <c r="U15" i="3"/>
  <c r="Z15" i="3"/>
  <c r="Y15" i="3"/>
  <c r="V23" i="3"/>
  <c r="U23" i="3"/>
  <c r="Y23" i="3"/>
  <c r="Z23" i="3"/>
  <c r="V50" i="3"/>
  <c r="Z50" i="3"/>
  <c r="U50" i="3"/>
  <c r="Y50" i="3"/>
  <c r="V35" i="3"/>
  <c r="U35" i="3"/>
  <c r="Y35" i="3"/>
  <c r="Z35" i="3"/>
  <c r="Z44" i="3"/>
  <c r="V44" i="3"/>
  <c r="U44" i="3"/>
  <c r="Y44" i="3"/>
  <c r="V18" i="3"/>
  <c r="U18" i="3"/>
  <c r="U41" i="3"/>
  <c r="V41" i="3"/>
  <c r="Y41" i="3"/>
  <c r="Z41" i="3"/>
  <c r="V46" i="3"/>
  <c r="U46" i="3"/>
  <c r="Y46" i="3"/>
  <c r="Z46" i="3"/>
  <c r="V54" i="3"/>
  <c r="U54" i="3"/>
  <c r="Y54" i="3"/>
  <c r="Z54" i="3"/>
  <c r="V53" i="3"/>
  <c r="Z53" i="3"/>
  <c r="Y53" i="3"/>
  <c r="U53" i="3"/>
  <c r="Y49" i="3"/>
  <c r="Z49" i="3"/>
  <c r="V49" i="3"/>
  <c r="U49" i="3"/>
  <c r="Z42" i="3"/>
  <c r="U42" i="3"/>
  <c r="Y42" i="3"/>
  <c r="V42" i="3"/>
  <c r="U52" i="3"/>
  <c r="Z52" i="3"/>
  <c r="Y52" i="3"/>
  <c r="V52" i="3"/>
  <c r="U48" i="3"/>
  <c r="Z48" i="3"/>
  <c r="Y48" i="3"/>
  <c r="V48" i="3"/>
  <c r="K18" i="3"/>
  <c r="M18" i="3" s="1"/>
  <c r="K14" i="3"/>
  <c r="M14" i="3" s="1"/>
  <c r="K8" i="3"/>
  <c r="M8" i="3" s="1"/>
  <c r="M72" i="3" s="1"/>
  <c r="J74" i="3" s="1"/>
  <c r="X14" i="3" l="1"/>
  <c r="Z14" i="3"/>
  <c r="X18" i="3"/>
  <c r="Z18" i="3"/>
  <c r="Y18" i="3"/>
  <c r="Z7" i="3"/>
  <c r="Z8" i="3"/>
  <c r="O8" i="3"/>
  <c r="O7" i="3"/>
  <c r="X7" i="3" s="1"/>
  <c r="Y8" i="3" l="1"/>
  <c r="U8" i="3"/>
  <c r="T8" i="3"/>
  <c r="Y7" i="3"/>
  <c r="U7" i="3"/>
  <c r="T7" i="3"/>
  <c r="X8" i="3"/>
  <c r="N72" i="3" l="1"/>
  <c r="H72" i="3"/>
  <c r="P66" i="3"/>
  <c r="P68" i="3"/>
  <c r="P67" i="3"/>
  <c r="P64" i="3"/>
  <c r="P69" i="3"/>
  <c r="P65" i="3"/>
  <c r="Z69" i="3" l="1"/>
  <c r="U69" i="3"/>
  <c r="Y69" i="3"/>
  <c r="V69" i="3"/>
  <c r="Z68" i="3"/>
  <c r="U68" i="3"/>
  <c r="Y68" i="3"/>
  <c r="V68" i="3"/>
  <c r="Z66" i="3"/>
  <c r="Y66" i="3"/>
  <c r="U66" i="3"/>
  <c r="V66" i="3"/>
  <c r="Z70" i="3"/>
  <c r="Y70" i="3"/>
  <c r="U70" i="3"/>
  <c r="V70" i="3"/>
  <c r="Y64" i="3"/>
  <c r="U64" i="3"/>
  <c r="V64" i="3"/>
  <c r="Z64" i="3"/>
  <c r="P72" i="3"/>
  <c r="Z72" i="3" s="1"/>
  <c r="V65" i="3"/>
  <c r="U65" i="3"/>
  <c r="Z65" i="3"/>
  <c r="Y65" i="3"/>
  <c r="U67" i="3"/>
  <c r="Z67" i="3"/>
  <c r="V67" i="3"/>
  <c r="Y67" i="3"/>
  <c r="O72" i="3"/>
  <c r="T72" i="3" l="1"/>
  <c r="U72" i="3"/>
  <c r="X72" i="3"/>
  <c r="Y72" i="3"/>
  <c r="V7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Cuti</author>
  </authors>
  <commentList>
    <comment ref="Z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Uses Column 5 in APP 2885 table to make B/C Ratio calc</t>
        </r>
      </text>
    </comment>
  </commentList>
</comments>
</file>

<file path=xl/sharedStrings.xml><?xml version="1.0" encoding="utf-8"?>
<sst xmlns="http://schemas.openxmlformats.org/spreadsheetml/2006/main" count="377" uniqueCount="230">
  <si>
    <t>BENEFIT</t>
  </si>
  <si>
    <t>RATIO</t>
  </si>
  <si>
    <t>TOTAL PROGRAM</t>
  </si>
  <si>
    <t>CASCADE NATURAL GAS CORPORATION</t>
  </si>
  <si>
    <t>MEASURE</t>
  </si>
  <si>
    <t>DISCOUNTED</t>
  </si>
  <si>
    <t>TOTAL</t>
  </si>
  <si>
    <t>ANNUAL THERM</t>
  </si>
  <si>
    <t>INSTALLED</t>
  </si>
  <si>
    <t>THERM</t>
  </si>
  <si>
    <t>RESOURCE</t>
  </si>
  <si>
    <t>PROGRAM</t>
  </si>
  <si>
    <t>UTILITY</t>
  </si>
  <si>
    <t>SAVINGS</t>
  </si>
  <si>
    <t>COST</t>
  </si>
  <si>
    <t>LIFE</t>
  </si>
  <si>
    <t>REBATE</t>
  </si>
  <si>
    <t>Nominal interest rate (post tax cost of cap.)</t>
  </si>
  <si>
    <t>Inflation rate</t>
  </si>
  <si>
    <t>Long term real discount rate</t>
  </si>
  <si>
    <t>Radiant Heating</t>
  </si>
  <si>
    <t>Clothes Washer</t>
  </si>
  <si>
    <t>DESCRIPTION</t>
  </si>
  <si>
    <t>Condensing Tank</t>
  </si>
  <si>
    <t>Boiler Vent Damper</t>
  </si>
  <si>
    <t>Energy Star</t>
  </si>
  <si>
    <t>Commercial Gas Washer</t>
  </si>
  <si>
    <t>EFFICIENCY TYPE FOR QUALIFICATION</t>
  </si>
  <si>
    <t>Minimum 86% AFUE</t>
  </si>
  <si>
    <t>Minimum 92% AFUE</t>
  </si>
  <si>
    <t>None</t>
  </si>
  <si>
    <t>Minimum 91% AFUE or 91% Thermal Efficiency</t>
  </si>
  <si>
    <t>1.8 MEF</t>
  </si>
  <si>
    <t>UNITS</t>
  </si>
  <si>
    <t>&amp; ADMIN</t>
  </si>
  <si>
    <t>TRC</t>
  </si>
  <si>
    <t>UC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</si>
  <si>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</si>
  <si>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</si>
  <si>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</si>
  <si>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</si>
  <si>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</si>
  <si>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</si>
  <si>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</si>
  <si>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</si>
  <si>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COST - %</t>
  </si>
  <si>
    <t>CONSERVATION</t>
  </si>
  <si>
    <t>EFFECTIVENESS</t>
  </si>
  <si>
    <t>YEAR</t>
  </si>
  <si>
    <t>THERM (PV)*</t>
  </si>
  <si>
    <t>CHANGE</t>
  </si>
  <si>
    <t>COST/THERM</t>
  </si>
  <si>
    <t>CREDIT</t>
  </si>
  <si>
    <t>LIMIT</t>
  </si>
  <si>
    <t>Cascade's Long Term Real Discount Rate:</t>
  </si>
  <si>
    <t>IRP Discount Rate =</t>
  </si>
  <si>
    <t>Revised Discount Rate=</t>
  </si>
  <si>
    <t>Years 21-45 Escalation =</t>
  </si>
  <si>
    <t>(EIA Inflation Rate)</t>
  </si>
  <si>
    <t>SAVINGS/UNIT</t>
  </si>
  <si>
    <t>COUNT</t>
  </si>
  <si>
    <t xml:space="preserve">COMMERCIAL Program Participant Cost Effectiveness </t>
  </si>
  <si>
    <t>/unit</t>
  </si>
  <si>
    <t>Program Year:</t>
  </si>
  <si>
    <t>Double Rack Oven</t>
  </si>
  <si>
    <t>DELIVERY</t>
  </si>
  <si>
    <t xml:space="preserve">NON </t>
  </si>
  <si>
    <t xml:space="preserve">ENERGY </t>
  </si>
  <si>
    <t>PORTFOLIO COST APPENDIX 1 TABLE H</t>
  </si>
  <si>
    <t xml:space="preserve">WITH </t>
  </si>
  <si>
    <t>LOADED</t>
  </si>
  <si>
    <t>SOCIETAL</t>
  </si>
  <si>
    <t>NEBS</t>
  </si>
  <si>
    <t>PARTICIPANT</t>
  </si>
  <si>
    <t>NET</t>
  </si>
  <si>
    <t>INCREM</t>
  </si>
  <si>
    <t>Boiler</t>
  </si>
  <si>
    <t>Standard Measures</t>
  </si>
  <si>
    <t>Custom Measures</t>
  </si>
  <si>
    <t>&lt;= 1.8 gpm, Watersense Certified</t>
  </si>
  <si>
    <t>Custom Admin.</t>
  </si>
  <si>
    <t>Prescriptive Admin.</t>
  </si>
  <si>
    <t>Attic Insulation</t>
  </si>
  <si>
    <t>Demand Control Ventilation</t>
  </si>
  <si>
    <t>Gas Conveyor Oven</t>
  </si>
  <si>
    <t>Meet JUARC Guidelines for DCV RTUs in 5-20 ton</t>
  </si>
  <si>
    <t>2018 INTEGRATED RESOURCE PLAN</t>
  </si>
  <si>
    <t>5%</t>
  </si>
  <si>
    <t>7.5%</t>
  </si>
  <si>
    <t>10.0%</t>
  </si>
  <si>
    <t>10%</t>
  </si>
  <si>
    <t>12.5%</t>
  </si>
  <si>
    <t>15%</t>
  </si>
  <si>
    <t>17.5%</t>
  </si>
  <si>
    <t>Bonus - Insulation Bundle A</t>
  </si>
  <si>
    <t>Insulation Bundle A</t>
  </si>
  <si>
    <t>Two Insulation Measures, min. 1000 sq. ft.+</t>
  </si>
  <si>
    <t>Bonus - Kitchen Bundle C (3 or more measures)</t>
  </si>
  <si>
    <t>Foodservice Bundle C</t>
  </si>
  <si>
    <t>Any 3 Kitchen equipment measures</t>
  </si>
  <si>
    <t>Bonus - Kitchen Bundle B (2 - measures)</t>
  </si>
  <si>
    <t>Foodservice Bundle B</t>
  </si>
  <si>
    <t>Any 2 Kitchen equipment measures</t>
  </si>
  <si>
    <t>Energy Saver Kit A</t>
  </si>
  <si>
    <t>Low Flow Kitchen Pre Rinse Spray Valve and Bath Aerators</t>
  </si>
  <si>
    <t>PRSV &lt;=1 gpm / Aerators &lt;=.75 gpm</t>
  </si>
  <si>
    <t>/kit</t>
  </si>
  <si>
    <t>Motion Faucet Controls</t>
  </si>
  <si>
    <t>Motion Controlled Faucet</t>
  </si>
  <si>
    <t>/faucet</t>
  </si>
  <si>
    <t>Energy Saver Kit B</t>
  </si>
  <si>
    <t>Low Flow Showerheads</t>
  </si>
  <si>
    <t>Showerhead &lt;= 1.85 gpm</t>
  </si>
  <si>
    <t>DCV</t>
  </si>
  <si>
    <t>/ton</t>
  </si>
  <si>
    <t>Convection Oven (Restaurant)</t>
  </si>
  <si>
    <t>&gt;= 44% Cooking Efficiency,&lt;= 13,000 Btu/hr Idle Rate</t>
  </si>
  <si>
    <t>/oven</t>
  </si>
  <si>
    <t>Low Temp Door Dishwasher</t>
  </si>
  <si>
    <t>&lt;=.6kW Idle Rate, &lt;= 1.18 gal/rack</t>
  </si>
  <si>
    <t>FSTC Qualified</t>
  </si>
  <si>
    <t>&gt;=50% Cooking Efficiency, &lt;=35,000 Btu/hr Idle Rate</t>
  </si>
  <si>
    <t>Steamer - 6 Pan</t>
  </si>
  <si>
    <t>Connectionless Estar or CEE Qualified</t>
  </si>
  <si>
    <t>&gt;=38% Cooking Efficiency,&lt;= 2083  Btu/hr /pan Idle Rate</t>
  </si>
  <si>
    <t>Griddle (Restaurant)</t>
  </si>
  <si>
    <t>&gt;=38% Cooking Efficiency,&lt;= 2650 Btu/hr-sq ft Idle Rate</t>
  </si>
  <si>
    <t>/griddle</t>
  </si>
  <si>
    <t>Fryer (Restaurant)</t>
  </si>
  <si>
    <t>&gt;=50% Cooking Efficiency</t>
  </si>
  <si>
    <t>/fryer</t>
  </si>
  <si>
    <t>Steamer - 3 Pan</t>
  </si>
  <si>
    <t>Domestic Hot Water Tanks - Condensing</t>
  </si>
  <si>
    <t>/kBtu/hr in</t>
  </si>
  <si>
    <t>FSTC Qualified Gas Fired Conveyor Oven</t>
  </si>
  <si>
    <t>&gt;=42% Baking Efficiency</t>
  </si>
  <si>
    <t>Tankless Water Heater</t>
  </si>
  <si>
    <t>/gpm</t>
  </si>
  <si>
    <t>Warm-Air Furnace</t>
  </si>
  <si>
    <t>High-Efficiency Condensing Furnace</t>
  </si>
  <si>
    <t>Minimum  91% AFUE</t>
  </si>
  <si>
    <t>Direct-fired Radiant Heating</t>
  </si>
  <si>
    <t>Minimum .87 Energy Factor</t>
  </si>
  <si>
    <t>Minimum 90% Thermal Efficiency and 300 kBtu/hr input</t>
  </si>
  <si>
    <t>Tankless Water Heater - Tier 2</t>
  </si>
  <si>
    <t>Minimum .93 Energy Factor</t>
  </si>
  <si>
    <t>High-Efficiency-Condensing Boiler</t>
  </si>
  <si>
    <t>Insulation - Attic - Tier 1 - Min R-30</t>
  </si>
  <si>
    <t>Tier 1 /  Minimum R-30</t>
  </si>
  <si>
    <t>/sq.ft.</t>
  </si>
  <si>
    <t>Insulation - Wall - Tier 1 - Min R-11</t>
  </si>
  <si>
    <t>Wall Insulation</t>
  </si>
  <si>
    <t>Tier 1 / Minimum R-11</t>
  </si>
  <si>
    <t>Insulation - Roof - Tier 2 - Min R-30</t>
  </si>
  <si>
    <t>Roof Insulation</t>
  </si>
  <si>
    <t>Tier 2 /  Minimum R-30</t>
  </si>
  <si>
    <t>Insulation - Wall - Tier 2 - Min R-19</t>
  </si>
  <si>
    <t>Tier 2 /  Minimum R-19</t>
  </si>
  <si>
    <t>/sq. ft.</t>
  </si>
  <si>
    <t>Insulation - Roof - Tier 1 - Min R-21</t>
  </si>
  <si>
    <t>Tier 1 /  Minimum R-21</t>
  </si>
  <si>
    <t>Insulation - Attic - Tier 2 - Min R-45</t>
  </si>
  <si>
    <t>Tier 2 /  Minimum R-45</t>
  </si>
  <si>
    <t>Windows</t>
  </si>
  <si>
    <t>Single pane to .27 or less (not LoadMAP's .50 to .22) per sq ft</t>
  </si>
  <si>
    <t>0.27 or less U</t>
  </si>
  <si>
    <t>Boiler Steam Trap</t>
  </si>
  <si>
    <t>Convection Oven (Grocery)</t>
  </si>
  <si>
    <t>Convection Oven (Lodging)</t>
  </si>
  <si>
    <t>Convection Oven (School)</t>
  </si>
  <si>
    <t>DHW Recirculation Controls</t>
  </si>
  <si>
    <t>Fryer (Grocery)</t>
  </si>
  <si>
    <t>Fryer (Lodging)</t>
  </si>
  <si>
    <t>Fryer (School)</t>
  </si>
  <si>
    <t>Griddle (Grocery)</t>
  </si>
  <si>
    <t>Griddle (Lodging)</t>
  </si>
  <si>
    <t>Griddle (School)</t>
  </si>
  <si>
    <t>HVAC Unit Heater - Condensing</t>
  </si>
  <si>
    <t>HVAC Unit Heater - Non-Condensing</t>
  </si>
  <si>
    <t>Insulation - Pipe - 1.5"</t>
  </si>
  <si>
    <t>Insulation - Pipe - 2.5"</t>
  </si>
  <si>
    <t>Low Temp Multi Tank Dishwasher</t>
  </si>
  <si>
    <t>Ozone Injection Laundry</t>
  </si>
  <si>
    <t>Steam Trap fitted to Steam Boiler</t>
  </si>
  <si>
    <t>Minimum 300 kBtu input and steam pressures at 7psig or greater</t>
  </si>
  <si>
    <t>Minimum 1,000 kBtu/hr input</t>
  </si>
  <si>
    <t>Schedule Control for Continuous Operation DHW Recirculation Pump</t>
  </si>
  <si>
    <t>Add time clock or other schedule control for continuous operation DHW recirculation pump</t>
  </si>
  <si>
    <t>High Efficiency Condensing</t>
  </si>
  <si>
    <t>High-Efficiency-Non-Condensing Unit Heater with Electronic Ignition</t>
  </si>
  <si>
    <t>Floor Insulation</t>
  </si>
  <si>
    <t>Equal to or greater than R-30 Post and equal to or less than R-11 Pre</t>
  </si>
  <si>
    <t xml:space="preserve">1.5" Thick Pipe Insulation </t>
  </si>
  <si>
    <t>Retrofit for T&gt;140F&lt;=200F</t>
  </si>
  <si>
    <t>2.5" Thick Pipe Insulation</t>
  </si>
  <si>
    <t>Retrofit for T&gt;200F</t>
  </si>
  <si>
    <t>&lt;=2kW Idle Rate, &lt;=.50 gal/rack</t>
  </si>
  <si>
    <t>Venturi Injection or Bubble Diffusion Ozone Injection Laundry</t>
  </si>
  <si>
    <t>Minimum 125 lb Total Washer/Extractor Capacity  and Pre Approved by CNG</t>
  </si>
  <si>
    <t>/controller</t>
  </si>
  <si>
    <t>/LF</t>
  </si>
  <si>
    <t>/system</t>
  </si>
  <si>
    <t>INCENTIVES</t>
  </si>
  <si>
    <t>Energy Saver Kit A - 30 therms</t>
  </si>
  <si>
    <t>Energy Saver Kit A - 59 therms</t>
  </si>
  <si>
    <t>Insulation - Floor</t>
  </si>
  <si>
    <t>Total 2020 Program Admin.</t>
  </si>
  <si>
    <t>Custom Other - Laundrey Ozone Injection System</t>
  </si>
  <si>
    <t>Custom Other - Combi Ovens</t>
  </si>
  <si>
    <t>Custom DDC Controls - Custom DDC Controls</t>
  </si>
  <si>
    <t>Custom Heat Recovery - AHU Heat Recovery</t>
  </si>
  <si>
    <t>Custom Hood System M/U Air Reduction - CaptiveAire Hood MUA DCV Control</t>
  </si>
  <si>
    <t>Custom Other - ERV Units</t>
  </si>
  <si>
    <t>Custom Other - Custom Air Handling Units</t>
  </si>
  <si>
    <t>Custom DDC Controls - HVAC Control Optimization</t>
  </si>
  <si>
    <t>Custom Other - DOAS units</t>
  </si>
  <si>
    <t>Custom Insulation - Crawl Space Insulation</t>
  </si>
  <si>
    <t>007897-C-LODGING FACILITY</t>
  </si>
  <si>
    <t>007857-C-SCHOOL DISTRICT ZONE 1</t>
  </si>
  <si>
    <t>008286-C-SCHOOL DISTRICT ZONE 2</t>
  </si>
  <si>
    <t>008011-C-ELEMENTARY SCHOOL</t>
  </si>
  <si>
    <t>008001-C-SCHOOL DISTRICT</t>
  </si>
  <si>
    <t>008304-C-MIDDLE SCHOOL</t>
  </si>
  <si>
    <t>008339-C-SCHOOL DIST 2</t>
  </si>
  <si>
    <t>007926-C-PUBLISHER</t>
  </si>
  <si>
    <t xml:space="preserve">TOTAL </t>
  </si>
  <si>
    <t>CALCULATED</t>
  </si>
  <si>
    <t>REBATES BASED</t>
  </si>
  <si>
    <t>ON CAPPED</t>
  </si>
  <si>
    <t>non-energy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</si>
</sst>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_);_(&quot;$&quot;* \(#,##0.000\);_(&quot;$&quot;* &quot;-&quot;???_);_(@_)"/>
    <numFmt numFmtId="166" formatCode="_(&quot;$&quot;* #,##0.00_);_(&quot;$&quot;* \(#,##0.00\);_(&quot;$&quot;* &quot;-&quot;_);_(@_)"/>
    <numFmt numFmtId="167" formatCode="_(&quot;$&quot;* #,##0.000_);_(&quot;$&quot;* \(#,##0.000\);_(&quot;$&quot;* &quot;-&quot;_);_(@_)"/>
    <numFmt numFmtId="168" formatCode="0.000%"/>
    <numFmt numFmtId="169" formatCode="#,##0.000"/>
    <numFmt numFmtId="170" formatCode="&quot;$&quot;#,##0.0000_);[Red]\(&quot;$&quot;#,##0.0000\)"/>
    <numFmt numFmtId="171" formatCode="&quot;$&quot;#,##0.00"/>
    <numFmt numFmtId="172" formatCode="yyyy"/>
    <numFmt numFmtId="173" formatCode="0.0%"/>
    <numFmt numFmtId="174" formatCode="_(&quot;$&quot;* #,##0_);_(&quot;$&quot;* \(#,##0\);_(&quot;$&quot;* &quot;-&quot;??_);_(@_)"/>
    <numFmt numFmtId="175" formatCode="_(* #,##0_);_(* \(#,##0\);_(* &quot;-&quot;??_);_(@_)"/>
    <numFmt numFmtId="176" formatCode="&quot;$&quot;#,##0.0000"/>
  </numFmts>
  <fonts count="21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indexed="0"/>
      <name val="Arial"/>
      <family val="2"/>
    </font>
    <font>
      <sz val="10"/>
      <color rgb="FFFF0000"/>
      <name val="Times New Roman"/>
      <family val="1"/>
    </font>
    <font>
      <sz val="10"/>
      <color indexed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Times New Roman"/>
      <family val="1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0" fontId="12" fillId="0" borderId="0"/>
    <xf numFmtId="0" fontId="14" fillId="0" borderId="0"/>
    <xf numFmtId="0" fontId="18" fillId="0" borderId="0"/>
    <xf numFmtId="0" fontId="19" fillId="0" borderId="0"/>
    <xf numFmtId="0" fontId="20" fillId="0" borderId="0"/>
  </cellStyleXfs>
  <cellXfs count="23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44" fontId="4" fillId="0" borderId="0" xfId="13" applyFont="1" applyFill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Fill="1"/>
    <xf numFmtId="0" fontId="4" fillId="0" borderId="0" xfId="3" applyFont="1"/>
    <xf numFmtId="0" fontId="4" fillId="0" borderId="0" xfId="3" applyFont="1" applyFill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4" fillId="0" borderId="32" xfId="3" applyFont="1" applyFill="1" applyBorder="1" applyAlignment="1">
      <alignment horizontal="center"/>
    </xf>
    <xf numFmtId="0" fontId="4" fillId="0" borderId="0" xfId="14" applyFont="1" applyFill="1"/>
    <xf numFmtId="44" fontId="4" fillId="0" borderId="0" xfId="2" applyFont="1" applyAlignment="1">
      <alignment horizontal="center"/>
    </xf>
    <xf numFmtId="44" fontId="4" fillId="0" borderId="0" xfId="3" applyNumberFormat="1" applyFont="1" applyAlignment="1">
      <alignment horizontal="center"/>
    </xf>
    <xf numFmtId="170" fontId="4" fillId="0" borderId="0" xfId="14" applyNumberFormat="1" applyFont="1" applyFill="1" applyAlignment="1">
      <alignment horizontal="center"/>
    </xf>
    <xf numFmtId="44" fontId="4" fillId="0" borderId="0" xfId="14" applyNumberFormat="1" applyFont="1" applyFill="1" applyAlignment="1">
      <alignment horizontal="center"/>
    </xf>
    <xf numFmtId="9" fontId="4" fillId="0" borderId="0" xfId="4" applyFont="1" applyAlignment="1">
      <alignment horizontal="center"/>
    </xf>
    <xf numFmtId="44" fontId="4" fillId="0" borderId="0" xfId="3" applyNumberFormat="1" applyFont="1" applyFill="1"/>
    <xf numFmtId="10" fontId="4" fillId="0" borderId="0" xfId="14" applyNumberFormat="1" applyFont="1" applyFill="1" applyAlignment="1">
      <alignment horizontal="center"/>
    </xf>
    <xf numFmtId="44" fontId="4" fillId="0" borderId="0" xfId="4" applyNumberFormat="1" applyFont="1" applyFill="1"/>
    <xf numFmtId="173" fontId="4" fillId="0" borderId="0" xfId="4" applyNumberFormat="1" applyFont="1" applyAlignment="1">
      <alignment horizontal="center"/>
    </xf>
    <xf numFmtId="0" fontId="4" fillId="0" borderId="0" xfId="14" applyFont="1" applyFill="1" applyAlignment="1">
      <alignment horizontal="center"/>
    </xf>
    <xf numFmtId="0" fontId="3" fillId="0" borderId="0" xfId="3" applyFont="1" applyFill="1"/>
    <xf numFmtId="168" fontId="4" fillId="0" borderId="0" xfId="4" applyNumberFormat="1" applyFont="1" applyFill="1"/>
    <xf numFmtId="168" fontId="4" fillId="0" borderId="0" xfId="4" applyNumberFormat="1" applyFont="1"/>
    <xf numFmtId="168" fontId="4" fillId="0" borderId="0" xfId="3" applyNumberFormat="1" applyFont="1"/>
    <xf numFmtId="10" fontId="4" fillId="0" borderId="0" xfId="3" applyNumberFormat="1" applyFont="1"/>
    <xf numFmtId="10" fontId="4" fillId="0" borderId="0" xfId="4" applyNumberFormat="1" applyFont="1"/>
    <xf numFmtId="0" fontId="4" fillId="0" borderId="30" xfId="0" applyFont="1" applyFill="1" applyBorder="1" applyAlignment="1">
      <alignment horizontal="left"/>
    </xf>
    <xf numFmtId="0" fontId="4" fillId="0" borderId="30" xfId="0" applyNumberFormat="1" applyFont="1" applyFill="1" applyBorder="1" applyAlignment="1">
      <alignment horizontal="left"/>
    </xf>
    <xf numFmtId="0" fontId="4" fillId="0" borderId="29" xfId="0" applyNumberFormat="1" applyFont="1" applyFill="1" applyBorder="1" applyAlignment="1">
      <alignment horizontal="left"/>
    </xf>
    <xf numFmtId="2" fontId="4" fillId="0" borderId="30" xfId="1" applyNumberFormat="1" applyFont="1" applyFill="1" applyBorder="1" applyAlignment="1">
      <alignment horizontal="center"/>
    </xf>
    <xf numFmtId="3" fontId="4" fillId="0" borderId="30" xfId="1" applyNumberFormat="1" applyFont="1" applyFill="1" applyBorder="1" applyAlignment="1">
      <alignment horizontal="center"/>
    </xf>
    <xf numFmtId="4" fontId="4" fillId="0" borderId="30" xfId="1" applyNumberFormat="1" applyFont="1" applyFill="1" applyBorder="1" applyAlignment="1">
      <alignment horizontal="center"/>
    </xf>
    <xf numFmtId="166" fontId="4" fillId="0" borderId="30" xfId="2" applyNumberFormat="1" applyFont="1" applyFill="1" applyBorder="1"/>
    <xf numFmtId="0" fontId="4" fillId="0" borderId="30" xfId="0" applyFont="1" applyFill="1" applyBorder="1" applyAlignment="1">
      <alignment horizontal="center"/>
    </xf>
    <xf numFmtId="44" fontId="4" fillId="0" borderId="30" xfId="0" applyNumberFormat="1" applyFont="1" applyFill="1" applyBorder="1"/>
    <xf numFmtId="44" fontId="4" fillId="0" borderId="30" xfId="2" applyNumberFormat="1" applyFont="1" applyFill="1" applyBorder="1"/>
    <xf numFmtId="42" fontId="4" fillId="0" borderId="30" xfId="2" applyNumberFormat="1" applyFont="1" applyFill="1" applyBorder="1"/>
    <xf numFmtId="176" fontId="4" fillId="0" borderId="0" xfId="2" applyNumberFormat="1" applyFont="1" applyFill="1" applyAlignment="1">
      <alignment horizontal="center"/>
    </xf>
    <xf numFmtId="0" fontId="3" fillId="0" borderId="0" xfId="0" applyFont="1" applyFill="1"/>
    <xf numFmtId="172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2" fontId="4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24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1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2" fontId="3" fillId="0" borderId="3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2" fontId="3" fillId="0" borderId="6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2" fontId="4" fillId="0" borderId="27" xfId="0" applyNumberFormat="1" applyFont="1" applyFill="1" applyBorder="1" applyAlignment="1">
      <alignment horizontal="center"/>
    </xf>
    <xf numFmtId="169" fontId="4" fillId="0" borderId="27" xfId="0" applyNumberFormat="1" applyFont="1" applyFill="1" applyBorder="1" applyAlignment="1">
      <alignment horizontal="center"/>
    </xf>
    <xf numFmtId="4" fontId="3" fillId="0" borderId="30" xfId="0" applyNumberFormat="1" applyFont="1" applyFill="1" applyBorder="1" applyAlignment="1">
      <alignment horizontal="center"/>
    </xf>
    <xf numFmtId="2" fontId="3" fillId="0" borderId="30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7" xfId="0" applyFont="1" applyFill="1" applyBorder="1"/>
    <xf numFmtId="4" fontId="3" fillId="0" borderId="27" xfId="0" applyNumberFormat="1" applyFont="1" applyFill="1" applyBorder="1" applyAlignment="1">
      <alignment horizontal="center"/>
    </xf>
    <xf numFmtId="44" fontId="4" fillId="0" borderId="0" xfId="0" applyNumberFormat="1" applyFont="1" applyFill="1"/>
    <xf numFmtId="0" fontId="4" fillId="0" borderId="0" xfId="0" applyFont="1" applyFill="1" applyBorder="1" applyAlignment="1">
      <alignment horizontal="left"/>
    </xf>
    <xf numFmtId="0" fontId="4" fillId="0" borderId="33" xfId="0" applyNumberFormat="1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4" fillId="0" borderId="29" xfId="0" applyFont="1" applyFill="1" applyBorder="1" applyAlignment="1">
      <alignment horizontal="left"/>
    </xf>
    <xf numFmtId="0" fontId="13" fillId="0" borderId="30" xfId="0" applyNumberFormat="1" applyFont="1" applyFill="1" applyBorder="1" applyAlignment="1">
      <alignment horizontal="left"/>
    </xf>
    <xf numFmtId="0" fontId="13" fillId="0" borderId="29" xfId="0" applyNumberFormat="1" applyFont="1" applyFill="1" applyBorder="1" applyAlignment="1">
      <alignment horizontal="left" wrapText="1"/>
    </xf>
    <xf numFmtId="2" fontId="13" fillId="0" borderId="30" xfId="0" applyNumberFormat="1" applyFont="1" applyFill="1" applyBorder="1" applyAlignment="1">
      <alignment horizontal="center"/>
    </xf>
    <xf numFmtId="169" fontId="13" fillId="0" borderId="30" xfId="0" applyNumberFormat="1" applyFont="1" applyFill="1" applyBorder="1" applyAlignment="1">
      <alignment horizontal="center"/>
    </xf>
    <xf numFmtId="3" fontId="13" fillId="0" borderId="30" xfId="1" applyNumberFormat="1" applyFont="1" applyFill="1" applyBorder="1" applyAlignment="1">
      <alignment horizontal="center"/>
    </xf>
    <xf numFmtId="4" fontId="13" fillId="0" borderId="30" xfId="0" applyNumberFormat="1" applyFont="1" applyFill="1" applyBorder="1" applyAlignment="1" applyProtection="1">
      <alignment horizontal="center"/>
      <protection locked="0"/>
    </xf>
    <xf numFmtId="4" fontId="13" fillId="0" borderId="30" xfId="1" applyNumberFormat="1" applyFont="1" applyFill="1" applyBorder="1" applyAlignment="1">
      <alignment horizontal="center"/>
    </xf>
    <xf numFmtId="44" fontId="13" fillId="0" borderId="30" xfId="2" applyNumberFormat="1" applyFont="1" applyFill="1" applyBorder="1"/>
    <xf numFmtId="0" fontId="13" fillId="0" borderId="30" xfId="0" applyFont="1" applyFill="1" applyBorder="1" applyAlignment="1">
      <alignment horizontal="center"/>
    </xf>
    <xf numFmtId="44" fontId="13" fillId="0" borderId="30" xfId="0" applyNumberFormat="1" applyFont="1" applyFill="1" applyBorder="1"/>
    <xf numFmtId="0" fontId="4" fillId="0" borderId="37" xfId="16" applyFont="1" applyFill="1" applyBorder="1" applyAlignment="1">
      <alignment horizontal="left" vertical="top" wrapText="1"/>
    </xf>
    <xf numFmtId="0" fontId="4" fillId="0" borderId="0" xfId="9" applyFont="1" applyFill="1" applyBorder="1" applyAlignment="1">
      <alignment horizontal="left" vertical="center" wrapText="1"/>
    </xf>
    <xf numFmtId="0" fontId="4" fillId="0" borderId="29" xfId="9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left"/>
    </xf>
    <xf numFmtId="0" fontId="13" fillId="0" borderId="28" xfId="16" applyFont="1" applyFill="1" applyBorder="1" applyAlignment="1">
      <alignment horizontal="left" vertical="top" wrapText="1"/>
    </xf>
    <xf numFmtId="0" fontId="13" fillId="0" borderId="0" xfId="9" applyFont="1" applyFill="1" applyBorder="1" applyAlignment="1">
      <alignment horizontal="left" vertical="center" wrapText="1"/>
    </xf>
    <xf numFmtId="3" fontId="13" fillId="0" borderId="30" xfId="0" applyNumberFormat="1" applyFont="1" applyFill="1" applyBorder="1" applyAlignment="1">
      <alignment horizontal="center"/>
    </xf>
    <xf numFmtId="166" fontId="13" fillId="0" borderId="30" xfId="2" applyNumberFormat="1" applyFont="1" applyFill="1" applyBorder="1"/>
    <xf numFmtId="2" fontId="13" fillId="0" borderId="29" xfId="9" applyNumberFormat="1" applyFont="1" applyFill="1" applyBorder="1" applyAlignment="1">
      <alignment horizontal="center" vertical="center" wrapText="1"/>
    </xf>
    <xf numFmtId="166" fontId="13" fillId="0" borderId="2" xfId="2" applyNumberFormat="1" applyFont="1" applyFill="1" applyBorder="1"/>
    <xf numFmtId="42" fontId="13" fillId="0" borderId="33" xfId="2" applyNumberFormat="1" applyFont="1" applyFill="1" applyBorder="1"/>
    <xf numFmtId="3" fontId="13" fillId="0" borderId="2" xfId="1" applyNumberFormat="1" applyFont="1" applyFill="1" applyBorder="1" applyAlignment="1">
      <alignment horizontal="center"/>
    </xf>
    <xf numFmtId="44" fontId="13" fillId="0" borderId="2" xfId="0" applyNumberFormat="1" applyFont="1" applyFill="1" applyBorder="1"/>
    <xf numFmtId="3" fontId="13" fillId="0" borderId="30" xfId="1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2" fontId="4" fillId="0" borderId="0" xfId="2" applyNumberFormat="1" applyFont="1" applyFill="1" applyBorder="1"/>
    <xf numFmtId="0" fontId="4" fillId="0" borderId="0" xfId="1" applyNumberFormat="1" applyFont="1" applyFill="1" applyBorder="1" applyAlignment="1">
      <alignment horizontal="center"/>
    </xf>
    <xf numFmtId="42" fontId="4" fillId="0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3" fillId="0" borderId="38" xfId="0" applyFont="1" applyFill="1" applyBorder="1" applyAlignment="1">
      <alignment horizontal="left"/>
    </xf>
    <xf numFmtId="10" fontId="4" fillId="0" borderId="39" xfId="0" applyNumberFormat="1" applyFont="1" applyFill="1" applyBorder="1" applyAlignment="1" applyProtection="1">
      <alignment horizontal="left"/>
    </xf>
    <xf numFmtId="10" fontId="4" fillId="0" borderId="0" xfId="0" applyNumberFormat="1" applyFont="1" applyFill="1" applyAlignment="1" applyProtection="1">
      <alignment horizontal="left"/>
    </xf>
    <xf numFmtId="2" fontId="4" fillId="0" borderId="0" xfId="0" applyNumberFormat="1" applyFont="1" applyFill="1" applyAlignment="1" applyProtection="1">
      <alignment horizontal="center"/>
    </xf>
    <xf numFmtId="10" fontId="4" fillId="0" borderId="0" xfId="0" applyNumberFormat="1" applyFont="1" applyFill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10" fontId="4" fillId="0" borderId="0" xfId="0" applyNumberFormat="1" applyFont="1" applyFill="1" applyBorder="1" applyAlignment="1" applyProtection="1">
      <alignment horizontal="center"/>
    </xf>
    <xf numFmtId="174" fontId="3" fillId="0" borderId="0" xfId="2" applyNumberFormat="1" applyFont="1" applyFill="1" applyBorder="1" applyAlignment="1">
      <alignment horizontal="center"/>
    </xf>
    <xf numFmtId="175" fontId="3" fillId="0" borderId="0" xfId="1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/>
    <xf numFmtId="169" fontId="3" fillId="0" borderId="0" xfId="0" applyNumberFormat="1" applyFont="1" applyFill="1" applyBorder="1" applyAlignment="1">
      <alignment horizontal="center"/>
    </xf>
    <xf numFmtId="0" fontId="3" fillId="0" borderId="40" xfId="0" applyFont="1" applyFill="1" applyBorder="1" applyAlignment="1">
      <alignment horizontal="left"/>
    </xf>
    <xf numFmtId="10" fontId="4" fillId="0" borderId="41" xfId="0" applyNumberFormat="1" applyFont="1" applyFill="1" applyBorder="1" applyAlignment="1" applyProtection="1">
      <alignment horizontal="left"/>
    </xf>
    <xf numFmtId="2" fontId="4" fillId="0" borderId="0" xfId="1" applyNumberFormat="1" applyFont="1" applyFill="1" applyAlignment="1" applyProtection="1">
      <alignment horizontal="center"/>
    </xf>
    <xf numFmtId="3" fontId="3" fillId="0" borderId="0" xfId="0" applyNumberFormat="1" applyFont="1" applyFill="1" applyBorder="1"/>
    <xf numFmtId="3" fontId="9" fillId="0" borderId="0" xfId="1" applyNumberFormat="1" applyFont="1" applyFill="1" applyBorder="1" applyAlignment="1">
      <alignment horizontal="center"/>
    </xf>
    <xf numFmtId="0" fontId="3" fillId="0" borderId="42" xfId="0" applyFont="1" applyFill="1" applyBorder="1" applyAlignment="1">
      <alignment horizontal="left"/>
    </xf>
    <xf numFmtId="10" fontId="4" fillId="0" borderId="43" xfId="0" applyNumberFormat="1" applyFont="1" applyFill="1" applyBorder="1" applyAlignment="1" applyProtection="1">
      <alignment horizontal="left"/>
    </xf>
    <xf numFmtId="0" fontId="1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left"/>
    </xf>
    <xf numFmtId="171" fontId="4" fillId="0" borderId="0" xfId="0" applyNumberFormat="1" applyFont="1" applyFill="1" applyAlignment="1" applyProtection="1">
      <alignment horizontal="center"/>
    </xf>
    <xf numFmtId="7" fontId="4" fillId="0" borderId="0" xfId="0" applyNumberFormat="1" applyFont="1" applyFill="1" applyAlignment="1">
      <alignment horizontal="center"/>
    </xf>
    <xf numFmtId="4" fontId="17" fillId="0" borderId="0" xfId="0" applyNumberFormat="1" applyFont="1" applyFill="1" applyAlignment="1">
      <alignment horizontal="left"/>
    </xf>
    <xf numFmtId="4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Alignment="1">
      <alignment horizontal="center"/>
    </xf>
    <xf numFmtId="7" fontId="4" fillId="0" borderId="0" xfId="0" applyNumberFormat="1" applyFont="1" applyFill="1"/>
    <xf numFmtId="0" fontId="3" fillId="0" borderId="32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1" applyNumberFormat="1" applyFont="1" applyFill="1" applyBorder="1" applyAlignment="1">
      <alignment horizontal="right"/>
    </xf>
    <xf numFmtId="166" fontId="4" fillId="2" borderId="30" xfId="2" applyNumberFormat="1" applyFont="1" applyFill="1" applyBorder="1"/>
    <xf numFmtId="0" fontId="4" fillId="0" borderId="27" xfId="0" applyNumberFormat="1" applyFont="1" applyFill="1" applyBorder="1" applyAlignment="1">
      <alignment horizontal="left"/>
    </xf>
    <xf numFmtId="0" fontId="4" fillId="0" borderId="35" xfId="0" applyNumberFormat="1" applyFont="1" applyFill="1" applyBorder="1" applyAlignment="1">
      <alignment horizontal="left"/>
    </xf>
    <xf numFmtId="2" fontId="4" fillId="0" borderId="27" xfId="1" applyNumberFormat="1" applyFont="1" applyFill="1" applyBorder="1" applyAlignment="1">
      <alignment horizontal="center"/>
    </xf>
    <xf numFmtId="4" fontId="4" fillId="0" borderId="27" xfId="1" applyNumberFormat="1" applyFont="1" applyFill="1" applyBorder="1" applyAlignment="1">
      <alignment horizontal="center"/>
    </xf>
    <xf numFmtId="3" fontId="4" fillId="0" borderId="27" xfId="1" applyNumberFormat="1" applyFont="1" applyFill="1" applyBorder="1" applyAlignment="1">
      <alignment horizontal="center"/>
    </xf>
    <xf numFmtId="166" fontId="4" fillId="0" borderId="27" xfId="2" applyNumberFormat="1" applyFont="1" applyFill="1" applyBorder="1"/>
    <xf numFmtId="44" fontId="4" fillId="0" borderId="27" xfId="2" applyNumberFormat="1" applyFont="1" applyFill="1" applyBorder="1"/>
    <xf numFmtId="42" fontId="4" fillId="0" borderId="27" xfId="2" applyNumberFormat="1" applyFont="1" applyFill="1" applyBorder="1"/>
    <xf numFmtId="44" fontId="4" fillId="0" borderId="27" xfId="0" applyNumberFormat="1" applyFont="1" applyFill="1" applyBorder="1"/>
    <xf numFmtId="0" fontId="8" fillId="0" borderId="30" xfId="0" applyFont="1" applyFill="1" applyBorder="1" applyAlignment="1">
      <alignment horizontal="left"/>
    </xf>
    <xf numFmtId="0" fontId="4" fillId="0" borderId="46" xfId="16" applyFont="1" applyFill="1" applyBorder="1" applyAlignment="1">
      <alignment horizontal="left" vertical="top" wrapText="1"/>
    </xf>
    <xf numFmtId="0" fontId="4" fillId="0" borderId="45" xfId="9" applyFont="1" applyFill="1" applyBorder="1" applyAlignment="1">
      <alignment horizontal="left" vertical="center" wrapText="1"/>
    </xf>
    <xf numFmtId="0" fontId="4" fillId="0" borderId="0" xfId="0" applyFont="1"/>
    <xf numFmtId="4" fontId="13" fillId="0" borderId="0" xfId="5" applyNumberFormat="1" applyFont="1" applyAlignment="1">
      <alignment horizontal="center" vertical="center" wrapText="1"/>
    </xf>
    <xf numFmtId="42" fontId="4" fillId="0" borderId="31" xfId="2" applyNumberFormat="1" applyFont="1" applyFill="1" applyBorder="1"/>
    <xf numFmtId="44" fontId="4" fillId="0" borderId="30" xfId="0" applyNumberFormat="1" applyFont="1" applyFill="1" applyBorder="1" applyAlignment="1">
      <alignment horizontal="center"/>
    </xf>
    <xf numFmtId="44" fontId="4" fillId="0" borderId="27" xfId="0" applyNumberFormat="1" applyFont="1" applyFill="1" applyBorder="1" applyAlignment="1">
      <alignment horizontal="center"/>
    </xf>
    <xf numFmtId="44" fontId="13" fillId="0" borderId="30" xfId="0" applyNumberFormat="1" applyFont="1" applyFill="1" applyBorder="1" applyAlignment="1">
      <alignment horizontal="center"/>
    </xf>
    <xf numFmtId="0" fontId="4" fillId="3" borderId="27" xfId="0" applyFont="1" applyFill="1" applyBorder="1"/>
    <xf numFmtId="0" fontId="4" fillId="3" borderId="27" xfId="0" applyFont="1" applyFill="1" applyBorder="1" applyAlignment="1">
      <alignment horizontal="center"/>
    </xf>
    <xf numFmtId="169" fontId="4" fillId="3" borderId="27" xfId="0" applyNumberFormat="1" applyFont="1" applyFill="1" applyBorder="1" applyAlignment="1">
      <alignment horizontal="center"/>
    </xf>
    <xf numFmtId="165" fontId="4" fillId="3" borderId="30" xfId="0" applyNumberFormat="1" applyFont="1" applyFill="1" applyBorder="1"/>
    <xf numFmtId="169" fontId="4" fillId="3" borderId="30" xfId="0" applyNumberFormat="1" applyFont="1" applyFill="1" applyBorder="1" applyAlignment="1">
      <alignment horizontal="center"/>
    </xf>
    <xf numFmtId="165" fontId="4" fillId="3" borderId="27" xfId="0" applyNumberFormat="1" applyFont="1" applyFill="1" applyBorder="1"/>
    <xf numFmtId="165" fontId="13" fillId="3" borderId="30" xfId="0" applyNumberFormat="1" applyFont="1" applyFill="1" applyBorder="1"/>
    <xf numFmtId="169" fontId="13" fillId="3" borderId="30" xfId="0" applyNumberFormat="1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169" fontId="4" fillId="4" borderId="36" xfId="0" applyNumberFormat="1" applyFont="1" applyFill="1" applyBorder="1" applyAlignment="1">
      <alignment horizontal="center"/>
    </xf>
    <xf numFmtId="165" fontId="4" fillId="4" borderId="30" xfId="0" applyNumberFormat="1" applyFont="1" applyFill="1" applyBorder="1"/>
    <xf numFmtId="169" fontId="4" fillId="4" borderId="20" xfId="0" applyNumberFormat="1" applyFont="1" applyFill="1" applyBorder="1" applyAlignment="1">
      <alignment horizontal="center"/>
    </xf>
    <xf numFmtId="165" fontId="4" fillId="4" borderId="27" xfId="0" applyNumberFormat="1" applyFont="1" applyFill="1" applyBorder="1"/>
    <xf numFmtId="165" fontId="13" fillId="4" borderId="30" xfId="0" applyNumberFormat="1" applyFont="1" applyFill="1" applyBorder="1"/>
    <xf numFmtId="169" fontId="13" fillId="4" borderId="20" xfId="0" applyNumberFormat="1" applyFont="1" applyFill="1" applyBorder="1" applyAlignment="1">
      <alignment horizontal="center"/>
    </xf>
    <xf numFmtId="171" fontId="4" fillId="0" borderId="0" xfId="0" applyNumberFormat="1" applyFont="1" applyFill="1" applyAlignment="1" applyProtection="1">
      <alignment horizontal="left"/>
    </xf>
    <xf numFmtId="7" fontId="4" fillId="0" borderId="0" xfId="0" applyNumberFormat="1" applyFont="1" applyFill="1" applyAlignment="1">
      <alignment horizontal="left"/>
    </xf>
    <xf numFmtId="170" fontId="4" fillId="0" borderId="0" xfId="3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165" fontId="4" fillId="5" borderId="30" xfId="0" applyNumberFormat="1" applyFont="1" applyFill="1" applyBorder="1"/>
    <xf numFmtId="165" fontId="4" fillId="5" borderId="27" xfId="0" applyNumberFormat="1" applyFont="1" applyFill="1" applyBorder="1"/>
    <xf numFmtId="165" fontId="13" fillId="5" borderId="30" xfId="0" applyNumberFormat="1" applyFont="1" applyFill="1" applyBorder="1"/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left"/>
    </xf>
    <xf numFmtId="1" fontId="3" fillId="6" borderId="16" xfId="0" applyNumberFormat="1" applyFont="1" applyFill="1" applyBorder="1" applyAlignment="1">
      <alignment horizontal="center"/>
    </xf>
    <xf numFmtId="3" fontId="3" fillId="6" borderId="15" xfId="0" applyNumberFormat="1" applyFont="1" applyFill="1" applyBorder="1" applyAlignment="1">
      <alignment horizontal="center"/>
    </xf>
    <xf numFmtId="3" fontId="3" fillId="6" borderId="9" xfId="0" applyNumberFormat="1" applyFont="1" applyFill="1" applyBorder="1" applyAlignment="1">
      <alignment horizontal="center"/>
    </xf>
    <xf numFmtId="3" fontId="3" fillId="6" borderId="16" xfId="0" applyNumberFormat="1" applyFont="1" applyFill="1" applyBorder="1" applyAlignment="1">
      <alignment horizontal="center"/>
    </xf>
    <xf numFmtId="4" fontId="3" fillId="6" borderId="44" xfId="0" applyNumberFormat="1" applyFont="1" applyFill="1" applyBorder="1" applyAlignment="1">
      <alignment horizontal="center"/>
    </xf>
    <xf numFmtId="42" fontId="3" fillId="6" borderId="13" xfId="2" applyNumberFormat="1" applyFont="1" applyFill="1" applyBorder="1"/>
    <xf numFmtId="174" fontId="3" fillId="6" borderId="13" xfId="2" applyNumberFormat="1" applyFont="1" applyFill="1" applyBorder="1"/>
    <xf numFmtId="4" fontId="3" fillId="6" borderId="9" xfId="0" applyNumberFormat="1" applyFont="1" applyFill="1" applyBorder="1" applyAlignment="1">
      <alignment horizontal="center"/>
    </xf>
    <xf numFmtId="37" fontId="3" fillId="6" borderId="9" xfId="2" applyNumberFormat="1" applyFont="1" applyFill="1" applyBorder="1" applyAlignment="1">
      <alignment horizontal="center"/>
    </xf>
    <xf numFmtId="174" fontId="3" fillId="6" borderId="13" xfId="0" applyNumberFormat="1" applyFont="1" applyFill="1" applyBorder="1" applyAlignment="1">
      <alignment horizontal="center"/>
    </xf>
    <xf numFmtId="44" fontId="3" fillId="6" borderId="13" xfId="0" applyNumberFormat="1" applyFont="1" applyFill="1" applyBorder="1" applyAlignment="1">
      <alignment horizontal="center"/>
    </xf>
    <xf numFmtId="4" fontId="3" fillId="6" borderId="23" xfId="0" applyNumberFormat="1" applyFont="1" applyFill="1" applyBorder="1"/>
    <xf numFmtId="39" fontId="3" fillId="6" borderId="23" xfId="0" applyNumberFormat="1" applyFont="1" applyFill="1" applyBorder="1"/>
    <xf numFmtId="164" fontId="3" fillId="6" borderId="13" xfId="0" applyNumberFormat="1" applyFont="1" applyFill="1" applyBorder="1" applyAlignment="1">
      <alignment horizontal="center"/>
    </xf>
    <xf numFmtId="164" fontId="3" fillId="6" borderId="15" xfId="2" applyNumberFormat="1" applyFont="1" applyFill="1" applyBorder="1"/>
    <xf numFmtId="169" fontId="3" fillId="6" borderId="16" xfId="0" applyNumberFormat="1" applyFont="1" applyFill="1" applyBorder="1" applyAlignment="1">
      <alignment horizontal="center"/>
    </xf>
    <xf numFmtId="165" fontId="3" fillId="6" borderId="8" xfId="0" applyNumberFormat="1" applyFont="1" applyFill="1" applyBorder="1" applyAlignment="1">
      <alignment horizontal="center"/>
    </xf>
    <xf numFmtId="167" fontId="3" fillId="6" borderId="9" xfId="0" applyNumberFormat="1" applyFont="1" applyFill="1" applyBorder="1"/>
    <xf numFmtId="166" fontId="4" fillId="0" borderId="31" xfId="2" applyNumberFormat="1" applyFont="1" applyFill="1" applyBorder="1"/>
    <xf numFmtId="164" fontId="3" fillId="6" borderId="16" xfId="2" applyNumberFormat="1" applyFont="1" applyFill="1" applyBorder="1"/>
  </cellXfs>
  <cellStyles count="21">
    <cellStyle name="Comma" xfId="1" builtinId="3"/>
    <cellStyle name="Comma 2" xfId="6" xr:uid="{00000000-0005-0000-0000-000001000000}"/>
    <cellStyle name="Comma 3" xfId="10" xr:uid="{00000000-0005-0000-0000-000002000000}"/>
    <cellStyle name="Comma 4" xfId="12" xr:uid="{00000000-0005-0000-0000-000003000000}"/>
    <cellStyle name="Currency" xfId="2" builtinId="4"/>
    <cellStyle name="Currency 2" xfId="7" xr:uid="{00000000-0005-0000-0000-000005000000}"/>
    <cellStyle name="Currency 3" xfId="11" xr:uid="{00000000-0005-0000-0000-000006000000}"/>
    <cellStyle name="Currency 4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9" xr:uid="{00000000-0005-0000-0000-00000B000000}"/>
    <cellStyle name="Normal 5" xfId="16" xr:uid="{00000000-0005-0000-0000-00000C000000}"/>
    <cellStyle name="Normal 6" xfId="17" xr:uid="{00000000-0005-0000-0000-00000D000000}"/>
    <cellStyle name="Normal 7" xfId="18" xr:uid="{00000000-0005-0000-0000-00000E000000}"/>
    <cellStyle name="Normal 8" xfId="19" xr:uid="{00000000-0005-0000-0000-00000F000000}"/>
    <cellStyle name="Normal 9" xfId="20" xr:uid="{00000000-0005-0000-0000-000010000000}"/>
    <cellStyle name="Normal_Copy of Avoided Cost adjusted Final" xfId="3" xr:uid="{00000000-0005-0000-0000-000011000000}"/>
    <cellStyle name="Normal_Copy of Avoided Cost adjusted Final 2" xfId="14" xr:uid="{00000000-0005-0000-0000-000012000000}"/>
    <cellStyle name="Percent" xfId="4" builtinId="5"/>
    <cellStyle name="Percent 2" xfId="15" xr:uid="{00000000-0005-0000-0000-000014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DaveB\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1"/>
    <pageSetUpPr fitToPage="1"/>
  </sheetPr>
  <dimension ref="A1:AB92"/>
  <sheetViews>
    <sheetView tabSelected="1" showOutlineSymbols="0" zoomScale="80" zoomScaleNormal="80" workbookViewId="0">
      <pane xSplit="1" ySplit="5" topLeftCell="B6" activePane="bottomRight" state="frozen"/>
      <selection pane="topRight" activeCell="C1" sqref="C1"/>
      <selection pane="bottomLeft" activeCell="A8" sqref="A8"/>
      <selection pane="bottomRight" activeCell="U55" sqref="U55"/>
    </sheetView>
  </sheetViews>
  <sheetFormatPr defaultColWidth="216.5" defaultRowHeight="12.75" x14ac:dyDescent="0.2"/>
  <cols>
    <col min="1" max="1" width="45.6640625" style="1" bestFit="1" customWidth="1" collapsed="1"/>
    <col min="2" max="2" width="65.33203125" style="47" bestFit="1" customWidth="1"/>
    <col min="3" max="3" width="85.6640625" style="47" bestFit="1" customWidth="1"/>
    <col min="4" max="4" width="14.1640625" style="48" customWidth="1"/>
    <col min="5" max="5" width="22.1640625" style="2" customWidth="1"/>
    <col min="6" max="6" width="11.6640625" style="2" customWidth="1"/>
    <col min="7" max="7" width="16" style="46" customWidth="1"/>
    <col min="8" max="8" width="22" style="46" customWidth="1"/>
    <col min="9" max="10" width="15.6640625" style="1" customWidth="1"/>
    <col min="11" max="11" width="14.6640625" style="1" bestFit="1" customWidth="1"/>
    <col min="12" max="12" width="13.6640625" style="1" customWidth="1"/>
    <col min="13" max="13" width="17.5" style="1" bestFit="1" customWidth="1"/>
    <col min="14" max="14" width="8.6640625" style="1" bestFit="1" customWidth="1"/>
    <col min="15" max="15" width="18.6640625" style="1" bestFit="1" customWidth="1"/>
    <col min="16" max="16" width="15.6640625" style="2" bestFit="1" customWidth="1"/>
    <col min="17" max="17" width="15" style="2" bestFit="1" customWidth="1"/>
    <col min="18" max="18" width="18.83203125" style="49" bestFit="1" customWidth="1"/>
    <col min="19" max="19" width="19.6640625" style="49" bestFit="1" customWidth="1"/>
    <col min="20" max="20" width="13" style="2" customWidth="1"/>
    <col min="21" max="22" width="12.33203125" style="2" customWidth="1"/>
    <col min="23" max="23" width="2.5" style="2" customWidth="1"/>
    <col min="24" max="24" width="16" style="2" customWidth="1"/>
    <col min="25" max="25" width="12.33203125" style="2" customWidth="1"/>
    <col min="26" max="26" width="12.33203125" style="1" customWidth="1"/>
    <col min="27" max="16384" width="216.5" style="1"/>
  </cols>
  <sheetData>
    <row r="1" spans="1:28" x14ac:dyDescent="0.2">
      <c r="A1" s="43" t="s">
        <v>63</v>
      </c>
      <c r="B1" s="206" t="s">
        <v>3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</row>
    <row r="2" spans="1:28" ht="13.5" thickBot="1" x14ac:dyDescent="0.25">
      <c r="A2" s="44">
        <v>43831</v>
      </c>
      <c r="B2" s="206" t="s">
        <v>61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</row>
    <row r="3" spans="1:28" s="43" customFormat="1" x14ac:dyDescent="0.2">
      <c r="A3" s="51"/>
      <c r="B3" s="52"/>
      <c r="C3" s="53"/>
      <c r="D3" s="54" t="s">
        <v>6</v>
      </c>
      <c r="E3" s="55"/>
      <c r="F3" s="56"/>
      <c r="G3" s="57"/>
      <c r="H3" s="55" t="s">
        <v>6</v>
      </c>
      <c r="I3" s="58" t="s">
        <v>4</v>
      </c>
      <c r="J3" s="59" t="s">
        <v>225</v>
      </c>
      <c r="K3" s="59" t="s">
        <v>71</v>
      </c>
      <c r="L3" s="59" t="s">
        <v>73</v>
      </c>
      <c r="M3" s="58" t="s">
        <v>74</v>
      </c>
      <c r="N3" s="58"/>
      <c r="O3" s="58" t="s">
        <v>5</v>
      </c>
      <c r="P3" s="58" t="s">
        <v>11</v>
      </c>
      <c r="Q3" s="60"/>
      <c r="R3" s="58" t="s">
        <v>226</v>
      </c>
      <c r="S3" s="166" t="s">
        <v>227</v>
      </c>
      <c r="T3" s="61"/>
      <c r="U3" s="57" t="s">
        <v>70</v>
      </c>
      <c r="V3" s="57" t="s">
        <v>0</v>
      </c>
      <c r="W3" s="208"/>
      <c r="X3" s="62" t="s">
        <v>6</v>
      </c>
      <c r="Y3" s="63" t="s">
        <v>70</v>
      </c>
      <c r="Z3" s="64" t="s">
        <v>0</v>
      </c>
    </row>
    <row r="4" spans="1:28" s="43" customFormat="1" x14ac:dyDescent="0.2">
      <c r="A4" s="65"/>
      <c r="B4" s="66"/>
      <c r="C4" s="67"/>
      <c r="D4" s="68" t="s">
        <v>4</v>
      </c>
      <c r="E4" s="69" t="s">
        <v>7</v>
      </c>
      <c r="F4" s="70"/>
      <c r="G4" s="71" t="s">
        <v>33</v>
      </c>
      <c r="H4" s="69" t="s">
        <v>7</v>
      </c>
      <c r="I4" s="72" t="s">
        <v>75</v>
      </c>
      <c r="J4" s="73" t="s">
        <v>75</v>
      </c>
      <c r="K4" s="73" t="s">
        <v>72</v>
      </c>
      <c r="L4" s="73" t="s">
        <v>72</v>
      </c>
      <c r="M4" s="72" t="s">
        <v>8</v>
      </c>
      <c r="N4" s="72"/>
      <c r="O4" s="72" t="s">
        <v>9</v>
      </c>
      <c r="P4" s="72" t="s">
        <v>65</v>
      </c>
      <c r="Q4" s="72" t="s">
        <v>11</v>
      </c>
      <c r="R4" s="72" t="s">
        <v>16</v>
      </c>
      <c r="S4" s="76" t="s">
        <v>228</v>
      </c>
      <c r="T4" s="71" t="s">
        <v>12</v>
      </c>
      <c r="U4" s="71" t="s">
        <v>36</v>
      </c>
      <c r="V4" s="71" t="s">
        <v>14</v>
      </c>
      <c r="W4" s="209"/>
      <c r="X4" s="75" t="s">
        <v>10</v>
      </c>
      <c r="Y4" s="76" t="s">
        <v>35</v>
      </c>
      <c r="Z4" s="77" t="s">
        <v>14</v>
      </c>
    </row>
    <row r="5" spans="1:28" s="43" customFormat="1" x14ac:dyDescent="0.2">
      <c r="A5" s="78" t="s">
        <v>4</v>
      </c>
      <c r="B5" s="79" t="s">
        <v>22</v>
      </c>
      <c r="C5" s="80" t="s">
        <v>27</v>
      </c>
      <c r="D5" s="81" t="s">
        <v>60</v>
      </c>
      <c r="E5" s="82" t="s">
        <v>59</v>
      </c>
      <c r="F5" s="83" t="s">
        <v>33</v>
      </c>
      <c r="G5" s="84" t="s">
        <v>8</v>
      </c>
      <c r="H5" s="82" t="s">
        <v>13</v>
      </c>
      <c r="I5" s="85" t="s">
        <v>14</v>
      </c>
      <c r="J5" s="86" t="s">
        <v>14</v>
      </c>
      <c r="K5" s="86"/>
      <c r="L5" s="86"/>
      <c r="M5" s="85" t="s">
        <v>14</v>
      </c>
      <c r="N5" s="85" t="s">
        <v>15</v>
      </c>
      <c r="O5" s="85" t="s">
        <v>13</v>
      </c>
      <c r="P5" s="72" t="s">
        <v>34</v>
      </c>
      <c r="Q5" s="85" t="s">
        <v>16</v>
      </c>
      <c r="R5" s="85" t="s">
        <v>14</v>
      </c>
      <c r="S5" s="165" t="s">
        <v>202</v>
      </c>
      <c r="T5" s="84" t="s">
        <v>14</v>
      </c>
      <c r="U5" s="84"/>
      <c r="V5" s="84" t="s">
        <v>1</v>
      </c>
      <c r="W5" s="210"/>
      <c r="X5" s="78" t="s">
        <v>14</v>
      </c>
      <c r="Y5" s="87"/>
      <c r="Z5" s="88" t="s">
        <v>1</v>
      </c>
    </row>
    <row r="6" spans="1:28" ht="18.600000000000001" customHeight="1" x14ac:dyDescent="0.2">
      <c r="A6" s="89" t="s">
        <v>77</v>
      </c>
      <c r="B6" s="90"/>
      <c r="C6" s="91"/>
      <c r="D6" s="92"/>
      <c r="E6" s="93"/>
      <c r="F6" s="38"/>
      <c r="G6" s="94"/>
      <c r="H6" s="95"/>
      <c r="I6" s="38"/>
      <c r="J6" s="38"/>
      <c r="K6" s="96"/>
      <c r="L6" s="38"/>
      <c r="M6" s="38"/>
      <c r="N6" s="38"/>
      <c r="O6" s="38"/>
      <c r="P6" s="38"/>
      <c r="Q6" s="97"/>
      <c r="R6" s="98"/>
      <c r="S6" s="98"/>
      <c r="T6" s="188"/>
      <c r="U6" s="189"/>
      <c r="V6" s="190"/>
      <c r="W6" s="211"/>
      <c r="X6" s="196"/>
      <c r="Y6" s="196"/>
      <c r="Z6" s="197"/>
    </row>
    <row r="7" spans="1:28" x14ac:dyDescent="0.2">
      <c r="A7" s="31" t="s">
        <v>76</v>
      </c>
      <c r="B7" s="32" t="s">
        <v>146</v>
      </c>
      <c r="C7" s="33" t="s">
        <v>143</v>
      </c>
      <c r="D7" s="34">
        <v>38</v>
      </c>
      <c r="E7" s="36">
        <v>1.5</v>
      </c>
      <c r="F7" s="35" t="s">
        <v>133</v>
      </c>
      <c r="G7" s="36">
        <v>41267</v>
      </c>
      <c r="H7" s="36">
        <f t="shared" ref="H7:H45" si="0">G7*E7</f>
        <v>61900.5</v>
      </c>
      <c r="I7" s="37">
        <v>8.89</v>
      </c>
      <c r="J7" s="37">
        <f>G7*I7</f>
        <v>366863.63</v>
      </c>
      <c r="K7" s="40">
        <f t="shared" ref="K7:K38" si="1">0.5*0.9*$E7+PV($B$76,$N7,-(0.116*$E7))</f>
        <v>2.9521723776330537</v>
      </c>
      <c r="L7" s="37">
        <f t="shared" ref="L7:L38" si="2">0.1*$E7+PV($B$76,$N7,(-0.05*0.9*$E7))</f>
        <v>1.0333858361507535</v>
      </c>
      <c r="M7" s="41">
        <f>MAX(0,G7*(I7-K7-L7))</f>
        <v>202391.59919178364</v>
      </c>
      <c r="N7" s="38">
        <v>20</v>
      </c>
      <c r="O7" s="35">
        <f t="shared" ref="O7:O38" si="3">PV($B$76,N7,-H7)</f>
        <v>810104.07334295881</v>
      </c>
      <c r="P7" s="185">
        <f t="shared" ref="P7:P38" si="4">$A$83*H7/SUM($H$7:$H$54)</f>
        <v>133673.07232387189</v>
      </c>
      <c r="Q7" s="39">
        <v>6</v>
      </c>
      <c r="R7" s="39">
        <f t="shared" ref="R7:R32" si="5">G7*Q7</f>
        <v>247602</v>
      </c>
      <c r="S7" s="39">
        <v>0</v>
      </c>
      <c r="T7" s="191">
        <f t="shared" ref="T7:T25" si="6">IF(ISERROR(R7/O7),0,R7/O7)</f>
        <v>0.30564221085600851</v>
      </c>
      <c r="U7" s="191">
        <f t="shared" ref="U7:U25" si="7">IF(O7=0,0,(R7+P7)/O7)</f>
        <v>0.47064949414525226</v>
      </c>
      <c r="V7" s="192">
        <f t="shared" ref="V7:V32" si="8">IF($R7=0,"-",(VLOOKUP($N7,AC,7)*$H7)/($R7+$P7))</f>
        <v>1.6494082922329687</v>
      </c>
      <c r="W7" s="212"/>
      <c r="X7" s="198">
        <f t="shared" ref="X7:X25" si="9">IF(ISERROR(M7/O7),0,M7/O7)</f>
        <v>0.24983407175895145</v>
      </c>
      <c r="Y7" s="198">
        <f t="shared" ref="Y7:Y25" si="10">IF(O7=0,0,(M7+P7)/O7)</f>
        <v>0.41484135504819519</v>
      </c>
      <c r="Z7" s="199">
        <f t="shared" ref="Z7:Z32" si="11">IF($M7=0,"-",(VLOOKUP($N7,AC,5)*$H7)/(M7+P7))</f>
        <v>1.6633789577238771</v>
      </c>
    </row>
    <row r="8" spans="1:28" x14ac:dyDescent="0.2">
      <c r="A8" s="31" t="s">
        <v>166</v>
      </c>
      <c r="B8" s="32" t="s">
        <v>183</v>
      </c>
      <c r="C8" s="33" t="s">
        <v>184</v>
      </c>
      <c r="D8" s="34">
        <v>0</v>
      </c>
      <c r="E8" s="36">
        <v>136.9</v>
      </c>
      <c r="F8" s="35" t="s">
        <v>62</v>
      </c>
      <c r="G8" s="36">
        <v>0</v>
      </c>
      <c r="H8" s="36">
        <f t="shared" si="0"/>
        <v>0</v>
      </c>
      <c r="I8" s="37">
        <v>315</v>
      </c>
      <c r="J8" s="37">
        <f t="shared" ref="J8:J70" si="12">G8*I8</f>
        <v>0</v>
      </c>
      <c r="K8" s="40">
        <f t="shared" si="1"/>
        <v>155.42363734431694</v>
      </c>
      <c r="L8" s="37">
        <f t="shared" si="2"/>
        <v>50.085161038743649</v>
      </c>
      <c r="M8" s="41">
        <f t="shared" ref="M8:M70" si="13">MAX(0,G8*(I8-K8-L8))</f>
        <v>0</v>
      </c>
      <c r="N8" s="38">
        <v>7</v>
      </c>
      <c r="O8" s="35">
        <f t="shared" si="3"/>
        <v>0</v>
      </c>
      <c r="P8" s="185">
        <f t="shared" si="4"/>
        <v>0</v>
      </c>
      <c r="Q8" s="39">
        <v>125</v>
      </c>
      <c r="R8" s="39">
        <f t="shared" si="5"/>
        <v>0</v>
      </c>
      <c r="S8" s="39">
        <v>0</v>
      </c>
      <c r="T8" s="191">
        <f t="shared" si="6"/>
        <v>0</v>
      </c>
      <c r="U8" s="191">
        <f t="shared" si="7"/>
        <v>0</v>
      </c>
      <c r="V8" s="192" t="str">
        <f t="shared" si="8"/>
        <v>-</v>
      </c>
      <c r="W8" s="212"/>
      <c r="X8" s="198">
        <f t="shared" si="9"/>
        <v>0</v>
      </c>
      <c r="Y8" s="198">
        <f t="shared" si="10"/>
        <v>0</v>
      </c>
      <c r="Z8" s="199" t="str">
        <f t="shared" si="11"/>
        <v>-</v>
      </c>
    </row>
    <row r="9" spans="1:28" ht="12.75" customHeight="1" x14ac:dyDescent="0.2">
      <c r="A9" s="31" t="s">
        <v>24</v>
      </c>
      <c r="B9" s="32" t="s">
        <v>24</v>
      </c>
      <c r="C9" s="33" t="s">
        <v>185</v>
      </c>
      <c r="D9" s="34">
        <v>0</v>
      </c>
      <c r="E9" s="36">
        <v>270</v>
      </c>
      <c r="F9" s="35" t="s">
        <v>62</v>
      </c>
      <c r="G9" s="36">
        <v>0</v>
      </c>
      <c r="H9" s="36">
        <f t="shared" si="0"/>
        <v>0</v>
      </c>
      <c r="I9" s="37">
        <v>1.5</v>
      </c>
      <c r="J9" s="37">
        <f t="shared" si="12"/>
        <v>0</v>
      </c>
      <c r="K9" s="40">
        <f t="shared" si="1"/>
        <v>408.24099897356422</v>
      </c>
      <c r="L9" s="37">
        <f t="shared" si="2"/>
        <v>138.23573236043444</v>
      </c>
      <c r="M9" s="41">
        <f t="shared" si="13"/>
        <v>0</v>
      </c>
      <c r="N9" s="38">
        <v>12</v>
      </c>
      <c r="O9" s="35">
        <f t="shared" si="3"/>
        <v>0</v>
      </c>
      <c r="P9" s="185">
        <f t="shared" si="4"/>
        <v>0</v>
      </c>
      <c r="Q9" s="39">
        <v>1000</v>
      </c>
      <c r="R9" s="39">
        <f t="shared" si="5"/>
        <v>0</v>
      </c>
      <c r="S9" s="39">
        <v>0</v>
      </c>
      <c r="T9" s="191">
        <f t="shared" si="6"/>
        <v>0</v>
      </c>
      <c r="U9" s="191">
        <f t="shared" si="7"/>
        <v>0</v>
      </c>
      <c r="V9" s="192" t="str">
        <f t="shared" si="8"/>
        <v>-</v>
      </c>
      <c r="W9" s="212"/>
      <c r="X9" s="198">
        <f t="shared" si="9"/>
        <v>0</v>
      </c>
      <c r="Y9" s="198">
        <f t="shared" si="10"/>
        <v>0</v>
      </c>
      <c r="Z9" s="199" t="str">
        <f t="shared" si="11"/>
        <v>-</v>
      </c>
    </row>
    <row r="10" spans="1:28" x14ac:dyDescent="0.2">
      <c r="A10" s="31" t="s">
        <v>21</v>
      </c>
      <c r="B10" s="32" t="s">
        <v>26</v>
      </c>
      <c r="C10" s="33" t="s">
        <v>32</v>
      </c>
      <c r="D10" s="34">
        <v>0</v>
      </c>
      <c r="E10" s="36">
        <v>90</v>
      </c>
      <c r="F10" s="35" t="s">
        <v>62</v>
      </c>
      <c r="G10" s="36">
        <v>0</v>
      </c>
      <c r="H10" s="36">
        <f t="shared" si="0"/>
        <v>0</v>
      </c>
      <c r="I10" s="37">
        <v>200</v>
      </c>
      <c r="J10" s="37">
        <f t="shared" si="12"/>
        <v>0</v>
      </c>
      <c r="K10" s="40">
        <f t="shared" si="1"/>
        <v>123.39383394189926</v>
      </c>
      <c r="L10" s="37">
        <f t="shared" si="2"/>
        <v>41.15709075332299</v>
      </c>
      <c r="M10" s="41">
        <f t="shared" si="13"/>
        <v>0</v>
      </c>
      <c r="N10" s="38">
        <v>10</v>
      </c>
      <c r="O10" s="35">
        <f t="shared" si="3"/>
        <v>0</v>
      </c>
      <c r="P10" s="185">
        <f t="shared" si="4"/>
        <v>0</v>
      </c>
      <c r="Q10" s="39">
        <v>180</v>
      </c>
      <c r="R10" s="39">
        <f t="shared" si="5"/>
        <v>0</v>
      </c>
      <c r="S10" s="39">
        <v>0</v>
      </c>
      <c r="T10" s="191">
        <f t="shared" si="6"/>
        <v>0</v>
      </c>
      <c r="U10" s="191">
        <f t="shared" si="7"/>
        <v>0</v>
      </c>
      <c r="V10" s="192" t="str">
        <f t="shared" si="8"/>
        <v>-</v>
      </c>
      <c r="W10" s="212"/>
      <c r="X10" s="198">
        <f t="shared" si="9"/>
        <v>0</v>
      </c>
      <c r="Y10" s="198">
        <f t="shared" si="10"/>
        <v>0</v>
      </c>
      <c r="Z10" s="199" t="str">
        <f t="shared" si="11"/>
        <v>-</v>
      </c>
    </row>
    <row r="11" spans="1:28" x14ac:dyDescent="0.2">
      <c r="A11" s="31" t="s">
        <v>167</v>
      </c>
      <c r="B11" s="32" t="s">
        <v>25</v>
      </c>
      <c r="C11" s="33" t="s">
        <v>116</v>
      </c>
      <c r="D11" s="34">
        <v>0</v>
      </c>
      <c r="E11" s="36">
        <v>368</v>
      </c>
      <c r="F11" s="35" t="s">
        <v>117</v>
      </c>
      <c r="G11" s="36">
        <v>0</v>
      </c>
      <c r="H11" s="36">
        <f t="shared" si="0"/>
        <v>0</v>
      </c>
      <c r="I11" s="37">
        <v>900</v>
      </c>
      <c r="J11" s="37">
        <f t="shared" si="12"/>
        <v>0</v>
      </c>
      <c r="K11" s="40">
        <f t="shared" si="1"/>
        <v>556.41736156396905</v>
      </c>
      <c r="L11" s="37">
        <f t="shared" si="2"/>
        <v>188.41018336533284</v>
      </c>
      <c r="M11" s="41">
        <f t="shared" si="13"/>
        <v>0</v>
      </c>
      <c r="N11" s="38">
        <v>12</v>
      </c>
      <c r="O11" s="35">
        <f t="shared" si="3"/>
        <v>0</v>
      </c>
      <c r="P11" s="185">
        <f t="shared" si="4"/>
        <v>0</v>
      </c>
      <c r="Q11" s="39">
        <v>800</v>
      </c>
      <c r="R11" s="39">
        <f t="shared" si="5"/>
        <v>0</v>
      </c>
      <c r="S11" s="39">
        <v>0</v>
      </c>
      <c r="T11" s="191">
        <f t="shared" si="6"/>
        <v>0</v>
      </c>
      <c r="U11" s="191">
        <f t="shared" si="7"/>
        <v>0</v>
      </c>
      <c r="V11" s="192" t="str">
        <f t="shared" si="8"/>
        <v>-</v>
      </c>
      <c r="W11" s="212"/>
      <c r="X11" s="198">
        <f t="shared" si="9"/>
        <v>0</v>
      </c>
      <c r="Y11" s="198">
        <f t="shared" si="10"/>
        <v>0</v>
      </c>
      <c r="Z11" s="199" t="str">
        <f t="shared" si="11"/>
        <v>-</v>
      </c>
    </row>
    <row r="12" spans="1:28" x14ac:dyDescent="0.2">
      <c r="A12" s="31" t="s">
        <v>168</v>
      </c>
      <c r="B12" s="32" t="s">
        <v>25</v>
      </c>
      <c r="C12" s="33" t="s">
        <v>116</v>
      </c>
      <c r="D12" s="34">
        <v>1</v>
      </c>
      <c r="E12" s="36">
        <v>219</v>
      </c>
      <c r="F12" s="35" t="s">
        <v>117</v>
      </c>
      <c r="G12" s="36">
        <v>2</v>
      </c>
      <c r="H12" s="36">
        <f t="shared" si="0"/>
        <v>438</v>
      </c>
      <c r="I12" s="37">
        <v>900</v>
      </c>
      <c r="J12" s="37">
        <f t="shared" si="12"/>
        <v>1800</v>
      </c>
      <c r="K12" s="40">
        <f t="shared" si="1"/>
        <v>331.12881027855769</v>
      </c>
      <c r="L12" s="37">
        <f t="shared" si="2"/>
        <v>112.12453847013015</v>
      </c>
      <c r="M12" s="41">
        <f t="shared" si="13"/>
        <v>913.49330250262437</v>
      </c>
      <c r="N12" s="38">
        <v>12</v>
      </c>
      <c r="O12" s="35">
        <f t="shared" si="3"/>
        <v>4009.9794875613393</v>
      </c>
      <c r="P12" s="185">
        <f t="shared" si="4"/>
        <v>945.85351778831978</v>
      </c>
      <c r="Q12" s="39">
        <v>800</v>
      </c>
      <c r="R12" s="39">
        <f t="shared" si="5"/>
        <v>1600</v>
      </c>
      <c r="S12" s="39">
        <v>0</v>
      </c>
      <c r="T12" s="191">
        <f t="shared" si="6"/>
        <v>0.39900453480200637</v>
      </c>
      <c r="U12" s="191">
        <f t="shared" si="7"/>
        <v>0.63487943658698742</v>
      </c>
      <c r="V12" s="192">
        <f t="shared" si="8"/>
        <v>1.1067049264569429</v>
      </c>
      <c r="W12" s="212"/>
      <c r="X12" s="198">
        <f t="shared" si="9"/>
        <v>0.22780498138113006</v>
      </c>
      <c r="Y12" s="198">
        <f t="shared" si="10"/>
        <v>0.4636798831661112</v>
      </c>
      <c r="Z12" s="199">
        <f t="shared" si="11"/>
        <v>1.3775652040944326</v>
      </c>
      <c r="AB12" s="99"/>
    </row>
    <row r="13" spans="1:28" x14ac:dyDescent="0.2">
      <c r="A13" s="103" t="s">
        <v>115</v>
      </c>
      <c r="B13" s="101" t="s">
        <v>25</v>
      </c>
      <c r="C13" s="33" t="s">
        <v>116</v>
      </c>
      <c r="D13" s="34">
        <v>4</v>
      </c>
      <c r="E13" s="36">
        <v>649</v>
      </c>
      <c r="F13" s="35" t="s">
        <v>117</v>
      </c>
      <c r="G13" s="36">
        <v>4</v>
      </c>
      <c r="H13" s="36">
        <f t="shared" si="0"/>
        <v>2596</v>
      </c>
      <c r="I13" s="37">
        <v>900</v>
      </c>
      <c r="J13" s="37">
        <f t="shared" si="12"/>
        <v>3600</v>
      </c>
      <c r="K13" s="40">
        <f t="shared" si="1"/>
        <v>981.29040123645632</v>
      </c>
      <c r="L13" s="37">
        <f t="shared" si="2"/>
        <v>332.2777418589701</v>
      </c>
      <c r="M13" s="41">
        <f t="shared" si="13"/>
        <v>0</v>
      </c>
      <c r="N13" s="38">
        <v>12</v>
      </c>
      <c r="O13" s="35">
        <f t="shared" si="3"/>
        <v>23766.91038746401</v>
      </c>
      <c r="P13" s="185">
        <f t="shared" si="4"/>
        <v>5606.0176533755202</v>
      </c>
      <c r="Q13" s="39">
        <v>800</v>
      </c>
      <c r="R13" s="39">
        <f t="shared" si="5"/>
        <v>3200</v>
      </c>
      <c r="S13" s="39">
        <v>0</v>
      </c>
      <c r="T13" s="191">
        <f t="shared" si="6"/>
        <v>0.13464097553411308</v>
      </c>
      <c r="U13" s="191">
        <f t="shared" si="7"/>
        <v>0.37051587731909419</v>
      </c>
      <c r="V13" s="192">
        <f t="shared" si="8"/>
        <v>1.8963403276019832</v>
      </c>
      <c r="W13" s="212"/>
      <c r="X13" s="198">
        <f t="shared" si="9"/>
        <v>0</v>
      </c>
      <c r="Y13" s="198">
        <f t="shared" si="10"/>
        <v>0.23587490178498111</v>
      </c>
      <c r="Z13" s="199" t="str">
        <f t="shared" si="11"/>
        <v>-</v>
      </c>
    </row>
    <row r="14" spans="1:28" hidden="1" x14ac:dyDescent="0.2">
      <c r="A14" s="103" t="s">
        <v>169</v>
      </c>
      <c r="B14" s="101" t="s">
        <v>25</v>
      </c>
      <c r="C14" s="33" t="s">
        <v>116</v>
      </c>
      <c r="D14" s="34">
        <v>0</v>
      </c>
      <c r="E14" s="36">
        <v>141</v>
      </c>
      <c r="F14" s="35" t="s">
        <v>117</v>
      </c>
      <c r="G14" s="36">
        <v>0</v>
      </c>
      <c r="H14" s="36">
        <f t="shared" si="0"/>
        <v>0</v>
      </c>
      <c r="I14" s="37">
        <v>900</v>
      </c>
      <c r="J14" s="37">
        <f t="shared" si="12"/>
        <v>0</v>
      </c>
      <c r="K14" s="40">
        <f t="shared" si="1"/>
        <v>213.19252168619471</v>
      </c>
      <c r="L14" s="37">
        <f t="shared" si="2"/>
        <v>72.189771343782425</v>
      </c>
      <c r="M14" s="41">
        <f t="shared" si="13"/>
        <v>0</v>
      </c>
      <c r="N14" s="38">
        <v>12</v>
      </c>
      <c r="O14" s="35">
        <f t="shared" si="3"/>
        <v>0</v>
      </c>
      <c r="P14" s="185">
        <f t="shared" si="4"/>
        <v>0</v>
      </c>
      <c r="Q14" s="39">
        <v>800</v>
      </c>
      <c r="R14" s="39">
        <f t="shared" si="5"/>
        <v>0</v>
      </c>
      <c r="S14" s="39">
        <v>0</v>
      </c>
      <c r="T14" s="191">
        <f t="shared" si="6"/>
        <v>0</v>
      </c>
      <c r="U14" s="191">
        <f t="shared" si="7"/>
        <v>0</v>
      </c>
      <c r="V14" s="192" t="str">
        <f t="shared" si="8"/>
        <v>-</v>
      </c>
      <c r="W14" s="212"/>
      <c r="X14" s="198">
        <f t="shared" si="9"/>
        <v>0</v>
      </c>
      <c r="Y14" s="198">
        <f t="shared" si="10"/>
        <v>0</v>
      </c>
      <c r="Z14" s="199" t="str">
        <f t="shared" si="11"/>
        <v>-</v>
      </c>
    </row>
    <row r="15" spans="1:28" s="3" customFormat="1" x14ac:dyDescent="0.2">
      <c r="A15" s="103" t="s">
        <v>113</v>
      </c>
      <c r="B15" s="102" t="s">
        <v>83</v>
      </c>
      <c r="C15" s="103" t="s">
        <v>85</v>
      </c>
      <c r="D15" s="34">
        <v>20</v>
      </c>
      <c r="E15" s="36">
        <v>13</v>
      </c>
      <c r="F15" s="35" t="s">
        <v>114</v>
      </c>
      <c r="G15" s="36">
        <v>132.5</v>
      </c>
      <c r="H15" s="36">
        <f t="shared" si="0"/>
        <v>1722.5</v>
      </c>
      <c r="I15" s="37">
        <v>55</v>
      </c>
      <c r="J15" s="37">
        <f t="shared" si="12"/>
        <v>7287.5</v>
      </c>
      <c r="K15" s="40">
        <f t="shared" si="1"/>
        <v>17.823553791607669</v>
      </c>
      <c r="L15" s="37">
        <f t="shared" si="2"/>
        <v>5.9449131088133198</v>
      </c>
      <c r="M15" s="41">
        <f t="shared" si="13"/>
        <v>4138.1781356942192</v>
      </c>
      <c r="N15" s="38">
        <v>10</v>
      </c>
      <c r="O15" s="35">
        <f t="shared" si="3"/>
        <v>13676.688598172554</v>
      </c>
      <c r="P15" s="185">
        <f t="shared" si="4"/>
        <v>3719.7093250921935</v>
      </c>
      <c r="Q15" s="39">
        <v>20</v>
      </c>
      <c r="R15" s="39">
        <f t="shared" si="5"/>
        <v>2650</v>
      </c>
      <c r="S15" s="39">
        <v>0</v>
      </c>
      <c r="T15" s="191">
        <f t="shared" si="6"/>
        <v>0.19376035222108418</v>
      </c>
      <c r="U15" s="191">
        <f t="shared" si="7"/>
        <v>0.46573476316067464</v>
      </c>
      <c r="V15" s="192">
        <f t="shared" si="8"/>
        <v>1.4703682232369903</v>
      </c>
      <c r="W15" s="212"/>
      <c r="X15" s="198">
        <f t="shared" si="9"/>
        <v>0.30257164268894393</v>
      </c>
      <c r="Y15" s="198">
        <f t="shared" si="10"/>
        <v>0.57454605362853439</v>
      </c>
      <c r="Z15" s="199">
        <f t="shared" si="11"/>
        <v>1.0835456996217994</v>
      </c>
    </row>
    <row r="16" spans="1:28" s="3" customFormat="1" hidden="1" x14ac:dyDescent="0.2">
      <c r="A16" s="103" t="s">
        <v>170</v>
      </c>
      <c r="B16" s="102" t="s">
        <v>186</v>
      </c>
      <c r="C16" s="103" t="s">
        <v>187</v>
      </c>
      <c r="D16" s="34">
        <v>0</v>
      </c>
      <c r="E16" s="36">
        <v>72</v>
      </c>
      <c r="F16" s="35" t="s">
        <v>199</v>
      </c>
      <c r="G16" s="36">
        <v>0</v>
      </c>
      <c r="H16" s="36">
        <f t="shared" si="0"/>
        <v>0</v>
      </c>
      <c r="I16" s="37">
        <v>300</v>
      </c>
      <c r="J16" s="37">
        <f t="shared" si="12"/>
        <v>0</v>
      </c>
      <c r="K16" s="40">
        <f t="shared" si="1"/>
        <v>122.52990120835219</v>
      </c>
      <c r="L16" s="37">
        <f t="shared" si="2"/>
        <v>42.164185813584901</v>
      </c>
      <c r="M16" s="41">
        <f t="shared" si="13"/>
        <v>0</v>
      </c>
      <c r="N16" s="38">
        <v>15</v>
      </c>
      <c r="O16" s="35">
        <f t="shared" si="3"/>
        <v>0</v>
      </c>
      <c r="P16" s="185">
        <f t="shared" si="4"/>
        <v>0</v>
      </c>
      <c r="Q16" s="39">
        <v>100</v>
      </c>
      <c r="R16" s="39">
        <f t="shared" si="5"/>
        <v>0</v>
      </c>
      <c r="S16" s="39">
        <v>0</v>
      </c>
      <c r="T16" s="191">
        <f t="shared" si="6"/>
        <v>0</v>
      </c>
      <c r="U16" s="191">
        <f t="shared" si="7"/>
        <v>0</v>
      </c>
      <c r="V16" s="192" t="str">
        <f t="shared" si="8"/>
        <v>-</v>
      </c>
      <c r="W16" s="212"/>
      <c r="X16" s="198">
        <f t="shared" si="9"/>
        <v>0</v>
      </c>
      <c r="Y16" s="198">
        <f t="shared" si="10"/>
        <v>0</v>
      </c>
      <c r="Z16" s="199" t="str">
        <f t="shared" si="11"/>
        <v>-</v>
      </c>
    </row>
    <row r="17" spans="1:26" s="3" customFormat="1" hidden="1" x14ac:dyDescent="0.2">
      <c r="A17" s="103" t="s">
        <v>170</v>
      </c>
      <c r="B17" s="102" t="s">
        <v>186</v>
      </c>
      <c r="C17" s="103" t="s">
        <v>187</v>
      </c>
      <c r="D17" s="34">
        <v>0</v>
      </c>
      <c r="E17" s="36">
        <v>72</v>
      </c>
      <c r="F17" s="35" t="s">
        <v>199</v>
      </c>
      <c r="G17" s="36">
        <v>0</v>
      </c>
      <c r="H17" s="36">
        <f t="shared" si="0"/>
        <v>0</v>
      </c>
      <c r="I17" s="37">
        <v>300</v>
      </c>
      <c r="J17" s="37">
        <f t="shared" si="12"/>
        <v>0</v>
      </c>
      <c r="K17" s="40">
        <f t="shared" si="1"/>
        <v>122.52990120835219</v>
      </c>
      <c r="L17" s="37">
        <f t="shared" si="2"/>
        <v>42.164185813584901</v>
      </c>
      <c r="M17" s="41">
        <f t="shared" si="13"/>
        <v>0</v>
      </c>
      <c r="N17" s="38">
        <v>15</v>
      </c>
      <c r="O17" s="35">
        <f t="shared" si="3"/>
        <v>0</v>
      </c>
      <c r="P17" s="185">
        <f t="shared" si="4"/>
        <v>0</v>
      </c>
      <c r="Q17" s="39">
        <v>200</v>
      </c>
      <c r="R17" s="39">
        <f t="shared" si="5"/>
        <v>0</v>
      </c>
      <c r="S17" s="39">
        <v>0</v>
      </c>
      <c r="T17" s="191">
        <f t="shared" si="6"/>
        <v>0</v>
      </c>
      <c r="U17" s="191">
        <f t="shared" si="7"/>
        <v>0</v>
      </c>
      <c r="V17" s="192" t="str">
        <f t="shared" si="8"/>
        <v>-</v>
      </c>
      <c r="W17" s="212"/>
      <c r="X17" s="198">
        <f t="shared" si="9"/>
        <v>0</v>
      </c>
      <c r="Y17" s="198">
        <f t="shared" si="10"/>
        <v>0</v>
      </c>
      <c r="Z17" s="199" t="str">
        <f t="shared" si="11"/>
        <v>-</v>
      </c>
    </row>
    <row r="18" spans="1:26" s="3" customFormat="1" x14ac:dyDescent="0.2">
      <c r="A18" s="103" t="s">
        <v>132</v>
      </c>
      <c r="B18" s="102" t="s">
        <v>23</v>
      </c>
      <c r="C18" s="103" t="s">
        <v>31</v>
      </c>
      <c r="D18" s="34">
        <v>39</v>
      </c>
      <c r="E18" s="36">
        <v>0.79</v>
      </c>
      <c r="F18" s="35" t="s">
        <v>133</v>
      </c>
      <c r="G18" s="36">
        <v>8322.9999999999982</v>
      </c>
      <c r="H18" s="36">
        <f t="shared" si="0"/>
        <v>6575.1699999999992</v>
      </c>
      <c r="I18" s="37">
        <v>6.06</v>
      </c>
      <c r="J18" s="37">
        <f t="shared" si="12"/>
        <v>50437.379999999983</v>
      </c>
      <c r="K18" s="40">
        <f t="shared" si="1"/>
        <v>1.3444253049249757</v>
      </c>
      <c r="L18" s="37">
        <f t="shared" si="2"/>
        <v>0.46263481656572325</v>
      </c>
      <c r="M18" s="41">
        <f t="shared" si="13"/>
        <v>35397.218608832896</v>
      </c>
      <c r="N18" s="38">
        <v>15</v>
      </c>
      <c r="O18" s="35">
        <f t="shared" si="3"/>
        <v>70955.390628366964</v>
      </c>
      <c r="P18" s="185">
        <f t="shared" si="4"/>
        <v>14198.967293507363</v>
      </c>
      <c r="Q18" s="39">
        <v>2.5</v>
      </c>
      <c r="R18" s="39">
        <f t="shared" si="5"/>
        <v>20807.499999999996</v>
      </c>
      <c r="S18" s="39">
        <v>0</v>
      </c>
      <c r="T18" s="191">
        <f t="shared" si="6"/>
        <v>0.29324762806226384</v>
      </c>
      <c r="U18" s="191">
        <f t="shared" si="7"/>
        <v>0.49335881295976219</v>
      </c>
      <c r="V18" s="192">
        <f t="shared" si="8"/>
        <v>1.5047975765736443</v>
      </c>
      <c r="W18" s="212"/>
      <c r="X18" s="198">
        <f t="shared" si="9"/>
        <v>0.4988658126657059</v>
      </c>
      <c r="Y18" s="198">
        <f t="shared" si="10"/>
        <v>0.69897699756320419</v>
      </c>
      <c r="Z18" s="199">
        <f t="shared" si="11"/>
        <v>0.94411645553913026</v>
      </c>
    </row>
    <row r="19" spans="1:26" s="3" customFormat="1" hidden="1" x14ac:dyDescent="0.2">
      <c r="A19" s="103" t="s">
        <v>64</v>
      </c>
      <c r="B19" s="102" t="s">
        <v>120</v>
      </c>
      <c r="C19" s="103" t="s">
        <v>121</v>
      </c>
      <c r="D19" s="34">
        <v>0</v>
      </c>
      <c r="E19" s="36">
        <v>1806</v>
      </c>
      <c r="F19" s="35" t="s">
        <v>62</v>
      </c>
      <c r="G19" s="36">
        <v>0</v>
      </c>
      <c r="H19" s="36">
        <f t="shared" si="0"/>
        <v>0</v>
      </c>
      <c r="I19" s="37">
        <v>6200</v>
      </c>
      <c r="J19" s="37">
        <f t="shared" si="12"/>
        <v>0</v>
      </c>
      <c r="K19" s="40">
        <f t="shared" si="1"/>
        <v>2730.6786820231746</v>
      </c>
      <c r="L19" s="37">
        <f t="shared" si="2"/>
        <v>924.64345423312795</v>
      </c>
      <c r="M19" s="41">
        <f t="shared" si="13"/>
        <v>0</v>
      </c>
      <c r="N19" s="38">
        <v>12</v>
      </c>
      <c r="O19" s="35">
        <f t="shared" si="3"/>
        <v>0</v>
      </c>
      <c r="P19" s="185">
        <f t="shared" si="4"/>
        <v>0</v>
      </c>
      <c r="Q19" s="39">
        <v>2500</v>
      </c>
      <c r="R19" s="39">
        <f t="shared" si="5"/>
        <v>0</v>
      </c>
      <c r="S19" s="39">
        <v>0</v>
      </c>
      <c r="T19" s="191">
        <f t="shared" si="6"/>
        <v>0</v>
      </c>
      <c r="U19" s="191">
        <f t="shared" si="7"/>
        <v>0</v>
      </c>
      <c r="V19" s="192" t="str">
        <f t="shared" si="8"/>
        <v>-</v>
      </c>
      <c r="W19" s="212"/>
      <c r="X19" s="198">
        <f t="shared" si="9"/>
        <v>0</v>
      </c>
      <c r="Y19" s="198">
        <f t="shared" si="10"/>
        <v>0</v>
      </c>
      <c r="Z19" s="199" t="str">
        <f t="shared" si="11"/>
        <v>-</v>
      </c>
    </row>
    <row r="20" spans="1:26" s="3" customFormat="1" x14ac:dyDescent="0.2">
      <c r="A20" s="31" t="s">
        <v>103</v>
      </c>
      <c r="B20" s="31" t="s">
        <v>104</v>
      </c>
      <c r="C20" s="103" t="s">
        <v>105</v>
      </c>
      <c r="D20" s="34">
        <v>89</v>
      </c>
      <c r="E20" s="36">
        <v>89</v>
      </c>
      <c r="F20" s="35" t="s">
        <v>106</v>
      </c>
      <c r="G20" s="36">
        <v>91</v>
      </c>
      <c r="H20" s="36">
        <f t="shared" si="0"/>
        <v>8099</v>
      </c>
      <c r="I20" s="37">
        <v>119</v>
      </c>
      <c r="J20" s="37">
        <f t="shared" si="12"/>
        <v>10829</v>
      </c>
      <c r="K20" s="40">
        <f t="shared" si="1"/>
        <v>85.460663752561402</v>
      </c>
      <c r="L20" s="37">
        <f t="shared" si="2"/>
        <v>26.516205766079857</v>
      </c>
      <c r="M20" s="41">
        <f t="shared" si="13"/>
        <v>639.10487380364543</v>
      </c>
      <c r="N20" s="38">
        <v>5</v>
      </c>
      <c r="O20" s="35">
        <f t="shared" si="3"/>
        <v>35623.882771405923</v>
      </c>
      <c r="P20" s="185">
        <f t="shared" si="4"/>
        <v>17489.652147414614</v>
      </c>
      <c r="Q20" s="39">
        <v>0</v>
      </c>
      <c r="R20" s="39">
        <f>G20*I20</f>
        <v>10829</v>
      </c>
      <c r="S20" s="39">
        <v>0</v>
      </c>
      <c r="T20" s="191">
        <f t="shared" si="6"/>
        <v>0.30398146292722672</v>
      </c>
      <c r="U20" s="191">
        <f t="shared" si="7"/>
        <v>0.79493446374534538</v>
      </c>
      <c r="V20" s="192">
        <f t="shared" si="8"/>
        <v>0.74615651005734029</v>
      </c>
      <c r="W20" s="212"/>
      <c r="X20" s="198">
        <f t="shared" si="9"/>
        <v>1.7940348555060739E-2</v>
      </c>
      <c r="Y20" s="198">
        <f t="shared" si="10"/>
        <v>0.50889334937317932</v>
      </c>
      <c r="Z20" s="199">
        <f t="shared" si="11"/>
        <v>1.0842414818910293</v>
      </c>
    </row>
    <row r="21" spans="1:26" s="3" customFormat="1" x14ac:dyDescent="0.2">
      <c r="A21" s="31" t="s">
        <v>203</v>
      </c>
      <c r="B21" s="31" t="s">
        <v>104</v>
      </c>
      <c r="C21" s="103" t="s">
        <v>105</v>
      </c>
      <c r="D21" s="34">
        <v>218</v>
      </c>
      <c r="E21" s="36">
        <v>30</v>
      </c>
      <c r="F21" s="35" t="s">
        <v>106</v>
      </c>
      <c r="G21" s="36">
        <v>218</v>
      </c>
      <c r="H21" s="36">
        <f t="shared" ref="H21:H22" si="14">G21*E21</f>
        <v>6540</v>
      </c>
      <c r="I21" s="37">
        <v>119</v>
      </c>
      <c r="J21" s="37">
        <f t="shared" si="12"/>
        <v>25942</v>
      </c>
      <c r="K21" s="40">
        <f t="shared" si="1"/>
        <v>28.806965309852156</v>
      </c>
      <c r="L21" s="37">
        <f t="shared" si="2"/>
        <v>8.9380468874426473</v>
      </c>
      <c r="M21" s="41">
        <f t="shared" si="13"/>
        <v>17713.587340989732</v>
      </c>
      <c r="N21" s="38">
        <v>5</v>
      </c>
      <c r="O21" s="35">
        <f t="shared" si="3"/>
        <v>28766.538254722156</v>
      </c>
      <c r="P21" s="185">
        <f t="shared" si="4"/>
        <v>14123.018279305046</v>
      </c>
      <c r="Q21" s="39">
        <v>0</v>
      </c>
      <c r="R21" s="39">
        <f t="shared" ref="R21:R24" si="15">G21*I21</f>
        <v>25942</v>
      </c>
      <c r="S21" s="39">
        <v>0</v>
      </c>
      <c r="T21" s="191">
        <f t="shared" ref="T21:T22" si="16">IF(ISERROR(R21/O21),0,R21/O21)</f>
        <v>0.90181167335077261</v>
      </c>
      <c r="U21" s="191">
        <f t="shared" ref="U21:U22" si="17">IF(O21=0,0,(R21+P21)/O21)</f>
        <v>1.3927646741688913</v>
      </c>
      <c r="V21" s="192">
        <f t="shared" si="8"/>
        <v>0.42587634235229277</v>
      </c>
      <c r="W21" s="212"/>
      <c r="X21" s="198">
        <f t="shared" ref="X21:X22" si="18">IF(ISERROR(M21/O21),0,M21/O21)</f>
        <v>0.61577055897860655</v>
      </c>
      <c r="Y21" s="198">
        <f t="shared" ref="Y21:Y22" si="19">IF(O21=0,0,(M21+P21)/O21)</f>
        <v>1.1067235597967253</v>
      </c>
      <c r="Z21" s="199">
        <f t="shared" si="11"/>
        <v>0.4985556459557155</v>
      </c>
    </row>
    <row r="22" spans="1:26" s="3" customFormat="1" x14ac:dyDescent="0.2">
      <c r="A22" s="31" t="s">
        <v>204</v>
      </c>
      <c r="B22" s="31" t="s">
        <v>104</v>
      </c>
      <c r="C22" s="103" t="s">
        <v>105</v>
      </c>
      <c r="D22" s="34">
        <v>15</v>
      </c>
      <c r="E22" s="36">
        <v>59</v>
      </c>
      <c r="F22" s="35" t="s">
        <v>106</v>
      </c>
      <c r="G22" s="36">
        <v>15</v>
      </c>
      <c r="H22" s="36">
        <f t="shared" si="14"/>
        <v>885</v>
      </c>
      <c r="I22" s="37">
        <v>119</v>
      </c>
      <c r="J22" s="37">
        <f t="shared" si="12"/>
        <v>1785</v>
      </c>
      <c r="K22" s="40">
        <f t="shared" si="1"/>
        <v>56.653698442709242</v>
      </c>
      <c r="L22" s="37">
        <f t="shared" si="2"/>
        <v>17.578158878637208</v>
      </c>
      <c r="M22" s="41">
        <f t="shared" si="13"/>
        <v>671.52214017980316</v>
      </c>
      <c r="N22" s="38">
        <v>5</v>
      </c>
      <c r="O22" s="35">
        <f t="shared" si="3"/>
        <v>3892.7196262124016</v>
      </c>
      <c r="P22" s="185">
        <f t="shared" si="4"/>
        <v>1911.1423818325636</v>
      </c>
      <c r="Q22" s="39">
        <v>0</v>
      </c>
      <c r="R22" s="39">
        <f t="shared" si="15"/>
        <v>1785</v>
      </c>
      <c r="S22" s="39">
        <v>0</v>
      </c>
      <c r="T22" s="191">
        <f t="shared" si="16"/>
        <v>0.45854830848344369</v>
      </c>
      <c r="U22" s="191">
        <f t="shared" si="17"/>
        <v>0.9495013093015624</v>
      </c>
      <c r="V22" s="192">
        <f t="shared" si="8"/>
        <v>0.62469163484233459</v>
      </c>
      <c r="W22" s="212"/>
      <c r="X22" s="198">
        <f t="shared" si="18"/>
        <v>0.17250719411127771</v>
      </c>
      <c r="Y22" s="198">
        <f t="shared" si="19"/>
        <v>0.66346019492939634</v>
      </c>
      <c r="Z22" s="199">
        <f t="shared" si="11"/>
        <v>0.83164488761467059</v>
      </c>
    </row>
    <row r="23" spans="1:26" s="3" customFormat="1" x14ac:dyDescent="0.2">
      <c r="A23" s="31" t="s">
        <v>110</v>
      </c>
      <c r="B23" s="31" t="s">
        <v>111</v>
      </c>
      <c r="C23" s="103" t="s">
        <v>112</v>
      </c>
      <c r="D23" s="34">
        <v>26</v>
      </c>
      <c r="E23" s="36">
        <v>35</v>
      </c>
      <c r="F23" s="35" t="s">
        <v>106</v>
      </c>
      <c r="G23" s="36">
        <v>514</v>
      </c>
      <c r="H23" s="36">
        <f t="shared" si="0"/>
        <v>17990</v>
      </c>
      <c r="I23" s="37">
        <v>44</v>
      </c>
      <c r="J23" s="37">
        <f t="shared" si="12"/>
        <v>22616</v>
      </c>
      <c r="K23" s="40">
        <f t="shared" si="1"/>
        <v>47.986490977405268</v>
      </c>
      <c r="L23" s="37">
        <f t="shared" si="2"/>
        <v>16.005535292958939</v>
      </c>
      <c r="M23" s="41">
        <f t="shared" si="13"/>
        <v>0</v>
      </c>
      <c r="N23" s="38">
        <v>10</v>
      </c>
      <c r="O23" s="35">
        <f t="shared" si="3"/>
        <v>142841.00312401989</v>
      </c>
      <c r="P23" s="185">
        <f t="shared" si="4"/>
        <v>38849.097682675507</v>
      </c>
      <c r="Q23" s="39">
        <v>0</v>
      </c>
      <c r="R23" s="39">
        <f t="shared" si="15"/>
        <v>22616</v>
      </c>
      <c r="S23" s="39">
        <v>0</v>
      </c>
      <c r="T23" s="191">
        <f t="shared" si="6"/>
        <v>0.15832988781494306</v>
      </c>
      <c r="U23" s="191">
        <f t="shared" si="7"/>
        <v>0.43030429875453352</v>
      </c>
      <c r="V23" s="192">
        <f t="shared" si="8"/>
        <v>1.5914356379667629</v>
      </c>
      <c r="W23" s="212"/>
      <c r="X23" s="198">
        <f t="shared" si="9"/>
        <v>0</v>
      </c>
      <c r="Y23" s="198">
        <f t="shared" si="10"/>
        <v>0.27197441093959046</v>
      </c>
      <c r="Z23" s="199" t="str">
        <f t="shared" si="11"/>
        <v>-</v>
      </c>
    </row>
    <row r="24" spans="1:26" s="3" customFormat="1" hidden="1" x14ac:dyDescent="0.2">
      <c r="A24" s="31" t="s">
        <v>171</v>
      </c>
      <c r="B24" s="31" t="s">
        <v>25</v>
      </c>
      <c r="C24" s="103" t="s">
        <v>129</v>
      </c>
      <c r="D24" s="34">
        <v>0</v>
      </c>
      <c r="E24" s="36">
        <v>388</v>
      </c>
      <c r="F24" s="35" t="s">
        <v>130</v>
      </c>
      <c r="G24" s="36">
        <v>0</v>
      </c>
      <c r="H24" s="36">
        <f t="shared" si="0"/>
        <v>0</v>
      </c>
      <c r="I24" s="37">
        <v>1400</v>
      </c>
      <c r="J24" s="37">
        <f t="shared" si="12"/>
        <v>0</v>
      </c>
      <c r="K24" s="40">
        <f t="shared" si="1"/>
        <v>586.65743556201096</v>
      </c>
      <c r="L24" s="37">
        <f t="shared" si="2"/>
        <v>198.64986724388353</v>
      </c>
      <c r="M24" s="41">
        <f t="shared" si="13"/>
        <v>0</v>
      </c>
      <c r="N24" s="38">
        <v>12</v>
      </c>
      <c r="O24" s="35">
        <f t="shared" si="3"/>
        <v>0</v>
      </c>
      <c r="P24" s="185">
        <f t="shared" si="4"/>
        <v>0</v>
      </c>
      <c r="Q24" s="39">
        <v>750</v>
      </c>
      <c r="R24" s="39">
        <f t="shared" si="15"/>
        <v>0</v>
      </c>
      <c r="S24" s="39">
        <v>0</v>
      </c>
      <c r="T24" s="191">
        <f t="shared" si="6"/>
        <v>0</v>
      </c>
      <c r="U24" s="191">
        <f t="shared" si="7"/>
        <v>0</v>
      </c>
      <c r="V24" s="192" t="str">
        <f t="shared" si="8"/>
        <v>-</v>
      </c>
      <c r="W24" s="212"/>
      <c r="X24" s="198">
        <f t="shared" si="9"/>
        <v>0</v>
      </c>
      <c r="Y24" s="198">
        <f t="shared" si="10"/>
        <v>0</v>
      </c>
      <c r="Z24" s="199" t="str">
        <f t="shared" si="11"/>
        <v>-</v>
      </c>
    </row>
    <row r="25" spans="1:26" s="3" customFormat="1" hidden="1" x14ac:dyDescent="0.2">
      <c r="A25" s="31" t="s">
        <v>172</v>
      </c>
      <c r="B25" s="32" t="s">
        <v>25</v>
      </c>
      <c r="C25" s="103" t="s">
        <v>129</v>
      </c>
      <c r="D25" s="34">
        <v>0</v>
      </c>
      <c r="E25" s="36">
        <v>231</v>
      </c>
      <c r="F25" s="35" t="s">
        <v>130</v>
      </c>
      <c r="G25" s="36">
        <v>0</v>
      </c>
      <c r="H25" s="36">
        <f t="shared" si="0"/>
        <v>0</v>
      </c>
      <c r="I25" s="37">
        <v>1400</v>
      </c>
      <c r="J25" s="37">
        <f t="shared" si="12"/>
        <v>0</v>
      </c>
      <c r="K25" s="40">
        <f t="shared" si="1"/>
        <v>349.27285467738278</v>
      </c>
      <c r="L25" s="37">
        <f t="shared" si="2"/>
        <v>118.26834879726056</v>
      </c>
      <c r="M25" s="41">
        <f t="shared" si="13"/>
        <v>0</v>
      </c>
      <c r="N25" s="38">
        <v>12</v>
      </c>
      <c r="O25" s="35">
        <f t="shared" si="3"/>
        <v>0</v>
      </c>
      <c r="P25" s="185">
        <f t="shared" si="4"/>
        <v>0</v>
      </c>
      <c r="Q25" s="39">
        <v>750</v>
      </c>
      <c r="R25" s="39">
        <f t="shared" si="5"/>
        <v>0</v>
      </c>
      <c r="S25" s="39">
        <v>0</v>
      </c>
      <c r="T25" s="191">
        <f t="shared" si="6"/>
        <v>0</v>
      </c>
      <c r="U25" s="191">
        <f t="shared" si="7"/>
        <v>0</v>
      </c>
      <c r="V25" s="192" t="str">
        <f t="shared" si="8"/>
        <v>-</v>
      </c>
      <c r="W25" s="212"/>
      <c r="X25" s="198">
        <f t="shared" si="9"/>
        <v>0</v>
      </c>
      <c r="Y25" s="198">
        <f t="shared" si="10"/>
        <v>0</v>
      </c>
      <c r="Z25" s="199" t="str">
        <f t="shared" si="11"/>
        <v>-</v>
      </c>
    </row>
    <row r="26" spans="1:26" s="3" customFormat="1" x14ac:dyDescent="0.2">
      <c r="A26" s="31" t="s">
        <v>128</v>
      </c>
      <c r="B26" s="32" t="s">
        <v>25</v>
      </c>
      <c r="C26" s="103" t="s">
        <v>129</v>
      </c>
      <c r="D26" s="34">
        <v>23</v>
      </c>
      <c r="E26" s="36">
        <v>685</v>
      </c>
      <c r="F26" s="35" t="s">
        <v>130</v>
      </c>
      <c r="G26" s="36">
        <v>35</v>
      </c>
      <c r="H26" s="36">
        <f t="shared" si="0"/>
        <v>23975</v>
      </c>
      <c r="I26" s="37">
        <v>1400</v>
      </c>
      <c r="J26" s="37">
        <f t="shared" si="12"/>
        <v>49000</v>
      </c>
      <c r="K26" s="40">
        <f t="shared" si="1"/>
        <v>1035.7225344329315</v>
      </c>
      <c r="L26" s="37">
        <f t="shared" si="2"/>
        <v>350.70917284036136</v>
      </c>
      <c r="M26" s="41">
        <f t="shared" si="13"/>
        <v>474.89024543474898</v>
      </c>
      <c r="N26" s="38">
        <v>12</v>
      </c>
      <c r="O26" s="35">
        <f t="shared" si="3"/>
        <v>219496.02332028106</v>
      </c>
      <c r="P26" s="185">
        <f t="shared" si="4"/>
        <v>51773.602942865218</v>
      </c>
      <c r="Q26" s="39">
        <v>750</v>
      </c>
      <c r="R26" s="39">
        <f t="shared" si="5"/>
        <v>26250</v>
      </c>
      <c r="S26" s="39">
        <v>0</v>
      </c>
      <c r="T26" s="191">
        <f t="shared" ref="T26:T44" si="20">IF(ISERROR(R26/O26),0,R26/O26)</f>
        <v>0.11959214387085683</v>
      </c>
      <c r="U26" s="191">
        <f t="shared" ref="U26:U44" si="21">IF(O26=0,0,(R26+P26)/O26)</f>
        <v>0.35546704565583798</v>
      </c>
      <c r="V26" s="192">
        <f t="shared" si="8"/>
        <v>1.976622611754862</v>
      </c>
      <c r="W26" s="212"/>
      <c r="X26" s="198">
        <f t="shared" ref="X26:X44" si="22">IF(ISERROR(M26/O26),0,M26/O26)</f>
        <v>2.1635482878056768E-3</v>
      </c>
      <c r="Y26" s="198">
        <f t="shared" ref="Y26:Y44" si="23">IF(O26=0,0,(M26+P26)/O26)</f>
        <v>0.23803845007278679</v>
      </c>
      <c r="Z26" s="199">
        <f t="shared" si="11"/>
        <v>2.6833869599339577</v>
      </c>
    </row>
    <row r="27" spans="1:26" s="3" customFormat="1" hidden="1" x14ac:dyDescent="0.2">
      <c r="A27" s="31" t="s">
        <v>173</v>
      </c>
      <c r="B27" s="31" t="s">
        <v>25</v>
      </c>
      <c r="C27" s="103" t="s">
        <v>129</v>
      </c>
      <c r="D27" s="34">
        <v>0</v>
      </c>
      <c r="E27" s="36">
        <v>149</v>
      </c>
      <c r="F27" s="35" t="s">
        <v>130</v>
      </c>
      <c r="G27" s="36">
        <v>0</v>
      </c>
      <c r="H27" s="36">
        <f t="shared" si="0"/>
        <v>0</v>
      </c>
      <c r="I27" s="37">
        <v>1400</v>
      </c>
      <c r="J27" s="37">
        <f t="shared" si="12"/>
        <v>0</v>
      </c>
      <c r="K27" s="40">
        <f t="shared" si="1"/>
        <v>225.28855128541142</v>
      </c>
      <c r="L27" s="37">
        <f t="shared" si="2"/>
        <v>76.285644895202708</v>
      </c>
      <c r="M27" s="41">
        <f t="shared" si="13"/>
        <v>0</v>
      </c>
      <c r="N27" s="38">
        <v>12</v>
      </c>
      <c r="O27" s="35">
        <f t="shared" si="3"/>
        <v>0</v>
      </c>
      <c r="P27" s="185">
        <f t="shared" si="4"/>
        <v>0</v>
      </c>
      <c r="Q27" s="39">
        <v>750</v>
      </c>
      <c r="R27" s="39">
        <f t="shared" si="5"/>
        <v>0</v>
      </c>
      <c r="S27" s="39">
        <v>0</v>
      </c>
      <c r="T27" s="191">
        <f t="shared" si="20"/>
        <v>0</v>
      </c>
      <c r="U27" s="191">
        <f t="shared" si="21"/>
        <v>0</v>
      </c>
      <c r="V27" s="192" t="str">
        <f t="shared" si="8"/>
        <v>-</v>
      </c>
      <c r="W27" s="212"/>
      <c r="X27" s="198">
        <f t="shared" si="22"/>
        <v>0</v>
      </c>
      <c r="Y27" s="198">
        <f t="shared" si="23"/>
        <v>0</v>
      </c>
      <c r="Z27" s="199" t="str">
        <f t="shared" si="11"/>
        <v>-</v>
      </c>
    </row>
    <row r="28" spans="1:26" s="3" customFormat="1" x14ac:dyDescent="0.2">
      <c r="A28" s="31" t="s">
        <v>84</v>
      </c>
      <c r="B28" s="32" t="s">
        <v>134</v>
      </c>
      <c r="C28" s="33" t="s">
        <v>135</v>
      </c>
      <c r="D28" s="34">
        <v>2</v>
      </c>
      <c r="E28" s="36">
        <v>77</v>
      </c>
      <c r="F28" s="35" t="s">
        <v>117</v>
      </c>
      <c r="G28" s="36">
        <v>4</v>
      </c>
      <c r="H28" s="36">
        <f t="shared" si="0"/>
        <v>308</v>
      </c>
      <c r="I28" s="37">
        <v>1800</v>
      </c>
      <c r="J28" s="37">
        <f t="shared" si="12"/>
        <v>7200</v>
      </c>
      <c r="K28" s="40">
        <f t="shared" si="1"/>
        <v>135.50312853164692</v>
      </c>
      <c r="L28" s="37">
        <f t="shared" si="2"/>
        <v>46.824058482104412</v>
      </c>
      <c r="M28" s="41">
        <f t="shared" si="13"/>
        <v>6470.6912519449943</v>
      </c>
      <c r="N28" s="38">
        <v>16</v>
      </c>
      <c r="O28" s="35">
        <f t="shared" si="3"/>
        <v>3477.6940872981695</v>
      </c>
      <c r="P28" s="185">
        <f t="shared" si="4"/>
        <v>665.12073853607865</v>
      </c>
      <c r="Q28" s="39">
        <v>450</v>
      </c>
      <c r="R28" s="39">
        <f t="shared" si="5"/>
        <v>1800</v>
      </c>
      <c r="S28" s="39">
        <v>0</v>
      </c>
      <c r="T28" s="191">
        <f t="shared" si="20"/>
        <v>0.51758434031741563</v>
      </c>
      <c r="U28" s="191">
        <f t="shared" si="21"/>
        <v>0.70883771736554257</v>
      </c>
      <c r="V28" s="192">
        <f t="shared" si="8"/>
        <v>1.057739417252316</v>
      </c>
      <c r="W28" s="212"/>
      <c r="X28" s="198">
        <f t="shared" si="22"/>
        <v>1.860626923908679</v>
      </c>
      <c r="Y28" s="198">
        <f t="shared" si="23"/>
        <v>2.0518803009568058</v>
      </c>
      <c r="Z28" s="199">
        <f t="shared" si="11"/>
        <v>0.32480369617535465</v>
      </c>
    </row>
    <row r="29" spans="1:26" s="3" customFormat="1" hidden="1" x14ac:dyDescent="0.2">
      <c r="A29" s="31" t="s">
        <v>174</v>
      </c>
      <c r="B29" s="32" t="s">
        <v>25</v>
      </c>
      <c r="C29" s="33" t="s">
        <v>126</v>
      </c>
      <c r="D29" s="34">
        <v>0</v>
      </c>
      <c r="E29" s="36">
        <v>155</v>
      </c>
      <c r="F29" s="35" t="s">
        <v>127</v>
      </c>
      <c r="G29" s="36">
        <v>0</v>
      </c>
      <c r="H29" s="36">
        <f t="shared" si="0"/>
        <v>0</v>
      </c>
      <c r="I29" s="37">
        <v>1048</v>
      </c>
      <c r="J29" s="37">
        <f t="shared" si="12"/>
        <v>0</v>
      </c>
      <c r="K29" s="40">
        <f t="shared" si="1"/>
        <v>234.3605734848239</v>
      </c>
      <c r="L29" s="37">
        <f t="shared" si="2"/>
        <v>79.357550058767913</v>
      </c>
      <c r="M29" s="41">
        <f t="shared" si="13"/>
        <v>0</v>
      </c>
      <c r="N29" s="38">
        <v>12</v>
      </c>
      <c r="O29" s="35">
        <f t="shared" si="3"/>
        <v>0</v>
      </c>
      <c r="P29" s="185">
        <f t="shared" si="4"/>
        <v>0</v>
      </c>
      <c r="Q29" s="39">
        <v>500</v>
      </c>
      <c r="R29" s="39">
        <f t="shared" si="5"/>
        <v>0</v>
      </c>
      <c r="S29" s="39">
        <v>0</v>
      </c>
      <c r="T29" s="191">
        <f t="shared" si="20"/>
        <v>0</v>
      </c>
      <c r="U29" s="191">
        <f t="shared" si="21"/>
        <v>0</v>
      </c>
      <c r="V29" s="192" t="str">
        <f t="shared" si="8"/>
        <v>-</v>
      </c>
      <c r="W29" s="212"/>
      <c r="X29" s="198">
        <f t="shared" si="22"/>
        <v>0</v>
      </c>
      <c r="Y29" s="198">
        <f t="shared" si="23"/>
        <v>0</v>
      </c>
      <c r="Z29" s="199" t="str">
        <f t="shared" si="11"/>
        <v>-</v>
      </c>
    </row>
    <row r="30" spans="1:26" s="3" customFormat="1" hidden="1" x14ac:dyDescent="0.2">
      <c r="A30" s="31" t="s">
        <v>175</v>
      </c>
      <c r="B30" s="31" t="s">
        <v>25</v>
      </c>
      <c r="C30" s="103" t="s">
        <v>126</v>
      </c>
      <c r="D30" s="34">
        <v>0</v>
      </c>
      <c r="E30" s="36">
        <v>92</v>
      </c>
      <c r="F30" s="35" t="s">
        <v>127</v>
      </c>
      <c r="G30" s="36">
        <v>0</v>
      </c>
      <c r="H30" s="36">
        <f t="shared" si="0"/>
        <v>0</v>
      </c>
      <c r="I30" s="37">
        <v>1048</v>
      </c>
      <c r="J30" s="37">
        <f t="shared" si="12"/>
        <v>0</v>
      </c>
      <c r="K30" s="40">
        <f t="shared" si="1"/>
        <v>139.10434039099226</v>
      </c>
      <c r="L30" s="37">
        <f t="shared" si="2"/>
        <v>47.10254584133321</v>
      </c>
      <c r="M30" s="41">
        <f t="shared" si="13"/>
        <v>0</v>
      </c>
      <c r="N30" s="38">
        <v>12</v>
      </c>
      <c r="O30" s="35">
        <f t="shared" si="3"/>
        <v>0</v>
      </c>
      <c r="P30" s="185">
        <f t="shared" si="4"/>
        <v>0</v>
      </c>
      <c r="Q30" s="39">
        <v>500</v>
      </c>
      <c r="R30" s="39">
        <f t="shared" si="5"/>
        <v>0</v>
      </c>
      <c r="S30" s="39">
        <v>0</v>
      </c>
      <c r="T30" s="191">
        <f t="shared" si="20"/>
        <v>0</v>
      </c>
      <c r="U30" s="191">
        <f t="shared" si="21"/>
        <v>0</v>
      </c>
      <c r="V30" s="192" t="str">
        <f t="shared" si="8"/>
        <v>-</v>
      </c>
      <c r="W30" s="212"/>
      <c r="X30" s="198">
        <f t="shared" si="22"/>
        <v>0</v>
      </c>
      <c r="Y30" s="198">
        <f t="shared" si="23"/>
        <v>0</v>
      </c>
      <c r="Z30" s="199" t="str">
        <f t="shared" si="11"/>
        <v>-</v>
      </c>
    </row>
    <row r="31" spans="1:26" s="3" customFormat="1" x14ac:dyDescent="0.2">
      <c r="A31" s="31" t="s">
        <v>125</v>
      </c>
      <c r="B31" s="31" t="s">
        <v>25</v>
      </c>
      <c r="C31" s="103" t="s">
        <v>126</v>
      </c>
      <c r="D31" s="34">
        <v>1</v>
      </c>
      <c r="E31" s="36">
        <v>273</v>
      </c>
      <c r="F31" s="35" t="s">
        <v>127</v>
      </c>
      <c r="G31" s="36">
        <v>1</v>
      </c>
      <c r="H31" s="36">
        <f t="shared" si="0"/>
        <v>273</v>
      </c>
      <c r="I31" s="37">
        <v>1048</v>
      </c>
      <c r="J31" s="37">
        <f t="shared" si="12"/>
        <v>1048</v>
      </c>
      <c r="K31" s="40">
        <f t="shared" si="1"/>
        <v>412.77701007327056</v>
      </c>
      <c r="L31" s="37">
        <f t="shared" si="2"/>
        <v>139.77168494221704</v>
      </c>
      <c r="M31" s="41">
        <f t="shared" si="13"/>
        <v>495.45130498451249</v>
      </c>
      <c r="N31" s="38">
        <v>12</v>
      </c>
      <c r="O31" s="35">
        <f t="shared" si="3"/>
        <v>2499.3707764937112</v>
      </c>
      <c r="P31" s="185">
        <f t="shared" si="4"/>
        <v>589.53883642970607</v>
      </c>
      <c r="Q31" s="39">
        <v>500</v>
      </c>
      <c r="R31" s="39">
        <f t="shared" si="5"/>
        <v>500</v>
      </c>
      <c r="S31" s="39">
        <v>0</v>
      </c>
      <c r="T31" s="191">
        <f t="shared" si="20"/>
        <v>0.20005035055320375</v>
      </c>
      <c r="U31" s="191">
        <f t="shared" si="21"/>
        <v>0.4359252523381848</v>
      </c>
      <c r="V31" s="192">
        <f t="shared" si="8"/>
        <v>1.6117997211869275</v>
      </c>
      <c r="W31" s="212"/>
      <c r="X31" s="198">
        <f t="shared" si="22"/>
        <v>0.19823041448838799</v>
      </c>
      <c r="Y31" s="198">
        <f t="shared" si="23"/>
        <v>0.43410531627336912</v>
      </c>
      <c r="Z31" s="199">
        <f t="shared" si="11"/>
        <v>1.4714154582847057</v>
      </c>
    </row>
    <row r="32" spans="1:26" s="3" customFormat="1" hidden="1" x14ac:dyDescent="0.2">
      <c r="A32" s="31" t="s">
        <v>176</v>
      </c>
      <c r="B32" s="31" t="s">
        <v>25</v>
      </c>
      <c r="C32" s="103" t="s">
        <v>126</v>
      </c>
      <c r="D32" s="34">
        <v>0</v>
      </c>
      <c r="E32" s="36">
        <v>59</v>
      </c>
      <c r="F32" s="35" t="s">
        <v>127</v>
      </c>
      <c r="G32" s="36">
        <v>0</v>
      </c>
      <c r="H32" s="36">
        <f t="shared" si="0"/>
        <v>0</v>
      </c>
      <c r="I32" s="37">
        <v>1048</v>
      </c>
      <c r="J32" s="37">
        <f t="shared" si="12"/>
        <v>0</v>
      </c>
      <c r="K32" s="40">
        <f t="shared" si="1"/>
        <v>89.2082182942233</v>
      </c>
      <c r="L32" s="37">
        <f t="shared" si="2"/>
        <v>30.207067441724561</v>
      </c>
      <c r="M32" s="41">
        <f t="shared" si="13"/>
        <v>0</v>
      </c>
      <c r="N32" s="38">
        <v>12</v>
      </c>
      <c r="O32" s="35">
        <f t="shared" si="3"/>
        <v>0</v>
      </c>
      <c r="P32" s="185">
        <f t="shared" si="4"/>
        <v>0</v>
      </c>
      <c r="Q32" s="39">
        <v>500</v>
      </c>
      <c r="R32" s="39">
        <f t="shared" si="5"/>
        <v>0</v>
      </c>
      <c r="S32" s="39">
        <v>0</v>
      </c>
      <c r="T32" s="191">
        <f t="shared" si="20"/>
        <v>0</v>
      </c>
      <c r="U32" s="191">
        <f t="shared" si="21"/>
        <v>0</v>
      </c>
      <c r="V32" s="192" t="str">
        <f t="shared" si="8"/>
        <v>-</v>
      </c>
      <c r="W32" s="212"/>
      <c r="X32" s="198">
        <f t="shared" si="22"/>
        <v>0</v>
      </c>
      <c r="Y32" s="198">
        <f t="shared" si="23"/>
        <v>0</v>
      </c>
      <c r="Z32" s="199" t="str">
        <f t="shared" si="11"/>
        <v>-</v>
      </c>
    </row>
    <row r="33" spans="1:26" s="3" customFormat="1" hidden="1" x14ac:dyDescent="0.2">
      <c r="A33" s="31" t="s">
        <v>177</v>
      </c>
      <c r="B33" s="32" t="s">
        <v>188</v>
      </c>
      <c r="C33" s="103" t="s">
        <v>29</v>
      </c>
      <c r="D33" s="34">
        <v>0</v>
      </c>
      <c r="E33" s="36">
        <v>1.1000000000000001</v>
      </c>
      <c r="F33" s="35" t="s">
        <v>133</v>
      </c>
      <c r="G33" s="36">
        <v>0</v>
      </c>
      <c r="H33" s="36">
        <f t="shared" si="0"/>
        <v>0</v>
      </c>
      <c r="I33" s="37">
        <v>5.23</v>
      </c>
      <c r="J33" s="37">
        <f t="shared" si="12"/>
        <v>0</v>
      </c>
      <c r="K33" s="40">
        <f t="shared" si="1"/>
        <v>2.0553064240945305</v>
      </c>
      <c r="L33" s="37">
        <f t="shared" si="2"/>
        <v>0.71529128520908525</v>
      </c>
      <c r="M33" s="41">
        <f t="shared" si="13"/>
        <v>0</v>
      </c>
      <c r="N33" s="38">
        <v>18</v>
      </c>
      <c r="O33" s="35">
        <f t="shared" si="3"/>
        <v>0</v>
      </c>
      <c r="P33" s="185">
        <f t="shared" si="4"/>
        <v>0</v>
      </c>
      <c r="Q33" s="39">
        <v>5</v>
      </c>
      <c r="R33" s="39">
        <f t="shared" ref="R33:R54" si="24">G33*Q33</f>
        <v>0</v>
      </c>
      <c r="S33" s="39">
        <v>0</v>
      </c>
      <c r="T33" s="191">
        <f t="shared" si="20"/>
        <v>0</v>
      </c>
      <c r="U33" s="191">
        <f t="shared" si="21"/>
        <v>0</v>
      </c>
      <c r="V33" s="192" t="str">
        <f t="shared" ref="V33:V54" si="25">IF($R33=0,"-",(VLOOKUP($N33,AC,7)*$H33)/($R33+$P33))</f>
        <v>-</v>
      </c>
      <c r="W33" s="212"/>
      <c r="X33" s="198">
        <f t="shared" si="22"/>
        <v>0</v>
      </c>
      <c r="Y33" s="198">
        <f t="shared" si="23"/>
        <v>0</v>
      </c>
      <c r="Z33" s="199" t="str">
        <f t="shared" ref="Z33:Z54" si="26">IF($M33=0,"-",(VLOOKUP($N33,AC,5)*$H33)/(M33+P33))</f>
        <v>-</v>
      </c>
    </row>
    <row r="34" spans="1:26" s="3" customFormat="1" hidden="1" x14ac:dyDescent="0.2">
      <c r="A34" s="31" t="s">
        <v>178</v>
      </c>
      <c r="B34" s="32" t="s">
        <v>189</v>
      </c>
      <c r="C34" s="103" t="s">
        <v>28</v>
      </c>
      <c r="D34" s="34">
        <v>0</v>
      </c>
      <c r="E34" s="36">
        <v>0.61</v>
      </c>
      <c r="F34" s="35" t="s">
        <v>133</v>
      </c>
      <c r="G34" s="36">
        <v>0</v>
      </c>
      <c r="H34" s="36">
        <f t="shared" si="0"/>
        <v>0</v>
      </c>
      <c r="I34" s="37">
        <v>3.26</v>
      </c>
      <c r="J34" s="37">
        <f t="shared" si="12"/>
        <v>0</v>
      </c>
      <c r="K34" s="40">
        <f t="shared" si="1"/>
        <v>1.1397608351796942</v>
      </c>
      <c r="L34" s="37">
        <f t="shared" si="2"/>
        <v>0.39666153088867445</v>
      </c>
      <c r="M34" s="41">
        <f t="shared" si="13"/>
        <v>0</v>
      </c>
      <c r="N34" s="38">
        <v>18</v>
      </c>
      <c r="O34" s="35">
        <f t="shared" si="3"/>
        <v>0</v>
      </c>
      <c r="P34" s="185">
        <f t="shared" si="4"/>
        <v>0</v>
      </c>
      <c r="Q34" s="39">
        <v>1.5</v>
      </c>
      <c r="R34" s="39">
        <f t="shared" si="24"/>
        <v>0</v>
      </c>
      <c r="S34" s="39">
        <v>0</v>
      </c>
      <c r="T34" s="191">
        <f t="shared" si="20"/>
        <v>0</v>
      </c>
      <c r="U34" s="191">
        <f t="shared" si="21"/>
        <v>0</v>
      </c>
      <c r="V34" s="192" t="str">
        <f t="shared" si="25"/>
        <v>-</v>
      </c>
      <c r="W34" s="212"/>
      <c r="X34" s="198">
        <f t="shared" si="22"/>
        <v>0</v>
      </c>
      <c r="Y34" s="198">
        <f t="shared" si="23"/>
        <v>0</v>
      </c>
      <c r="Z34" s="199" t="str">
        <f t="shared" si="26"/>
        <v>-</v>
      </c>
    </row>
    <row r="35" spans="1:26" s="3" customFormat="1" x14ac:dyDescent="0.2">
      <c r="A35" s="31" t="s">
        <v>147</v>
      </c>
      <c r="B35" s="32" t="s">
        <v>82</v>
      </c>
      <c r="C35" s="33" t="s">
        <v>148</v>
      </c>
      <c r="D35" s="34">
        <v>5</v>
      </c>
      <c r="E35" s="36">
        <v>0.31</v>
      </c>
      <c r="F35" s="35" t="s">
        <v>149</v>
      </c>
      <c r="G35" s="36">
        <v>53909</v>
      </c>
      <c r="H35" s="36">
        <f t="shared" si="0"/>
        <v>16711.79</v>
      </c>
      <c r="I35" s="37">
        <v>1.35</v>
      </c>
      <c r="J35" s="37">
        <f t="shared" si="12"/>
        <v>72777.150000000009</v>
      </c>
      <c r="K35" s="40">
        <f t="shared" si="1"/>
        <v>0.73010308227083498</v>
      </c>
      <c r="L35" s="37">
        <f t="shared" si="2"/>
        <v>0.26011326467403084</v>
      </c>
      <c r="M35" s="41">
        <f t="shared" si="13"/>
        <v>19395.576952549232</v>
      </c>
      <c r="N35" s="38">
        <v>30</v>
      </c>
      <c r="O35" s="35">
        <f t="shared" si="3"/>
        <v>274472.59967360727</v>
      </c>
      <c r="P35" s="185">
        <f t="shared" si="4"/>
        <v>36088.825022921606</v>
      </c>
      <c r="Q35" s="39">
        <v>2</v>
      </c>
      <c r="R35" s="39">
        <f t="shared" si="24"/>
        <v>107818</v>
      </c>
      <c r="S35" s="39">
        <v>0</v>
      </c>
      <c r="T35" s="191">
        <f t="shared" si="20"/>
        <v>0.39281881006779257</v>
      </c>
      <c r="U35" s="191">
        <f t="shared" si="21"/>
        <v>0.52430306410931482</v>
      </c>
      <c r="V35" s="192">
        <f t="shared" si="25"/>
        <v>1.6652821353136746</v>
      </c>
      <c r="W35" s="212"/>
      <c r="X35" s="198">
        <f t="shared" si="22"/>
        <v>7.066489323748068E-2</v>
      </c>
      <c r="Y35" s="198">
        <f t="shared" si="23"/>
        <v>0.20214914727900291</v>
      </c>
      <c r="Z35" s="199">
        <f t="shared" si="26"/>
        <v>3.6758724948569323</v>
      </c>
    </row>
    <row r="36" spans="1:26" s="3" customFormat="1" x14ac:dyDescent="0.2">
      <c r="A36" s="31" t="s">
        <v>161</v>
      </c>
      <c r="B36" s="32" t="s">
        <v>82</v>
      </c>
      <c r="C36" s="33" t="s">
        <v>162</v>
      </c>
      <c r="D36" s="34">
        <v>6</v>
      </c>
      <c r="E36" s="36">
        <v>0.32</v>
      </c>
      <c r="F36" s="35" t="s">
        <v>149</v>
      </c>
      <c r="G36" s="36">
        <v>16610</v>
      </c>
      <c r="H36" s="36">
        <f t="shared" si="0"/>
        <v>5315.2</v>
      </c>
      <c r="I36" s="37">
        <v>1.63</v>
      </c>
      <c r="J36" s="37">
        <f t="shared" si="12"/>
        <v>27074.3</v>
      </c>
      <c r="K36" s="40">
        <f t="shared" si="1"/>
        <v>0.75365479460215234</v>
      </c>
      <c r="L36" s="37">
        <f t="shared" si="2"/>
        <v>0.26850401514738664</v>
      </c>
      <c r="M36" s="41">
        <f t="shared" si="13"/>
        <v>10096.242170060155</v>
      </c>
      <c r="N36" s="38">
        <v>30</v>
      </c>
      <c r="O36" s="35">
        <f t="shared" si="3"/>
        <v>87296.259813290933</v>
      </c>
      <c r="P36" s="185">
        <f t="shared" si="4"/>
        <v>11478.083602165472</v>
      </c>
      <c r="Q36" s="39">
        <v>2.5</v>
      </c>
      <c r="R36" s="39">
        <f t="shared" si="24"/>
        <v>41525</v>
      </c>
      <c r="S36" s="39">
        <v>-9065.7199999999975</v>
      </c>
      <c r="T36" s="191">
        <f t="shared" si="20"/>
        <v>0.47567902781646759</v>
      </c>
      <c r="U36" s="191">
        <f t="shared" si="21"/>
        <v>0.60716328185798973</v>
      </c>
      <c r="V36" s="192">
        <f t="shared" si="25"/>
        <v>1.4380193141450139</v>
      </c>
      <c r="W36" s="212"/>
      <c r="X36" s="198">
        <f t="shared" si="22"/>
        <v>0.1156549225780575</v>
      </c>
      <c r="Y36" s="198">
        <f t="shared" si="23"/>
        <v>0.24713917661957971</v>
      </c>
      <c r="Z36" s="199">
        <f t="shared" si="26"/>
        <v>3.0067045642281203</v>
      </c>
    </row>
    <row r="37" spans="1:26" s="3" customFormat="1" x14ac:dyDescent="0.2">
      <c r="A37" s="31" t="s">
        <v>205</v>
      </c>
      <c r="B37" s="32" t="s">
        <v>190</v>
      </c>
      <c r="C37" s="33" t="s">
        <v>191</v>
      </c>
      <c r="D37" s="34">
        <v>1</v>
      </c>
      <c r="E37" s="36">
        <v>5.6000000000000001E-2</v>
      </c>
      <c r="F37" s="35" t="s">
        <v>158</v>
      </c>
      <c r="G37" s="36">
        <v>2280</v>
      </c>
      <c r="H37" s="36">
        <f t="shared" si="0"/>
        <v>127.68</v>
      </c>
      <c r="I37" s="169">
        <v>1.08</v>
      </c>
      <c r="J37" s="37">
        <f t="shared" si="12"/>
        <v>2462.4</v>
      </c>
      <c r="K37" s="40">
        <f t="shared" si="1"/>
        <v>0.15098663027497494</v>
      </c>
      <c r="L37" s="37">
        <f t="shared" si="2"/>
        <v>5.4396537606671319E-2</v>
      </c>
      <c r="M37" s="41">
        <f t="shared" si="13"/>
        <v>1994.1263772298466</v>
      </c>
      <c r="N37" s="38">
        <v>45</v>
      </c>
      <c r="O37" s="35">
        <f t="shared" si="3"/>
        <v>2472.35790540468</v>
      </c>
      <c r="P37" s="185">
        <f t="shared" si="4"/>
        <v>275.72277888404716</v>
      </c>
      <c r="Q37" s="39">
        <v>0.75</v>
      </c>
      <c r="R37" s="39">
        <f t="shared" si="24"/>
        <v>1710</v>
      </c>
      <c r="S37" s="39">
        <v>0</v>
      </c>
      <c r="T37" s="191">
        <f t="shared" si="20"/>
        <v>0.69164743351351643</v>
      </c>
      <c r="U37" s="191">
        <f t="shared" si="21"/>
        <v>0.80316962788566015</v>
      </c>
      <c r="V37" s="192">
        <f t="shared" si="25"/>
        <v>0.92204156930384873</v>
      </c>
      <c r="W37" s="212"/>
      <c r="X37" s="198">
        <f>IF(ISERROR(M37/O37),0,M37/O37)</f>
        <v>0.80656864965650854</v>
      </c>
      <c r="Y37" s="198">
        <f t="shared" si="23"/>
        <v>0.91809084402865249</v>
      </c>
      <c r="Z37" s="199">
        <f t="shared" si="26"/>
        <v>0.68649006348061137</v>
      </c>
    </row>
    <row r="38" spans="1:26" s="3" customFormat="1" hidden="1" x14ac:dyDescent="0.2">
      <c r="A38" s="31" t="s">
        <v>179</v>
      </c>
      <c r="B38" s="32" t="s">
        <v>192</v>
      </c>
      <c r="C38" s="33" t="s">
        <v>193</v>
      </c>
      <c r="D38" s="34">
        <v>0</v>
      </c>
      <c r="E38" s="36">
        <v>6</v>
      </c>
      <c r="F38" s="35" t="s">
        <v>200</v>
      </c>
      <c r="G38" s="36">
        <v>0</v>
      </c>
      <c r="H38" s="36">
        <f t="shared" si="0"/>
        <v>0</v>
      </c>
      <c r="I38" s="37">
        <v>8</v>
      </c>
      <c r="J38" s="37">
        <f t="shared" si="12"/>
        <v>0</v>
      </c>
      <c r="K38" s="40">
        <f t="shared" si="1"/>
        <v>11.808689510532215</v>
      </c>
      <c r="L38" s="37">
        <f t="shared" si="2"/>
        <v>4.1335433446030141</v>
      </c>
      <c r="M38" s="41">
        <f t="shared" si="13"/>
        <v>0</v>
      </c>
      <c r="N38" s="38">
        <v>20</v>
      </c>
      <c r="O38" s="35">
        <f t="shared" si="3"/>
        <v>0</v>
      </c>
      <c r="P38" s="185">
        <f t="shared" si="4"/>
        <v>0</v>
      </c>
      <c r="Q38" s="39">
        <v>15</v>
      </c>
      <c r="R38" s="39">
        <f t="shared" si="24"/>
        <v>0</v>
      </c>
      <c r="S38" s="39">
        <v>0</v>
      </c>
      <c r="T38" s="191">
        <f t="shared" si="20"/>
        <v>0</v>
      </c>
      <c r="U38" s="191">
        <f t="shared" si="21"/>
        <v>0</v>
      </c>
      <c r="V38" s="192" t="str">
        <f t="shared" si="25"/>
        <v>-</v>
      </c>
      <c r="W38" s="212"/>
      <c r="X38" s="198">
        <f t="shared" si="22"/>
        <v>0</v>
      </c>
      <c r="Y38" s="198">
        <f t="shared" si="23"/>
        <v>0</v>
      </c>
      <c r="Z38" s="199" t="str">
        <f t="shared" si="26"/>
        <v>-</v>
      </c>
    </row>
    <row r="39" spans="1:26" s="3" customFormat="1" hidden="1" x14ac:dyDescent="0.2">
      <c r="A39" s="31" t="s">
        <v>180</v>
      </c>
      <c r="B39" s="32" t="s">
        <v>194</v>
      </c>
      <c r="C39" s="33" t="s">
        <v>195</v>
      </c>
      <c r="D39" s="34">
        <v>0</v>
      </c>
      <c r="E39" s="36">
        <v>12</v>
      </c>
      <c r="F39" s="35" t="s">
        <v>200</v>
      </c>
      <c r="G39" s="36">
        <v>0</v>
      </c>
      <c r="H39" s="36">
        <f t="shared" si="0"/>
        <v>0</v>
      </c>
      <c r="I39" s="37">
        <v>18</v>
      </c>
      <c r="J39" s="37">
        <f t="shared" si="12"/>
        <v>0</v>
      </c>
      <c r="K39" s="40">
        <f t="shared" ref="K39:K59" si="27">0.5*0.9*$E39+PV($B$76,$N39,-(0.116*$E39))</f>
        <v>23.61737902106443</v>
      </c>
      <c r="L39" s="37">
        <f t="shared" ref="L39:L59" si="28">0.1*$E39+PV($B$76,$N39,(-0.05*0.9*$E39))</f>
        <v>8.2670866892060282</v>
      </c>
      <c r="M39" s="41">
        <f t="shared" si="13"/>
        <v>0</v>
      </c>
      <c r="N39" s="38">
        <v>20</v>
      </c>
      <c r="O39" s="35">
        <f t="shared" ref="O39:O59" si="29">PV($B$76,N39,-H39)</f>
        <v>0</v>
      </c>
      <c r="P39" s="185">
        <f t="shared" ref="P39:P59" si="30">$A$83*H39/SUM($H$7:$H$54)</f>
        <v>0</v>
      </c>
      <c r="Q39" s="39">
        <v>25</v>
      </c>
      <c r="R39" s="39">
        <f t="shared" si="24"/>
        <v>0</v>
      </c>
      <c r="S39" s="39">
        <v>0</v>
      </c>
      <c r="T39" s="191">
        <f t="shared" si="20"/>
        <v>0</v>
      </c>
      <c r="U39" s="191">
        <f t="shared" si="21"/>
        <v>0</v>
      </c>
      <c r="V39" s="192" t="str">
        <f t="shared" si="25"/>
        <v>-</v>
      </c>
      <c r="W39" s="212"/>
      <c r="X39" s="198">
        <f t="shared" si="22"/>
        <v>0</v>
      </c>
      <c r="Y39" s="198">
        <f t="shared" si="23"/>
        <v>0</v>
      </c>
      <c r="Z39" s="199" t="str">
        <f t="shared" si="26"/>
        <v>-</v>
      </c>
    </row>
    <row r="40" spans="1:26" s="3" customFormat="1" x14ac:dyDescent="0.2">
      <c r="A40" s="31" t="s">
        <v>159</v>
      </c>
      <c r="B40" s="32" t="s">
        <v>154</v>
      </c>
      <c r="C40" s="33" t="s">
        <v>160</v>
      </c>
      <c r="D40" s="34">
        <v>1</v>
      </c>
      <c r="E40" s="36">
        <v>0.35</v>
      </c>
      <c r="F40" s="35" t="s">
        <v>149</v>
      </c>
      <c r="G40" s="36">
        <v>11968</v>
      </c>
      <c r="H40" s="36">
        <f t="shared" si="0"/>
        <v>4188.8</v>
      </c>
      <c r="I40" s="37">
        <v>1.83</v>
      </c>
      <c r="J40" s="37">
        <f t="shared" si="12"/>
        <v>21901.440000000002</v>
      </c>
      <c r="K40" s="40">
        <f t="shared" si="27"/>
        <v>0.82430993159610388</v>
      </c>
      <c r="L40" s="37">
        <f t="shared" si="28"/>
        <v>0.29367626656745416</v>
      </c>
      <c r="M40" s="41">
        <f t="shared" si="13"/>
        <v>8521.3811803785393</v>
      </c>
      <c r="N40" s="38">
        <v>30</v>
      </c>
      <c r="O40" s="35">
        <f t="shared" si="29"/>
        <v>68796.390183984244</v>
      </c>
      <c r="P40" s="185">
        <f t="shared" si="30"/>
        <v>9045.6420440906713</v>
      </c>
      <c r="Q40" s="39">
        <v>2</v>
      </c>
      <c r="R40" s="39">
        <f t="shared" si="24"/>
        <v>23936</v>
      </c>
      <c r="S40" s="39">
        <v>0</v>
      </c>
      <c r="T40" s="191">
        <f t="shared" si="20"/>
        <v>0.3479252317743306</v>
      </c>
      <c r="U40" s="191">
        <f t="shared" si="21"/>
        <v>0.47940948581585285</v>
      </c>
      <c r="V40" s="192">
        <f t="shared" si="25"/>
        <v>1.8212249694342419</v>
      </c>
      <c r="W40" s="212"/>
      <c r="X40" s="198">
        <f t="shared" si="22"/>
        <v>0.12386378351523321</v>
      </c>
      <c r="Y40" s="198">
        <f t="shared" si="23"/>
        <v>0.25534803755675545</v>
      </c>
      <c r="Z40" s="199">
        <f t="shared" si="26"/>
        <v>2.9100458239335758</v>
      </c>
    </row>
    <row r="41" spans="1:26" s="3" customFormat="1" x14ac:dyDescent="0.2">
      <c r="A41" s="31" t="s">
        <v>153</v>
      </c>
      <c r="B41" s="32" t="s">
        <v>154</v>
      </c>
      <c r="C41" s="33" t="s">
        <v>155</v>
      </c>
      <c r="D41" s="34">
        <v>5</v>
      </c>
      <c r="E41" s="36">
        <v>0.36</v>
      </c>
      <c r="F41" s="35" t="s">
        <v>149</v>
      </c>
      <c r="G41" s="36">
        <v>96020</v>
      </c>
      <c r="H41" s="36">
        <f t="shared" si="0"/>
        <v>34567.199999999997</v>
      </c>
      <c r="I41" s="37">
        <v>2.15</v>
      </c>
      <c r="J41" s="37">
        <f t="shared" si="12"/>
        <v>206443</v>
      </c>
      <c r="K41" s="40">
        <f t="shared" si="27"/>
        <v>0.84786164392742136</v>
      </c>
      <c r="L41" s="37">
        <f t="shared" si="28"/>
        <v>0.30206701704081002</v>
      </c>
      <c r="M41" s="41">
        <f t="shared" si="13"/>
        <v>96026.849973830424</v>
      </c>
      <c r="N41" s="38">
        <v>30</v>
      </c>
      <c r="O41" s="35">
        <f t="shared" si="29"/>
        <v>567727.88836130162</v>
      </c>
      <c r="P41" s="185">
        <f t="shared" si="30"/>
        <v>74647.27789975435</v>
      </c>
      <c r="Q41" s="39">
        <v>2.5</v>
      </c>
      <c r="R41" s="39">
        <f t="shared" si="24"/>
        <v>240050</v>
      </c>
      <c r="S41" s="39">
        <v>0</v>
      </c>
      <c r="T41" s="191">
        <f t="shared" si="20"/>
        <v>0.42282580250352675</v>
      </c>
      <c r="U41" s="191">
        <f t="shared" si="21"/>
        <v>0.55431005654504895</v>
      </c>
      <c r="V41" s="192">
        <f t="shared" si="25"/>
        <v>1.5751338368159373</v>
      </c>
      <c r="W41" s="212"/>
      <c r="X41" s="198">
        <f t="shared" si="22"/>
        <v>0.16914238659475367</v>
      </c>
      <c r="Y41" s="198">
        <f t="shared" si="23"/>
        <v>0.30062664063627587</v>
      </c>
      <c r="Z41" s="199">
        <f t="shared" si="26"/>
        <v>2.4717519670543959</v>
      </c>
    </row>
    <row r="42" spans="1:26" s="3" customFormat="1" x14ac:dyDescent="0.2">
      <c r="A42" s="31" t="s">
        <v>150</v>
      </c>
      <c r="B42" s="32" t="s">
        <v>151</v>
      </c>
      <c r="C42" s="33" t="s">
        <v>152</v>
      </c>
      <c r="D42" s="34">
        <v>3</v>
      </c>
      <c r="E42" s="36">
        <v>0.16</v>
      </c>
      <c r="F42" s="35" t="s">
        <v>149</v>
      </c>
      <c r="G42" s="36">
        <v>15011.5</v>
      </c>
      <c r="H42" s="36">
        <f t="shared" si="0"/>
        <v>2401.84</v>
      </c>
      <c r="I42" s="37">
        <v>1.5</v>
      </c>
      <c r="J42" s="37">
        <f t="shared" si="12"/>
        <v>22517.25</v>
      </c>
      <c r="K42" s="40">
        <f t="shared" si="27"/>
        <v>0.37682739730107617</v>
      </c>
      <c r="L42" s="37">
        <f t="shared" si="28"/>
        <v>0.13425200757369332</v>
      </c>
      <c r="M42" s="41">
        <f t="shared" si="13"/>
        <v>14845.1815137224</v>
      </c>
      <c r="N42" s="38">
        <v>30</v>
      </c>
      <c r="O42" s="35">
        <f t="shared" si="29"/>
        <v>39447.555815388827</v>
      </c>
      <c r="P42" s="185">
        <f t="shared" si="30"/>
        <v>5186.7324501477124</v>
      </c>
      <c r="Q42" s="39">
        <v>1.25</v>
      </c>
      <c r="R42" s="39">
        <f t="shared" si="24"/>
        <v>18764.375</v>
      </c>
      <c r="S42" s="39">
        <v>4.9999999973806553E-3</v>
      </c>
      <c r="T42" s="191">
        <f t="shared" si="20"/>
        <v>0.47567902781646759</v>
      </c>
      <c r="U42" s="191">
        <f t="shared" si="21"/>
        <v>0.60716328185798984</v>
      </c>
      <c r="V42" s="192">
        <f t="shared" si="25"/>
        <v>1.4380193141450139</v>
      </c>
      <c r="W42" s="212"/>
      <c r="X42" s="198">
        <f t="shared" si="22"/>
        <v>0.37632702982148186</v>
      </c>
      <c r="Y42" s="198">
        <f t="shared" si="23"/>
        <v>0.50781128386300411</v>
      </c>
      <c r="Z42" s="199">
        <f t="shared" si="26"/>
        <v>1.4632886545745498</v>
      </c>
    </row>
    <row r="43" spans="1:26" s="3" customFormat="1" x14ac:dyDescent="0.2">
      <c r="A43" s="31" t="s">
        <v>156</v>
      </c>
      <c r="B43" s="32" t="s">
        <v>151</v>
      </c>
      <c r="C43" s="33" t="s">
        <v>157</v>
      </c>
      <c r="D43" s="34">
        <v>6</v>
      </c>
      <c r="E43" s="36">
        <v>0.19</v>
      </c>
      <c r="F43" s="35" t="s">
        <v>158</v>
      </c>
      <c r="G43" s="36">
        <v>16750</v>
      </c>
      <c r="H43" s="36">
        <f t="shared" si="0"/>
        <v>3182.5</v>
      </c>
      <c r="I43" s="37">
        <v>1.7</v>
      </c>
      <c r="J43" s="37">
        <f t="shared" si="12"/>
        <v>28475</v>
      </c>
      <c r="K43" s="40">
        <f t="shared" si="27"/>
        <v>0.44748253429502793</v>
      </c>
      <c r="L43" s="37">
        <f t="shared" si="28"/>
        <v>0.15942425899376084</v>
      </c>
      <c r="M43" s="41">
        <f t="shared" si="13"/>
        <v>18309.311212412787</v>
      </c>
      <c r="N43" s="38">
        <v>30</v>
      </c>
      <c r="O43" s="35">
        <f t="shared" si="29"/>
        <v>52269.029736566532</v>
      </c>
      <c r="P43" s="185">
        <f t="shared" si="30"/>
        <v>6872.5543843865926</v>
      </c>
      <c r="Q43" s="39">
        <v>1.5</v>
      </c>
      <c r="R43" s="39">
        <f t="shared" si="24"/>
        <v>25125</v>
      </c>
      <c r="S43" s="39">
        <v>-135.70000000000073</v>
      </c>
      <c r="T43" s="191">
        <f t="shared" si="20"/>
        <v>0.48068617547769349</v>
      </c>
      <c r="U43" s="191">
        <f t="shared" si="21"/>
        <v>0.61217042951921574</v>
      </c>
      <c r="V43" s="192">
        <f t="shared" si="25"/>
        <v>1.4262572709321883</v>
      </c>
      <c r="W43" s="212"/>
      <c r="X43" s="198">
        <f t="shared" si="22"/>
        <v>0.35028986198310663</v>
      </c>
      <c r="Y43" s="198">
        <f t="shared" si="23"/>
        <v>0.48177411602462883</v>
      </c>
      <c r="Z43" s="199">
        <f t="shared" si="26"/>
        <v>1.5423711354050473</v>
      </c>
    </row>
    <row r="44" spans="1:26" s="3" customFormat="1" x14ac:dyDescent="0.2">
      <c r="A44" s="31" t="s">
        <v>118</v>
      </c>
      <c r="B44" s="32" t="s">
        <v>25</v>
      </c>
      <c r="C44" s="33" t="s">
        <v>119</v>
      </c>
      <c r="D44" s="34">
        <v>2</v>
      </c>
      <c r="E44" s="36">
        <v>448</v>
      </c>
      <c r="F44" s="35" t="s">
        <v>62</v>
      </c>
      <c r="G44" s="36">
        <v>2</v>
      </c>
      <c r="H44" s="36">
        <f t="shared" si="0"/>
        <v>896</v>
      </c>
      <c r="I44" s="37">
        <v>1800</v>
      </c>
      <c r="J44" s="37">
        <f t="shared" si="12"/>
        <v>3600</v>
      </c>
      <c r="K44" s="40">
        <f t="shared" si="27"/>
        <v>677.37765755613623</v>
      </c>
      <c r="L44" s="37">
        <f t="shared" si="28"/>
        <v>229.36891887953564</v>
      </c>
      <c r="M44" s="41">
        <f t="shared" si="13"/>
        <v>1786.5068471286563</v>
      </c>
      <c r="N44" s="38">
        <v>12</v>
      </c>
      <c r="O44" s="35">
        <f t="shared" si="29"/>
        <v>8203.0630613126941</v>
      </c>
      <c r="P44" s="185">
        <f t="shared" si="30"/>
        <v>1934.8966939231382</v>
      </c>
      <c r="Q44" s="39">
        <v>800</v>
      </c>
      <c r="R44" s="39">
        <f t="shared" si="24"/>
        <v>1600</v>
      </c>
      <c r="S44" s="39">
        <v>0</v>
      </c>
      <c r="T44" s="191">
        <f t="shared" si="20"/>
        <v>0.19504909178937363</v>
      </c>
      <c r="U44" s="191">
        <f t="shared" si="21"/>
        <v>0.43092399357435474</v>
      </c>
      <c r="V44" s="192">
        <f t="shared" si="25"/>
        <v>1.6305061000410304</v>
      </c>
      <c r="W44" s="212"/>
      <c r="X44" s="198">
        <f t="shared" si="22"/>
        <v>0.21778533625496363</v>
      </c>
      <c r="Y44" s="198">
        <f t="shared" si="23"/>
        <v>0.45366023803994471</v>
      </c>
      <c r="Z44" s="199">
        <f t="shared" si="26"/>
        <v>1.4079904283609814</v>
      </c>
    </row>
    <row r="45" spans="1:26" s="3" customFormat="1" hidden="1" x14ac:dyDescent="0.2">
      <c r="A45" s="31" t="s">
        <v>181</v>
      </c>
      <c r="B45" s="32" t="s">
        <v>25</v>
      </c>
      <c r="C45" s="33" t="s">
        <v>196</v>
      </c>
      <c r="D45" s="34">
        <v>0</v>
      </c>
      <c r="E45" s="36">
        <v>645</v>
      </c>
      <c r="F45" s="35" t="s">
        <v>62</v>
      </c>
      <c r="G45" s="36">
        <v>0</v>
      </c>
      <c r="H45" s="36">
        <f t="shared" si="0"/>
        <v>0</v>
      </c>
      <c r="I45" s="37">
        <v>4000</v>
      </c>
      <c r="J45" s="37">
        <f t="shared" si="12"/>
        <v>0</v>
      </c>
      <c r="K45" s="40">
        <f t="shared" si="27"/>
        <v>1269.434122382213</v>
      </c>
      <c r="L45" s="37">
        <f t="shared" si="28"/>
        <v>444.35590954482404</v>
      </c>
      <c r="M45" s="41">
        <f t="shared" si="13"/>
        <v>0</v>
      </c>
      <c r="N45" s="38">
        <v>20</v>
      </c>
      <c r="O45" s="35">
        <f t="shared" si="29"/>
        <v>0</v>
      </c>
      <c r="P45" s="185">
        <f t="shared" si="30"/>
        <v>0</v>
      </c>
      <c r="Q45" s="39">
        <v>2500</v>
      </c>
      <c r="R45" s="39">
        <f t="shared" si="24"/>
        <v>0</v>
      </c>
      <c r="S45" s="39">
        <v>0</v>
      </c>
      <c r="T45" s="191">
        <f t="shared" ref="T45:T54" si="31">IF(ISERROR(R45/O45),0,R45/O45)</f>
        <v>0</v>
      </c>
      <c r="U45" s="191">
        <f t="shared" ref="U45:U54" si="32">IF(O45=0,0,(R45+P45)/O45)</f>
        <v>0</v>
      </c>
      <c r="V45" s="192" t="str">
        <f t="shared" si="25"/>
        <v>-</v>
      </c>
      <c r="W45" s="212"/>
      <c r="X45" s="198">
        <f t="shared" ref="X45:X54" si="33">IF(ISERROR(M45/O45),0,M45/O45)</f>
        <v>0</v>
      </c>
      <c r="Y45" s="198">
        <f t="shared" ref="Y45:Y54" si="34">IF(O45=0,0,(M45+P45)/O45)</f>
        <v>0</v>
      </c>
      <c r="Z45" s="199" t="str">
        <f t="shared" si="26"/>
        <v>-</v>
      </c>
    </row>
    <row r="46" spans="1:26" s="3" customFormat="1" x14ac:dyDescent="0.2">
      <c r="A46" s="31" t="s">
        <v>107</v>
      </c>
      <c r="B46" s="32" t="s">
        <v>108</v>
      </c>
      <c r="C46" s="33" t="s">
        <v>79</v>
      </c>
      <c r="D46" s="34">
        <v>2</v>
      </c>
      <c r="E46" s="36">
        <v>136</v>
      </c>
      <c r="F46" s="35" t="s">
        <v>109</v>
      </c>
      <c r="G46" s="36">
        <v>83</v>
      </c>
      <c r="H46" s="36">
        <f t="shared" ref="H46:H54" si="35">G46*E46</f>
        <v>11288</v>
      </c>
      <c r="I46" s="37">
        <v>315</v>
      </c>
      <c r="J46" s="37">
        <f t="shared" si="12"/>
        <v>26145</v>
      </c>
      <c r="K46" s="40">
        <f t="shared" si="27"/>
        <v>130.59157607132977</v>
      </c>
      <c r="L46" s="37">
        <f t="shared" si="28"/>
        <v>40.519145889740003</v>
      </c>
      <c r="M46" s="41">
        <f t="shared" si="13"/>
        <v>11942.810077231208</v>
      </c>
      <c r="N46" s="38">
        <v>5</v>
      </c>
      <c r="O46" s="35">
        <f t="shared" si="29"/>
        <v>49650.86908552044</v>
      </c>
      <c r="P46" s="185">
        <f t="shared" si="30"/>
        <v>24376.243170763817</v>
      </c>
      <c r="Q46" s="39">
        <v>105</v>
      </c>
      <c r="R46" s="39">
        <f t="shared" si="24"/>
        <v>8715</v>
      </c>
      <c r="S46" s="39">
        <v>0</v>
      </c>
      <c r="T46" s="191">
        <f t="shared" si="31"/>
        <v>0.17552562846360192</v>
      </c>
      <c r="U46" s="191">
        <f t="shared" si="32"/>
        <v>0.66647862928172052</v>
      </c>
      <c r="V46" s="192">
        <f t="shared" si="25"/>
        <v>0.88996930904112692</v>
      </c>
      <c r="W46" s="212"/>
      <c r="X46" s="198">
        <f t="shared" si="33"/>
        <v>0.24053577101863985</v>
      </c>
      <c r="Y46" s="198">
        <f t="shared" si="34"/>
        <v>0.73148877183675853</v>
      </c>
      <c r="Z46" s="199">
        <f t="shared" si="26"/>
        <v>0.75430177535520482</v>
      </c>
    </row>
    <row r="47" spans="1:26" s="3" customFormat="1" hidden="1" x14ac:dyDescent="0.2">
      <c r="A47" s="31" t="s">
        <v>182</v>
      </c>
      <c r="B47" s="32" t="s">
        <v>197</v>
      </c>
      <c r="C47" s="33" t="s">
        <v>198</v>
      </c>
      <c r="D47" s="34">
        <v>0</v>
      </c>
      <c r="E47" s="36">
        <v>1049</v>
      </c>
      <c r="F47" s="35" t="s">
        <v>201</v>
      </c>
      <c r="G47" s="36">
        <v>0</v>
      </c>
      <c r="H47" s="36">
        <f t="shared" si="35"/>
        <v>0</v>
      </c>
      <c r="I47" s="37">
        <v>8283</v>
      </c>
      <c r="J47" s="37">
        <f t="shared" si="12"/>
        <v>0</v>
      </c>
      <c r="K47" s="40">
        <f t="shared" si="27"/>
        <v>1438.2236867228034</v>
      </c>
      <c r="L47" s="37">
        <f t="shared" si="28"/>
        <v>479.70875778039795</v>
      </c>
      <c r="M47" s="41">
        <f t="shared" si="13"/>
        <v>0</v>
      </c>
      <c r="N47" s="38">
        <v>10</v>
      </c>
      <c r="O47" s="35">
        <f t="shared" si="29"/>
        <v>0</v>
      </c>
      <c r="P47" s="185">
        <f t="shared" si="30"/>
        <v>0</v>
      </c>
      <c r="Q47" s="39">
        <v>2500</v>
      </c>
      <c r="R47" s="39">
        <f t="shared" si="24"/>
        <v>0</v>
      </c>
      <c r="S47" s="39">
        <v>0</v>
      </c>
      <c r="T47" s="191">
        <f t="shared" si="31"/>
        <v>0</v>
      </c>
      <c r="U47" s="191">
        <f t="shared" si="32"/>
        <v>0</v>
      </c>
      <c r="V47" s="192" t="str">
        <f t="shared" si="25"/>
        <v>-</v>
      </c>
      <c r="W47" s="212"/>
      <c r="X47" s="198">
        <f t="shared" si="33"/>
        <v>0</v>
      </c>
      <c r="Y47" s="198">
        <f t="shared" si="34"/>
        <v>0</v>
      </c>
      <c r="Z47" s="199" t="str">
        <f t="shared" si="26"/>
        <v>-</v>
      </c>
    </row>
    <row r="48" spans="1:26" s="3" customFormat="1" x14ac:dyDescent="0.2">
      <c r="A48" s="31" t="s">
        <v>20</v>
      </c>
      <c r="B48" s="32" t="s">
        <v>141</v>
      </c>
      <c r="C48" s="33" t="s">
        <v>30</v>
      </c>
      <c r="D48" s="34">
        <v>14</v>
      </c>
      <c r="E48" s="36">
        <v>4.33</v>
      </c>
      <c r="F48" s="35" t="s">
        <v>133</v>
      </c>
      <c r="G48" s="36">
        <v>1430</v>
      </c>
      <c r="H48" s="36">
        <f t="shared" si="35"/>
        <v>6191.9000000000005</v>
      </c>
      <c r="I48" s="37">
        <v>21</v>
      </c>
      <c r="J48" s="37">
        <f t="shared" si="12"/>
        <v>30030</v>
      </c>
      <c r="K48" s="40">
        <f t="shared" si="27"/>
        <v>8.0904334693902875</v>
      </c>
      <c r="L48" s="37">
        <f t="shared" si="28"/>
        <v>2.8156466045048534</v>
      </c>
      <c r="M48" s="41">
        <f t="shared" si="13"/>
        <v>14434.30549432995</v>
      </c>
      <c r="N48" s="38">
        <v>18</v>
      </c>
      <c r="O48" s="35">
        <f t="shared" si="29"/>
        <v>75715.214320932006</v>
      </c>
      <c r="P48" s="185">
        <f t="shared" si="30"/>
        <v>13371.302275784241</v>
      </c>
      <c r="Q48" s="39">
        <v>15</v>
      </c>
      <c r="R48" s="39">
        <f t="shared" si="24"/>
        <v>21450</v>
      </c>
      <c r="S48" s="39">
        <v>0</v>
      </c>
      <c r="T48" s="191">
        <f t="shared" si="31"/>
        <v>0.28329841224618968</v>
      </c>
      <c r="U48" s="191">
        <f t="shared" si="32"/>
        <v>0.45989835184495603</v>
      </c>
      <c r="V48" s="192">
        <f t="shared" si="25"/>
        <v>1.6604088827163299</v>
      </c>
      <c r="W48" s="212"/>
      <c r="X48" s="198">
        <f t="shared" si="33"/>
        <v>0.19063943256037888</v>
      </c>
      <c r="Y48" s="198">
        <f t="shared" si="34"/>
        <v>0.36723937215914521</v>
      </c>
      <c r="Z48" s="199">
        <f t="shared" si="26"/>
        <v>1.8483114016896043</v>
      </c>
    </row>
    <row r="49" spans="1:28" s="3" customFormat="1" hidden="1" x14ac:dyDescent="0.2">
      <c r="A49" s="31" t="s">
        <v>131</v>
      </c>
      <c r="B49" s="32" t="s">
        <v>123</v>
      </c>
      <c r="C49" s="33" t="s">
        <v>124</v>
      </c>
      <c r="D49" s="34">
        <v>0</v>
      </c>
      <c r="E49" s="36">
        <v>535</v>
      </c>
      <c r="F49" s="35" t="s">
        <v>62</v>
      </c>
      <c r="G49" s="36">
        <v>0</v>
      </c>
      <c r="H49" s="36">
        <f t="shared" si="35"/>
        <v>0</v>
      </c>
      <c r="I49" s="37">
        <v>2600</v>
      </c>
      <c r="J49" s="37">
        <f t="shared" si="12"/>
        <v>0</v>
      </c>
      <c r="K49" s="40">
        <f t="shared" si="27"/>
        <v>808.92197944761801</v>
      </c>
      <c r="L49" s="37">
        <f t="shared" si="28"/>
        <v>273.91154375123119</v>
      </c>
      <c r="M49" s="41">
        <f t="shared" si="13"/>
        <v>0</v>
      </c>
      <c r="N49" s="38">
        <v>12</v>
      </c>
      <c r="O49" s="35">
        <f t="shared" si="29"/>
        <v>0</v>
      </c>
      <c r="P49" s="185">
        <f t="shared" si="30"/>
        <v>0</v>
      </c>
      <c r="Q49" s="39">
        <v>850</v>
      </c>
      <c r="R49" s="39">
        <f t="shared" si="24"/>
        <v>0</v>
      </c>
      <c r="S49" s="39">
        <v>0</v>
      </c>
      <c r="T49" s="191">
        <f t="shared" si="31"/>
        <v>0</v>
      </c>
      <c r="U49" s="191">
        <f t="shared" si="32"/>
        <v>0</v>
      </c>
      <c r="V49" s="192" t="str">
        <f t="shared" si="25"/>
        <v>-</v>
      </c>
      <c r="W49" s="212"/>
      <c r="X49" s="198">
        <f t="shared" si="33"/>
        <v>0</v>
      </c>
      <c r="Y49" s="198">
        <f t="shared" si="34"/>
        <v>0</v>
      </c>
      <c r="Z49" s="199" t="str">
        <f t="shared" si="26"/>
        <v>-</v>
      </c>
    </row>
    <row r="50" spans="1:28" s="3" customFormat="1" hidden="1" x14ac:dyDescent="0.2">
      <c r="A50" s="31" t="s">
        <v>122</v>
      </c>
      <c r="B50" s="32" t="s">
        <v>123</v>
      </c>
      <c r="C50" s="33" t="s">
        <v>124</v>
      </c>
      <c r="D50" s="34">
        <v>0</v>
      </c>
      <c r="E50" s="36">
        <v>912</v>
      </c>
      <c r="F50" s="35" t="s">
        <v>62</v>
      </c>
      <c r="G50" s="36">
        <v>0</v>
      </c>
      <c r="H50" s="36">
        <f t="shared" si="35"/>
        <v>0</v>
      </c>
      <c r="I50" s="37">
        <v>3200</v>
      </c>
      <c r="J50" s="37">
        <f t="shared" si="12"/>
        <v>0</v>
      </c>
      <c r="K50" s="40">
        <f t="shared" si="27"/>
        <v>1378.947374310706</v>
      </c>
      <c r="L50" s="37">
        <f t="shared" si="28"/>
        <v>466.92958486191185</v>
      </c>
      <c r="M50" s="41">
        <f t="shared" si="13"/>
        <v>0</v>
      </c>
      <c r="N50" s="38">
        <v>12</v>
      </c>
      <c r="O50" s="35">
        <f t="shared" si="29"/>
        <v>0</v>
      </c>
      <c r="P50" s="185">
        <f t="shared" si="30"/>
        <v>0</v>
      </c>
      <c r="Q50" s="39">
        <v>1200</v>
      </c>
      <c r="R50" s="39">
        <f t="shared" si="24"/>
        <v>0</v>
      </c>
      <c r="S50" s="39">
        <v>0</v>
      </c>
      <c r="T50" s="191">
        <f t="shared" si="31"/>
        <v>0</v>
      </c>
      <c r="U50" s="191">
        <f t="shared" si="32"/>
        <v>0</v>
      </c>
      <c r="V50" s="192" t="str">
        <f t="shared" si="25"/>
        <v>-</v>
      </c>
      <c r="W50" s="212"/>
      <c r="X50" s="198">
        <f t="shared" si="33"/>
        <v>0</v>
      </c>
      <c r="Y50" s="198">
        <f t="shared" si="34"/>
        <v>0</v>
      </c>
      <c r="Z50" s="199" t="str">
        <f t="shared" si="26"/>
        <v>-</v>
      </c>
    </row>
    <row r="51" spans="1:28" s="3" customFormat="1" x14ac:dyDescent="0.2">
      <c r="A51" s="31" t="s">
        <v>136</v>
      </c>
      <c r="B51" s="32" t="s">
        <v>25</v>
      </c>
      <c r="C51" s="33" t="s">
        <v>142</v>
      </c>
      <c r="D51" s="34">
        <v>5</v>
      </c>
      <c r="E51" s="36">
        <v>22</v>
      </c>
      <c r="F51" s="35" t="s">
        <v>137</v>
      </c>
      <c r="G51" s="36">
        <v>103.10000000000001</v>
      </c>
      <c r="H51" s="36">
        <f t="shared" si="35"/>
        <v>2268.2000000000003</v>
      </c>
      <c r="I51" s="37">
        <v>137.9</v>
      </c>
      <c r="J51" s="37">
        <f t="shared" si="12"/>
        <v>14217.490000000002</v>
      </c>
      <c r="K51" s="40">
        <f t="shared" si="27"/>
        <v>41.106128481890607</v>
      </c>
      <c r="L51" s="37">
        <f t="shared" si="28"/>
        <v>14.305825704181704</v>
      </c>
      <c r="M51" s="41">
        <f t="shared" si="13"/>
        <v>8504.5175234159469</v>
      </c>
      <c r="N51" s="38">
        <v>18</v>
      </c>
      <c r="O51" s="35">
        <f t="shared" si="29"/>
        <v>27735.791780025189</v>
      </c>
      <c r="P51" s="185">
        <f t="shared" si="30"/>
        <v>4898.1391530764085</v>
      </c>
      <c r="Q51" s="39">
        <v>120</v>
      </c>
      <c r="R51" s="39">
        <f t="shared" si="24"/>
        <v>12372.000000000002</v>
      </c>
      <c r="S51" s="39">
        <v>0</v>
      </c>
      <c r="T51" s="191">
        <f t="shared" si="31"/>
        <v>0.44606622728218237</v>
      </c>
      <c r="U51" s="191">
        <f t="shared" si="32"/>
        <v>0.62266616688094867</v>
      </c>
      <c r="V51" s="192">
        <f t="shared" si="25"/>
        <v>1.2263703235637116</v>
      </c>
      <c r="W51" s="212"/>
      <c r="X51" s="198">
        <f t="shared" si="33"/>
        <v>0.30662609493415455</v>
      </c>
      <c r="Y51" s="198">
        <f t="shared" si="34"/>
        <v>0.4832260345329209</v>
      </c>
      <c r="Z51" s="199">
        <f t="shared" si="26"/>
        <v>1.4046691821295838</v>
      </c>
    </row>
    <row r="52" spans="1:28" s="3" customFormat="1" x14ac:dyDescent="0.2">
      <c r="A52" s="31" t="s">
        <v>144</v>
      </c>
      <c r="B52" s="32" t="s">
        <v>25</v>
      </c>
      <c r="C52" s="33" t="s">
        <v>145</v>
      </c>
      <c r="D52" s="34">
        <v>29</v>
      </c>
      <c r="E52" s="36">
        <v>38</v>
      </c>
      <c r="F52" s="35" t="s">
        <v>137</v>
      </c>
      <c r="G52" s="36">
        <v>218.73000000000002</v>
      </c>
      <c r="H52" s="36">
        <f t="shared" si="35"/>
        <v>8311.7400000000016</v>
      </c>
      <c r="I52" s="37">
        <v>52.8</v>
      </c>
      <c r="J52" s="37">
        <f t="shared" si="12"/>
        <v>11548.944</v>
      </c>
      <c r="K52" s="40">
        <f t="shared" si="27"/>
        <v>74.78836690003736</v>
      </c>
      <c r="L52" s="37">
        <f t="shared" si="28"/>
        <v>26.179107849152427</v>
      </c>
      <c r="M52" s="41">
        <f t="shared" si="13"/>
        <v>0</v>
      </c>
      <c r="N52" s="38">
        <v>20</v>
      </c>
      <c r="O52" s="35">
        <f t="shared" si="29"/>
        <v>108777.38355211356</v>
      </c>
      <c r="P52" s="185">
        <f t="shared" si="30"/>
        <v>17949.060543246324</v>
      </c>
      <c r="Q52" s="39">
        <v>150</v>
      </c>
      <c r="R52" s="39">
        <f t="shared" si="24"/>
        <v>32809.5</v>
      </c>
      <c r="S52" s="39">
        <v>0</v>
      </c>
      <c r="T52" s="191">
        <f t="shared" si="31"/>
        <v>0.3016206028184294</v>
      </c>
      <c r="U52" s="191">
        <f t="shared" si="32"/>
        <v>0.46662788610767308</v>
      </c>
      <c r="V52" s="192">
        <f t="shared" si="25"/>
        <v>1.6636236313560215</v>
      </c>
      <c r="W52" s="212"/>
      <c r="X52" s="198">
        <f t="shared" si="33"/>
        <v>0</v>
      </c>
      <c r="Y52" s="198">
        <f t="shared" si="34"/>
        <v>0.16500728328924372</v>
      </c>
      <c r="Z52" s="199" t="str">
        <f t="shared" si="26"/>
        <v>-</v>
      </c>
    </row>
    <row r="53" spans="1:28" s="3" customFormat="1" x14ac:dyDescent="0.2">
      <c r="A53" s="31" t="s">
        <v>138</v>
      </c>
      <c r="B53" s="32" t="s">
        <v>139</v>
      </c>
      <c r="C53" s="33" t="s">
        <v>140</v>
      </c>
      <c r="D53" s="34">
        <v>66</v>
      </c>
      <c r="E53" s="36">
        <v>1.1000000000000001</v>
      </c>
      <c r="F53" s="35" t="s">
        <v>133</v>
      </c>
      <c r="G53" s="36">
        <v>5139.8</v>
      </c>
      <c r="H53" s="36">
        <f t="shared" si="35"/>
        <v>5653.7800000000007</v>
      </c>
      <c r="I53" s="37">
        <v>6.72</v>
      </c>
      <c r="J53" s="37">
        <f t="shared" si="12"/>
        <v>34539.455999999998</v>
      </c>
      <c r="K53" s="40">
        <f t="shared" si="27"/>
        <v>2.0553064240945305</v>
      </c>
      <c r="L53" s="37">
        <f t="shared" si="28"/>
        <v>0.71529128520908525</v>
      </c>
      <c r="M53" s="41">
        <f t="shared" si="13"/>
        <v>20299.137893721272</v>
      </c>
      <c r="N53" s="38">
        <v>18</v>
      </c>
      <c r="O53" s="35">
        <f t="shared" si="29"/>
        <v>69135.025504836798</v>
      </c>
      <c r="P53" s="185">
        <f t="shared" si="30"/>
        <v>12209.241328313348</v>
      </c>
      <c r="Q53" s="39">
        <v>5</v>
      </c>
      <c r="R53" s="39">
        <f t="shared" si="24"/>
        <v>25699</v>
      </c>
      <c r="S53" s="39">
        <v>0</v>
      </c>
      <c r="T53" s="191">
        <f t="shared" si="31"/>
        <v>0.37172185606848523</v>
      </c>
      <c r="U53" s="191">
        <f t="shared" si="32"/>
        <v>0.54832179566725159</v>
      </c>
      <c r="V53" s="192">
        <f t="shared" si="25"/>
        <v>1.392648102964279</v>
      </c>
      <c r="W53" s="212"/>
      <c r="X53" s="198">
        <f t="shared" si="33"/>
        <v>0.29361582997175739</v>
      </c>
      <c r="Y53" s="198">
        <f t="shared" si="34"/>
        <v>0.47021576957052375</v>
      </c>
      <c r="Z53" s="199">
        <f t="shared" si="26"/>
        <v>1.4435345699508202</v>
      </c>
    </row>
    <row r="54" spans="1:28" s="3" customFormat="1" x14ac:dyDescent="0.2">
      <c r="A54" s="31" t="s">
        <v>163</v>
      </c>
      <c r="B54" s="32" t="s">
        <v>164</v>
      </c>
      <c r="C54" s="33" t="s">
        <v>165</v>
      </c>
      <c r="D54" s="34">
        <v>14</v>
      </c>
      <c r="E54" s="36">
        <v>1.1000000000000001</v>
      </c>
      <c r="F54" s="35" t="s">
        <v>158</v>
      </c>
      <c r="G54" s="36">
        <v>1988.1999999999998</v>
      </c>
      <c r="H54" s="36">
        <f t="shared" si="35"/>
        <v>2187.02</v>
      </c>
      <c r="I54" s="37">
        <v>24.31</v>
      </c>
      <c r="J54" s="37">
        <f t="shared" si="12"/>
        <v>48333.141999999993</v>
      </c>
      <c r="K54" s="40">
        <f t="shared" si="27"/>
        <v>2.9658088089727221</v>
      </c>
      <c r="L54" s="37">
        <f t="shared" si="28"/>
        <v>1.068503417273901</v>
      </c>
      <c r="M54" s="41">
        <f t="shared" si="13"/>
        <v>40312.122431776457</v>
      </c>
      <c r="N54" s="38">
        <v>45</v>
      </c>
      <c r="O54" s="35">
        <f t="shared" si="29"/>
        <v>42348.810982754876</v>
      </c>
      <c r="P54" s="185">
        <f t="shared" si="30"/>
        <v>4722.8323298479709</v>
      </c>
      <c r="Q54" s="39">
        <v>5</v>
      </c>
      <c r="R54" s="39">
        <f t="shared" si="24"/>
        <v>9941</v>
      </c>
      <c r="S54" s="39">
        <v>0</v>
      </c>
      <c r="T54" s="191">
        <f t="shared" si="31"/>
        <v>0.23474094713186014</v>
      </c>
      <c r="U54" s="191">
        <f t="shared" si="32"/>
        <v>0.346263141504004</v>
      </c>
      <c r="V54" s="192">
        <f t="shared" si="25"/>
        <v>2.1387080960920555</v>
      </c>
      <c r="W54" s="212"/>
      <c r="X54" s="198">
        <f t="shared" si="33"/>
        <v>0.95190683035214874</v>
      </c>
      <c r="Y54" s="198">
        <f t="shared" si="34"/>
        <v>1.0634290247242926</v>
      </c>
      <c r="Z54" s="199">
        <f t="shared" si="26"/>
        <v>0.59266789521905394</v>
      </c>
    </row>
    <row r="55" spans="1:28" x14ac:dyDescent="0.2">
      <c r="A55" s="90" t="s">
        <v>94</v>
      </c>
      <c r="B55" s="170" t="s">
        <v>95</v>
      </c>
      <c r="C55" s="171" t="s">
        <v>96</v>
      </c>
      <c r="D55" s="172">
        <v>6</v>
      </c>
      <c r="E55" s="173">
        <v>0</v>
      </c>
      <c r="F55" s="174" t="s">
        <v>62</v>
      </c>
      <c r="G55" s="173">
        <v>6</v>
      </c>
      <c r="H55" s="173">
        <f>G55*E55</f>
        <v>0</v>
      </c>
      <c r="I55" s="175">
        <v>0</v>
      </c>
      <c r="J55" s="37">
        <v>0</v>
      </c>
      <c r="K55" s="176">
        <f t="shared" si="27"/>
        <v>0</v>
      </c>
      <c r="L55" s="175">
        <f t="shared" si="28"/>
        <v>0</v>
      </c>
      <c r="M55" s="177">
        <f t="shared" si="13"/>
        <v>0</v>
      </c>
      <c r="N55" s="96">
        <v>0</v>
      </c>
      <c r="O55" s="174">
        <f t="shared" si="29"/>
        <v>0</v>
      </c>
      <c r="P55" s="186">
        <f t="shared" si="30"/>
        <v>0</v>
      </c>
      <c r="Q55" s="178">
        <v>500</v>
      </c>
      <c r="R55" s="178">
        <f>G55*Q55</f>
        <v>3000</v>
      </c>
      <c r="S55" s="178">
        <v>0</v>
      </c>
      <c r="T55" s="193">
        <f>IF(ISERROR(R55/O55),0,R55/O55)</f>
        <v>0</v>
      </c>
      <c r="U55" s="193">
        <f>IF(O55=0,0,(R55+P55)/O55)</f>
        <v>0</v>
      </c>
      <c r="V55" s="190" t="e">
        <f>IF($R55=0,"-",(VLOOKUP($N55,AC,7)*$H55)/($R55+$P55))</f>
        <v>#N/A</v>
      </c>
      <c r="W55" s="213"/>
      <c r="X55" s="200">
        <f>IF(ISERROR(M55/O55),0,M55/O55)</f>
        <v>0</v>
      </c>
      <c r="Y55" s="200">
        <f>IF(O55=0,0,(M55+P55)/O55)</f>
        <v>0</v>
      </c>
      <c r="Z55" s="197" t="str">
        <f>IF($M55=0,"-",(VLOOKUP($N55,AC,5)*$H55)/(M55+P55))</f>
        <v>-</v>
      </c>
    </row>
    <row r="56" spans="1:28" hidden="1" x14ac:dyDescent="0.2">
      <c r="A56" s="31" t="s">
        <v>100</v>
      </c>
      <c r="B56" s="32" t="s">
        <v>101</v>
      </c>
      <c r="C56" s="33" t="s">
        <v>102</v>
      </c>
      <c r="D56" s="34">
        <v>0</v>
      </c>
      <c r="E56" s="36">
        <v>0</v>
      </c>
      <c r="F56" s="35" t="s">
        <v>62</v>
      </c>
      <c r="G56" s="36">
        <v>0</v>
      </c>
      <c r="H56" s="36">
        <f>G56*E56</f>
        <v>0</v>
      </c>
      <c r="I56" s="37"/>
      <c r="J56" s="37"/>
      <c r="K56" s="40">
        <f t="shared" si="27"/>
        <v>0</v>
      </c>
      <c r="L56" s="37">
        <f t="shared" si="28"/>
        <v>0</v>
      </c>
      <c r="M56" s="41">
        <f t="shared" si="13"/>
        <v>0</v>
      </c>
      <c r="N56" s="38">
        <v>0</v>
      </c>
      <c r="O56" s="35">
        <f t="shared" si="29"/>
        <v>0</v>
      </c>
      <c r="P56" s="185">
        <f t="shared" si="30"/>
        <v>0</v>
      </c>
      <c r="Q56" s="39">
        <v>150</v>
      </c>
      <c r="R56" s="39">
        <f>G56*Q56</f>
        <v>0</v>
      </c>
      <c r="S56" s="39">
        <v>0</v>
      </c>
      <c r="T56" s="191">
        <f>IF(ISERROR(R56/O56),0,R56/O56)</f>
        <v>0</v>
      </c>
      <c r="U56" s="191">
        <f>IF(O56=0,0,(R56+P56)/O56)</f>
        <v>0</v>
      </c>
      <c r="V56" s="192" t="str">
        <f>IF($R56=0,"-",(VLOOKUP($N56,AC,7)*$H56)/($R56+$P56))</f>
        <v>-</v>
      </c>
      <c r="W56" s="212"/>
      <c r="X56" s="198">
        <f>IF(ISERROR(M56/O56),0,M56/O56)</f>
        <v>0</v>
      </c>
      <c r="Y56" s="198">
        <f>IF(O56=0,0,(M56+P56)/O56)</f>
        <v>0</v>
      </c>
      <c r="Z56" s="199" t="str">
        <f>IF($M56=0,"-",(VLOOKUP($N56,AC,5)*$H56)/(M56+P56))</f>
        <v>-</v>
      </c>
    </row>
    <row r="57" spans="1:28" x14ac:dyDescent="0.2">
      <c r="A57" s="31" t="s">
        <v>100</v>
      </c>
      <c r="B57" s="32" t="s">
        <v>101</v>
      </c>
      <c r="C57" s="33" t="s">
        <v>102</v>
      </c>
      <c r="D57" s="34">
        <v>6</v>
      </c>
      <c r="E57" s="36">
        <v>0</v>
      </c>
      <c r="F57" s="35" t="s">
        <v>62</v>
      </c>
      <c r="G57" s="36">
        <v>6</v>
      </c>
      <c r="H57" s="36">
        <f>G57*E57</f>
        <v>0</v>
      </c>
      <c r="I57" s="37">
        <v>0</v>
      </c>
      <c r="J57" s="37">
        <v>0</v>
      </c>
      <c r="K57" s="40">
        <f t="shared" si="27"/>
        <v>0</v>
      </c>
      <c r="L57" s="37">
        <f t="shared" si="28"/>
        <v>0</v>
      </c>
      <c r="M57" s="41">
        <f t="shared" si="13"/>
        <v>0</v>
      </c>
      <c r="N57" s="38">
        <v>0</v>
      </c>
      <c r="O57" s="35">
        <f t="shared" si="29"/>
        <v>0</v>
      </c>
      <c r="P57" s="185">
        <f t="shared" si="30"/>
        <v>0</v>
      </c>
      <c r="Q57" s="39">
        <v>300</v>
      </c>
      <c r="R57" s="39">
        <f>G57*Q57</f>
        <v>1800</v>
      </c>
      <c r="S57" s="39">
        <v>0</v>
      </c>
      <c r="T57" s="191">
        <f>IF(ISERROR(R57/O57),0,R57/O57)</f>
        <v>0</v>
      </c>
      <c r="U57" s="191">
        <f>IF(O57=0,0,(R57+P57)/O57)</f>
        <v>0</v>
      </c>
      <c r="V57" s="192" t="e">
        <f>IF($R57=0,"-",(VLOOKUP($N57,AC,7)*$H57)/($R57+$P57))</f>
        <v>#N/A</v>
      </c>
      <c r="W57" s="212"/>
      <c r="X57" s="198">
        <f>IF(ISERROR(M57/O57),0,M57/O57)</f>
        <v>0</v>
      </c>
      <c r="Y57" s="198">
        <f>IF(O57=0,0,(M57+P57)/O57)</f>
        <v>0</v>
      </c>
      <c r="Z57" s="199" t="str">
        <f>IF($M57=0,"-",(VLOOKUP($N57,AC,5)*$H57)/(M57+P57))</f>
        <v>-</v>
      </c>
    </row>
    <row r="58" spans="1:28" hidden="1" x14ac:dyDescent="0.2">
      <c r="A58" s="31" t="s">
        <v>97</v>
      </c>
      <c r="B58" s="32" t="s">
        <v>98</v>
      </c>
      <c r="C58" s="33" t="s">
        <v>99</v>
      </c>
      <c r="D58" s="34">
        <v>0</v>
      </c>
      <c r="E58" s="36">
        <v>0</v>
      </c>
      <c r="F58" s="35" t="s">
        <v>62</v>
      </c>
      <c r="G58" s="36">
        <v>0</v>
      </c>
      <c r="H58" s="36">
        <f>G58*E58</f>
        <v>0</v>
      </c>
      <c r="I58" s="37"/>
      <c r="J58" s="37"/>
      <c r="K58" s="40">
        <f t="shared" si="27"/>
        <v>0</v>
      </c>
      <c r="L58" s="37">
        <f t="shared" si="28"/>
        <v>0</v>
      </c>
      <c r="M58" s="41">
        <f t="shared" si="13"/>
        <v>0</v>
      </c>
      <c r="N58" s="38">
        <v>0</v>
      </c>
      <c r="O58" s="35">
        <f t="shared" si="29"/>
        <v>0</v>
      </c>
      <c r="P58" s="185">
        <f t="shared" si="30"/>
        <v>0</v>
      </c>
      <c r="Q58" s="39">
        <v>300</v>
      </c>
      <c r="R58" s="39">
        <f>G58*Q58</f>
        <v>0</v>
      </c>
      <c r="S58" s="39">
        <v>0</v>
      </c>
      <c r="T58" s="191">
        <f>IF(ISERROR(R58/O58),0,R58/O58)</f>
        <v>0</v>
      </c>
      <c r="U58" s="191">
        <f>IF(O58=0,0,(R58+P58)/O58)</f>
        <v>0</v>
      </c>
      <c r="V58" s="192" t="str">
        <f>IF($R58=0,"-",(VLOOKUP($N58,AC,7)*$H58)/($R58+$P58))</f>
        <v>-</v>
      </c>
      <c r="W58" s="212"/>
      <c r="X58" s="198">
        <f>IF(ISERROR(M58/O58),0,M58/O58)</f>
        <v>0</v>
      </c>
      <c r="Y58" s="198">
        <f>IF(O58=0,0,(M58+P58)/O58)</f>
        <v>0</v>
      </c>
      <c r="Z58" s="199" t="str">
        <f>IF($M58=0,"-",(VLOOKUP($N58,AC,5)*$H58)/(M58+P58))</f>
        <v>-</v>
      </c>
      <c r="AB58" s="99"/>
    </row>
    <row r="59" spans="1:28" x14ac:dyDescent="0.2">
      <c r="A59" s="31" t="s">
        <v>97</v>
      </c>
      <c r="B59" s="32" t="s">
        <v>98</v>
      </c>
      <c r="C59" s="33" t="s">
        <v>99</v>
      </c>
      <c r="D59" s="34">
        <v>3</v>
      </c>
      <c r="E59" s="36">
        <v>0</v>
      </c>
      <c r="F59" s="35" t="s">
        <v>62</v>
      </c>
      <c r="G59" s="36">
        <v>3</v>
      </c>
      <c r="H59" s="36">
        <f>G59*E59</f>
        <v>0</v>
      </c>
      <c r="I59" s="37">
        <v>0</v>
      </c>
      <c r="J59" s="37">
        <v>0</v>
      </c>
      <c r="K59" s="40">
        <f t="shared" si="27"/>
        <v>0</v>
      </c>
      <c r="L59" s="37">
        <f t="shared" si="28"/>
        <v>0</v>
      </c>
      <c r="M59" s="41">
        <f t="shared" si="13"/>
        <v>0</v>
      </c>
      <c r="N59" s="38">
        <v>0</v>
      </c>
      <c r="O59" s="35">
        <f t="shared" si="29"/>
        <v>0</v>
      </c>
      <c r="P59" s="185">
        <f t="shared" si="30"/>
        <v>0</v>
      </c>
      <c r="Q59" s="39">
        <v>500</v>
      </c>
      <c r="R59" s="39">
        <f>G59*Q59</f>
        <v>1500</v>
      </c>
      <c r="S59" s="39">
        <v>0</v>
      </c>
      <c r="T59" s="191">
        <f>IF(ISERROR(R59/O59),0,R59/O59)</f>
        <v>0</v>
      </c>
      <c r="U59" s="191">
        <f>IF(O59=0,0,(R59+P59)/O59)</f>
        <v>0</v>
      </c>
      <c r="V59" s="192" t="e">
        <f>IF($R59=0,"-",(VLOOKUP($N59,AC,7)*$H59)/($R59+$P59))</f>
        <v>#N/A</v>
      </c>
      <c r="W59" s="212"/>
      <c r="X59" s="198">
        <f>IF(ISERROR(M59/O59),0,M59/O59)</f>
        <v>0</v>
      </c>
      <c r="Y59" s="198">
        <f>IF(O59=0,0,(M59+P59)/O59)</f>
        <v>0</v>
      </c>
      <c r="Z59" s="199" t="str">
        <f>IF($M59=0,"-",(VLOOKUP($N59,AC,5)*$H59)/(M59+P59))</f>
        <v>-</v>
      </c>
    </row>
    <row r="60" spans="1:28" s="3" customFormat="1" ht="14.25" customHeight="1" x14ac:dyDescent="0.2">
      <c r="A60" s="179" t="s">
        <v>78</v>
      </c>
      <c r="B60" s="104"/>
      <c r="C60" s="105"/>
      <c r="D60" s="106"/>
      <c r="E60" s="107"/>
      <c r="F60" s="108"/>
      <c r="G60" s="109"/>
      <c r="H60" s="110"/>
      <c r="I60" s="40"/>
      <c r="J60" s="235"/>
      <c r="K60" s="40"/>
      <c r="L60" s="40"/>
      <c r="M60" s="184"/>
      <c r="N60" s="112"/>
      <c r="O60" s="108"/>
      <c r="P60" s="187"/>
      <c r="Q60" s="113"/>
      <c r="R60" s="110"/>
      <c r="S60" s="110"/>
      <c r="T60" s="194"/>
      <c r="U60" s="194"/>
      <c r="V60" s="195"/>
      <c r="W60" s="212"/>
      <c r="X60" s="198"/>
      <c r="Y60" s="198"/>
      <c r="Z60" s="199"/>
    </row>
    <row r="61" spans="1:28" s="3" customFormat="1" x14ac:dyDescent="0.2">
      <c r="A61" s="90" t="s">
        <v>217</v>
      </c>
      <c r="B61" s="180"/>
      <c r="C61" s="181" t="s">
        <v>207</v>
      </c>
      <c r="D61" s="172">
        <v>1</v>
      </c>
      <c r="E61" s="173">
        <v>4678</v>
      </c>
      <c r="F61" s="174" t="s">
        <v>62</v>
      </c>
      <c r="G61" s="173">
        <v>1</v>
      </c>
      <c r="H61" s="173">
        <f t="shared" ref="H61:H70" si="36">G61*E61</f>
        <v>4678</v>
      </c>
      <c r="I61" s="175">
        <v>17295</v>
      </c>
      <c r="J61" s="37">
        <f t="shared" si="12"/>
        <v>17295</v>
      </c>
      <c r="K61" s="176">
        <f t="shared" ref="K61:K70" si="37">0.5*0.9*$E61+PV($B$76,$N61,-(0.116*$E61))</f>
        <v>6413.7372797800526</v>
      </c>
      <c r="L61" s="175">
        <f t="shared" ref="L61:L70" si="38">0.1*$E61+PV($B$76,$N61,(-0.05*0.9*$E61))</f>
        <v>2139.2541171560551</v>
      </c>
      <c r="M61" s="41">
        <f t="shared" si="13"/>
        <v>8742.0086030638922</v>
      </c>
      <c r="N61" s="174">
        <v>10</v>
      </c>
      <c r="O61" s="174">
        <f t="shared" ref="O61:O70" si="39">PV($B$76,N61,-H61)</f>
        <v>37143.424825690105</v>
      </c>
      <c r="P61" s="186">
        <f t="shared" ref="P61:P70" si="40">$A$81*H61/SUM($H$61:$H$71)</f>
        <v>48836.84379319338</v>
      </c>
      <c r="Q61" s="178">
        <v>2582</v>
      </c>
      <c r="R61" s="178">
        <v>2582</v>
      </c>
      <c r="S61" s="173"/>
      <c r="T61" s="193">
        <f t="shared" ref="T61:T70" si="41">IF(ISERROR(R61/O61),0,R61/O61)</f>
        <v>6.9514322174571527E-2</v>
      </c>
      <c r="U61" s="193">
        <f t="shared" ref="U61:U70" si="42">IF(O61=0,0,(R61+P61)/O61)</f>
        <v>1.384332328924869</v>
      </c>
      <c r="V61" s="190">
        <f t="shared" ref="V61:V70" si="43">IF($R61=0,"-",(VLOOKUP($N61,AC,7)*$H61)/($R61+$P61))</f>
        <v>0.49468005759867462</v>
      </c>
      <c r="W61" s="213"/>
      <c r="X61" s="200">
        <f t="shared" ref="X61:X70" si="44">IF(ISERROR((M61)/O61),0,(M61)/O61)</f>
        <v>0.23535817292264111</v>
      </c>
      <c r="Y61" s="200">
        <f t="shared" ref="Y61:Y70" si="45">IF(O61=0,0,((M61)+P61)/O61)</f>
        <v>1.5501761796729385</v>
      </c>
      <c r="Z61" s="197">
        <f t="shared" ref="Z61:Z70" si="46">(VLOOKUP($N61,AC,5)*$H61)/($M61+$P61)</f>
        <v>0.40159751762875184</v>
      </c>
    </row>
    <row r="62" spans="1:28" s="3" customFormat="1" x14ac:dyDescent="0.2">
      <c r="A62" s="31" t="s">
        <v>220</v>
      </c>
      <c r="B62" s="114"/>
      <c r="C62" s="115" t="s">
        <v>208</v>
      </c>
      <c r="D62" s="34">
        <v>1</v>
      </c>
      <c r="E62" s="36">
        <v>497</v>
      </c>
      <c r="F62" s="35" t="s">
        <v>62</v>
      </c>
      <c r="G62" s="36">
        <v>1</v>
      </c>
      <c r="H62" s="36">
        <f t="shared" si="36"/>
        <v>497</v>
      </c>
      <c r="I62" s="37">
        <v>9000</v>
      </c>
      <c r="J62" s="37">
        <f t="shared" si="12"/>
        <v>9000</v>
      </c>
      <c r="K62" s="40">
        <f t="shared" si="37"/>
        <v>751.46583885133862</v>
      </c>
      <c r="L62" s="37">
        <f t="shared" si="38"/>
        <v>254.45614438198481</v>
      </c>
      <c r="M62" s="41">
        <f t="shared" si="13"/>
        <v>7994.0780167666771</v>
      </c>
      <c r="N62" s="35">
        <v>12</v>
      </c>
      <c r="O62" s="35">
        <f t="shared" si="39"/>
        <v>4550.1365418218847</v>
      </c>
      <c r="P62" s="185">
        <f t="shared" si="40"/>
        <v>5188.523164860434</v>
      </c>
      <c r="Q62" s="39">
        <v>636</v>
      </c>
      <c r="R62" s="39">
        <v>636</v>
      </c>
      <c r="S62" s="36"/>
      <c r="T62" s="191">
        <f t="shared" si="41"/>
        <v>0.13977602521469482</v>
      </c>
      <c r="U62" s="191">
        <f t="shared" si="42"/>
        <v>1.2800765672250094</v>
      </c>
      <c r="V62" s="192">
        <f t="shared" si="43"/>
        <v>0.54889232266800903</v>
      </c>
      <c r="W62" s="212"/>
      <c r="X62" s="198">
        <f t="shared" si="44"/>
        <v>1.7568875006915354</v>
      </c>
      <c r="Y62" s="198">
        <f t="shared" si="45"/>
        <v>2.8971880427018499</v>
      </c>
      <c r="Z62" s="199">
        <f t="shared" si="46"/>
        <v>0.22047214867438286</v>
      </c>
    </row>
    <row r="63" spans="1:28" s="3" customFormat="1" x14ac:dyDescent="0.2">
      <c r="A63" s="31" t="s">
        <v>218</v>
      </c>
      <c r="B63" s="114"/>
      <c r="C63" s="115" t="s">
        <v>209</v>
      </c>
      <c r="D63" s="34">
        <v>1</v>
      </c>
      <c r="E63" s="36">
        <v>11758</v>
      </c>
      <c r="F63" s="35" t="s">
        <v>62</v>
      </c>
      <c r="G63" s="36">
        <v>1</v>
      </c>
      <c r="H63" s="36">
        <f t="shared" si="36"/>
        <v>11758</v>
      </c>
      <c r="I63" s="37">
        <v>153200</v>
      </c>
      <c r="J63" s="37">
        <f t="shared" si="12"/>
        <v>153200</v>
      </c>
      <c r="K63" s="40">
        <f t="shared" si="37"/>
        <v>20009.813588997291</v>
      </c>
      <c r="L63" s="37">
        <f t="shared" si="38"/>
        <v>6885.645788835157</v>
      </c>
      <c r="M63" s="41">
        <f t="shared" si="13"/>
        <v>126304.54062216755</v>
      </c>
      <c r="N63" s="35">
        <v>15</v>
      </c>
      <c r="O63" s="35">
        <f t="shared" si="39"/>
        <v>126885.46197411459</v>
      </c>
      <c r="P63" s="185">
        <f t="shared" si="40"/>
        <v>122749.80960247281</v>
      </c>
      <c r="Q63" s="39">
        <v>20929</v>
      </c>
      <c r="R63" s="39">
        <v>20929</v>
      </c>
      <c r="S63" s="36"/>
      <c r="T63" s="191">
        <f t="shared" si="41"/>
        <v>0.16494403436281491</v>
      </c>
      <c r="U63" s="191">
        <f t="shared" si="42"/>
        <v>1.1323504471440879</v>
      </c>
      <c r="V63" s="192">
        <f t="shared" si="43"/>
        <v>0.65563196269805624</v>
      </c>
      <c r="W63" s="212"/>
      <c r="X63" s="198">
        <f t="shared" si="44"/>
        <v>0.99542168706399514</v>
      </c>
      <c r="Y63" s="198">
        <f t="shared" si="45"/>
        <v>1.9628280998452683</v>
      </c>
      <c r="Z63" s="199">
        <f t="shared" si="46"/>
        <v>0.33620656108131797</v>
      </c>
    </row>
    <row r="64" spans="1:28" s="3" customFormat="1" x14ac:dyDescent="0.2">
      <c r="A64" s="31" t="s">
        <v>219</v>
      </c>
      <c r="B64" s="114"/>
      <c r="C64" s="115" t="s">
        <v>210</v>
      </c>
      <c r="D64" s="34">
        <v>1</v>
      </c>
      <c r="E64" s="36">
        <v>1467</v>
      </c>
      <c r="F64" s="35" t="s">
        <v>62</v>
      </c>
      <c r="G64" s="36">
        <v>1</v>
      </c>
      <c r="H64" s="36">
        <f t="shared" si="36"/>
        <v>1467</v>
      </c>
      <c r="I64" s="37">
        <v>9500</v>
      </c>
      <c r="J64" s="37">
        <f t="shared" si="12"/>
        <v>9500</v>
      </c>
      <c r="K64" s="40">
        <f t="shared" si="37"/>
        <v>2496.5467371201757</v>
      </c>
      <c r="L64" s="37">
        <f t="shared" si="38"/>
        <v>859.09528595179256</v>
      </c>
      <c r="M64" s="41">
        <f t="shared" si="13"/>
        <v>6144.3579769280313</v>
      </c>
      <c r="N64" s="35">
        <v>15</v>
      </c>
      <c r="O64" s="35">
        <f t="shared" si="39"/>
        <v>15831.006354484274</v>
      </c>
      <c r="P64" s="185">
        <f t="shared" si="40"/>
        <v>15315.017068109169</v>
      </c>
      <c r="Q64" s="39">
        <v>3368</v>
      </c>
      <c r="R64" s="39">
        <v>3368</v>
      </c>
      <c r="S64" s="36"/>
      <c r="T64" s="191">
        <f t="shared" si="41"/>
        <v>0.2127470562884326</v>
      </c>
      <c r="U64" s="191">
        <f t="shared" si="42"/>
        <v>1.1801534690697055</v>
      </c>
      <c r="V64" s="192">
        <f t="shared" si="43"/>
        <v>0.62907508691079395</v>
      </c>
      <c r="W64" s="212"/>
      <c r="X64" s="198">
        <f t="shared" si="44"/>
        <v>0.38812175545540017</v>
      </c>
      <c r="Y64" s="198">
        <f t="shared" si="45"/>
        <v>1.3555281682366733</v>
      </c>
      <c r="Z64" s="199">
        <f t="shared" si="46"/>
        <v>0.48683288249273415</v>
      </c>
    </row>
    <row r="65" spans="1:26" s="3" customFormat="1" x14ac:dyDescent="0.2">
      <c r="A65" s="31" t="s">
        <v>220</v>
      </c>
      <c r="B65" s="114"/>
      <c r="C65" s="115" t="s">
        <v>211</v>
      </c>
      <c r="D65" s="34">
        <v>1</v>
      </c>
      <c r="E65" s="36">
        <v>814</v>
      </c>
      <c r="F65" s="35" t="s">
        <v>62</v>
      </c>
      <c r="G65" s="36">
        <v>1</v>
      </c>
      <c r="H65" s="36">
        <f t="shared" si="36"/>
        <v>814</v>
      </c>
      <c r="I65" s="37">
        <v>2493</v>
      </c>
      <c r="J65" s="37">
        <f t="shared" si="12"/>
        <v>2493</v>
      </c>
      <c r="K65" s="40">
        <f t="shared" si="37"/>
        <v>1385.2686053277596</v>
      </c>
      <c r="L65" s="37">
        <f t="shared" si="38"/>
        <v>476.68954517025156</v>
      </c>
      <c r="M65" s="41">
        <f t="shared" si="13"/>
        <v>631.04184950198885</v>
      </c>
      <c r="N65" s="35">
        <v>15</v>
      </c>
      <c r="O65" s="35">
        <f t="shared" si="39"/>
        <v>8784.2121148944789</v>
      </c>
      <c r="P65" s="185">
        <f t="shared" si="40"/>
        <v>8497.9031311798644</v>
      </c>
      <c r="Q65" s="39">
        <v>1869</v>
      </c>
      <c r="R65" s="39">
        <v>1869</v>
      </c>
      <c r="S65" s="36"/>
      <c r="T65" s="191">
        <f t="shared" si="41"/>
        <v>0.21276808614752485</v>
      </c>
      <c r="U65" s="191">
        <f t="shared" si="42"/>
        <v>1.1801744989287974</v>
      </c>
      <c r="V65" s="192">
        <f t="shared" si="43"/>
        <v>0.6290638772460807</v>
      </c>
      <c r="W65" s="212"/>
      <c r="X65" s="198">
        <f t="shared" si="44"/>
        <v>7.1838184375351832E-2</v>
      </c>
      <c r="Y65" s="198">
        <f t="shared" si="45"/>
        <v>1.0392445971566246</v>
      </c>
      <c r="Z65" s="199">
        <f t="shared" si="46"/>
        <v>0.63499554123089619</v>
      </c>
    </row>
    <row r="66" spans="1:26" s="3" customFormat="1" x14ac:dyDescent="0.2">
      <c r="A66" s="31" t="s">
        <v>220</v>
      </c>
      <c r="B66" s="114"/>
      <c r="C66" s="115" t="s">
        <v>212</v>
      </c>
      <c r="D66" s="34">
        <v>1</v>
      </c>
      <c r="E66" s="36">
        <v>2134</v>
      </c>
      <c r="F66" s="35" t="s">
        <v>62</v>
      </c>
      <c r="G66" s="36">
        <v>1</v>
      </c>
      <c r="H66" s="36">
        <f t="shared" si="36"/>
        <v>2134</v>
      </c>
      <c r="I66" s="37">
        <v>18000</v>
      </c>
      <c r="J66" s="37">
        <f t="shared" si="12"/>
        <v>18000</v>
      </c>
      <c r="K66" s="40">
        <f t="shared" si="37"/>
        <v>3631.6501274808829</v>
      </c>
      <c r="L66" s="37">
        <f t="shared" si="38"/>
        <v>1249.6996184193083</v>
      </c>
      <c r="M66" s="41">
        <f t="shared" si="13"/>
        <v>13118.650254099808</v>
      </c>
      <c r="N66" s="35">
        <v>15</v>
      </c>
      <c r="O66" s="35">
        <f t="shared" si="39"/>
        <v>23028.880409317957</v>
      </c>
      <c r="P66" s="185">
        <f t="shared" si="40"/>
        <v>22278.286587147213</v>
      </c>
      <c r="Q66" s="39">
        <v>4900</v>
      </c>
      <c r="R66" s="39">
        <v>4900</v>
      </c>
      <c r="S66" s="36"/>
      <c r="T66" s="191">
        <f t="shared" si="41"/>
        <v>0.2127763014487391</v>
      </c>
      <c r="U66" s="191">
        <f t="shared" si="42"/>
        <v>1.1801827142300119</v>
      </c>
      <c r="V66" s="192">
        <f t="shared" si="43"/>
        <v>0.62905949830613161</v>
      </c>
      <c r="W66" s="212"/>
      <c r="X66" s="198">
        <f t="shared" si="44"/>
        <v>0.56966079205447318</v>
      </c>
      <c r="Y66" s="198">
        <f t="shared" si="45"/>
        <v>1.5370672048357459</v>
      </c>
      <c r="Z66" s="199">
        <f t="shared" si="46"/>
        <v>0.42933430845873483</v>
      </c>
    </row>
    <row r="67" spans="1:26" s="3" customFormat="1" x14ac:dyDescent="0.2">
      <c r="A67" s="31" t="s">
        <v>221</v>
      </c>
      <c r="B67" s="114"/>
      <c r="C67" s="115" t="s">
        <v>213</v>
      </c>
      <c r="D67" s="34">
        <v>1</v>
      </c>
      <c r="E67" s="36">
        <v>1070</v>
      </c>
      <c r="F67" s="35" t="s">
        <v>62</v>
      </c>
      <c r="G67" s="36">
        <v>1</v>
      </c>
      <c r="H67" s="36">
        <f t="shared" si="36"/>
        <v>1070</v>
      </c>
      <c r="I67" s="37">
        <v>20000</v>
      </c>
      <c r="J67" s="37">
        <f t="shared" si="12"/>
        <v>20000</v>
      </c>
      <c r="K67" s="40">
        <f t="shared" si="37"/>
        <v>1820.9304762907896</v>
      </c>
      <c r="L67" s="37">
        <f t="shared" si="38"/>
        <v>626.6066502852201</v>
      </c>
      <c r="M67" s="41">
        <f t="shared" si="13"/>
        <v>17552.462873423992</v>
      </c>
      <c r="N67" s="35">
        <v>15</v>
      </c>
      <c r="O67" s="35">
        <f t="shared" si="39"/>
        <v>11546.814450782667</v>
      </c>
      <c r="P67" s="185">
        <f t="shared" si="40"/>
        <v>11170.462346882623</v>
      </c>
      <c r="Q67" s="39">
        <v>2457</v>
      </c>
      <c r="R67" s="39">
        <v>2457</v>
      </c>
      <c r="S67" s="36"/>
      <c r="T67" s="191">
        <f t="shared" si="41"/>
        <v>0.21278596018605456</v>
      </c>
      <c r="U67" s="191">
        <f t="shared" si="42"/>
        <v>1.1801923729673274</v>
      </c>
      <c r="V67" s="192">
        <f t="shared" si="43"/>
        <v>0.62905435006031241</v>
      </c>
      <c r="W67" s="212"/>
      <c r="X67" s="198">
        <f t="shared" si="44"/>
        <v>1.5201130102367106</v>
      </c>
      <c r="Y67" s="198">
        <f t="shared" si="45"/>
        <v>2.4875194230179836</v>
      </c>
      <c r="Z67" s="199">
        <f t="shared" si="46"/>
        <v>0.26529066641100341</v>
      </c>
    </row>
    <row r="68" spans="1:26" s="3" customFormat="1" x14ac:dyDescent="0.2">
      <c r="A68" s="31" t="s">
        <v>222</v>
      </c>
      <c r="B68" s="114"/>
      <c r="C68" s="115" t="s">
        <v>214</v>
      </c>
      <c r="D68" s="34">
        <v>1</v>
      </c>
      <c r="E68" s="36">
        <v>2745</v>
      </c>
      <c r="F68" s="35" t="s">
        <v>62</v>
      </c>
      <c r="G68" s="36">
        <v>1</v>
      </c>
      <c r="H68" s="36">
        <f t="shared" si="36"/>
        <v>2745</v>
      </c>
      <c r="I68" s="37">
        <v>16279</v>
      </c>
      <c r="J68" s="37">
        <f t="shared" si="12"/>
        <v>16279</v>
      </c>
      <c r="K68" s="40">
        <f t="shared" si="37"/>
        <v>4671.4524835684279</v>
      </c>
      <c r="L68" s="37">
        <f t="shared" si="38"/>
        <v>1607.5095841429245</v>
      </c>
      <c r="M68" s="41">
        <f t="shared" si="13"/>
        <v>10000.037932288647</v>
      </c>
      <c r="N68" s="35">
        <v>15</v>
      </c>
      <c r="O68" s="35">
        <f t="shared" si="39"/>
        <v>29622.435203176097</v>
      </c>
      <c r="P68" s="185">
        <f t="shared" si="40"/>
        <v>28656.933777750284</v>
      </c>
      <c r="Q68" s="39">
        <v>4884</v>
      </c>
      <c r="R68" s="39">
        <v>4884</v>
      </c>
      <c r="S68" s="36"/>
      <c r="T68" s="191">
        <f t="shared" si="41"/>
        <v>0.16487503361898959</v>
      </c>
      <c r="U68" s="191">
        <f t="shared" si="42"/>
        <v>1.1322814464002624</v>
      </c>
      <c r="V68" s="192">
        <f t="shared" si="43"/>
        <v>0.65567191662757252</v>
      </c>
      <c r="W68" s="212"/>
      <c r="X68" s="198">
        <f t="shared" si="44"/>
        <v>0.33758324944251883</v>
      </c>
      <c r="Y68" s="198">
        <f t="shared" si="45"/>
        <v>1.3049896622237918</v>
      </c>
      <c r="Z68" s="199">
        <f t="shared" si="46"/>
        <v>0.50568652346120047</v>
      </c>
    </row>
    <row r="69" spans="1:26" s="3" customFormat="1" x14ac:dyDescent="0.2">
      <c r="A69" s="31" t="s">
        <v>223</v>
      </c>
      <c r="B69" s="114"/>
      <c r="C69" s="115" t="s">
        <v>215</v>
      </c>
      <c r="D69" s="34">
        <v>1</v>
      </c>
      <c r="E69" s="36">
        <v>7004</v>
      </c>
      <c r="F69" s="35" t="s">
        <v>62</v>
      </c>
      <c r="G69" s="36">
        <v>1</v>
      </c>
      <c r="H69" s="36">
        <f t="shared" si="36"/>
        <v>7004</v>
      </c>
      <c r="I69" s="37">
        <v>64000</v>
      </c>
      <c r="J69" s="37">
        <f t="shared" si="12"/>
        <v>64000</v>
      </c>
      <c r="K69" s="40">
        <f t="shared" si="37"/>
        <v>11919.43650087915</v>
      </c>
      <c r="L69" s="37">
        <f t="shared" si="38"/>
        <v>4101.6382977548428</v>
      </c>
      <c r="M69" s="41">
        <f t="shared" si="13"/>
        <v>47978.925201366008</v>
      </c>
      <c r="N69" s="35">
        <v>15</v>
      </c>
      <c r="O69" s="35">
        <f t="shared" si="39"/>
        <v>75583.073283440943</v>
      </c>
      <c r="P69" s="185">
        <f t="shared" si="40"/>
        <v>73119.549792117672</v>
      </c>
      <c r="Q69" s="39">
        <v>16081</v>
      </c>
      <c r="R69" s="39">
        <v>16081</v>
      </c>
      <c r="S69" s="36"/>
      <c r="T69" s="191">
        <f t="shared" si="41"/>
        <v>0.21275927666628888</v>
      </c>
      <c r="U69" s="191">
        <f t="shared" si="42"/>
        <v>1.1801656894475618</v>
      </c>
      <c r="V69" s="192">
        <f t="shared" si="43"/>
        <v>0.62906857296505669</v>
      </c>
      <c r="W69" s="212"/>
      <c r="X69" s="198">
        <f t="shared" si="44"/>
        <v>0.63478399484289605</v>
      </c>
      <c r="Y69" s="198">
        <f t="shared" si="45"/>
        <v>1.6021904076241691</v>
      </c>
      <c r="Z69" s="199">
        <f t="shared" si="46"/>
        <v>0.41188343301925073</v>
      </c>
    </row>
    <row r="70" spans="1:26" s="3" customFormat="1" x14ac:dyDescent="0.2">
      <c r="A70" s="31" t="s">
        <v>224</v>
      </c>
      <c r="B70" s="114"/>
      <c r="C70" s="115" t="s">
        <v>216</v>
      </c>
      <c r="D70" s="34">
        <v>1</v>
      </c>
      <c r="E70" s="36">
        <v>184</v>
      </c>
      <c r="F70" s="35" t="s">
        <v>62</v>
      </c>
      <c r="G70" s="36">
        <v>1</v>
      </c>
      <c r="H70" s="36">
        <f t="shared" si="36"/>
        <v>184</v>
      </c>
      <c r="I70" s="37">
        <v>3220</v>
      </c>
      <c r="J70" s="37">
        <f t="shared" si="12"/>
        <v>3220</v>
      </c>
      <c r="K70" s="40">
        <f t="shared" si="37"/>
        <v>433.35150689623759</v>
      </c>
      <c r="L70" s="37">
        <f t="shared" si="38"/>
        <v>154.38980870974734</v>
      </c>
      <c r="M70" s="41">
        <f t="shared" si="13"/>
        <v>2632.2586843940153</v>
      </c>
      <c r="N70" s="35">
        <v>30</v>
      </c>
      <c r="O70" s="35">
        <f t="shared" si="39"/>
        <v>3021.9957491054961</v>
      </c>
      <c r="P70" s="185">
        <f t="shared" si="40"/>
        <v>1920.9019362863578</v>
      </c>
      <c r="Q70" s="39">
        <v>905</v>
      </c>
      <c r="R70" s="39">
        <v>905</v>
      </c>
      <c r="S70" s="36"/>
      <c r="T70" s="191">
        <f t="shared" si="41"/>
        <v>0.29947097055575872</v>
      </c>
      <c r="U70" s="191">
        <f t="shared" si="42"/>
        <v>0.93511115530947331</v>
      </c>
      <c r="V70" s="192">
        <f t="shared" si="43"/>
        <v>0.93369918773186611</v>
      </c>
      <c r="W70" s="212"/>
      <c r="X70" s="198">
        <f t="shared" si="44"/>
        <v>0.87103321875060813</v>
      </c>
      <c r="Y70" s="198">
        <f t="shared" si="45"/>
        <v>1.5066734035043228</v>
      </c>
      <c r="Z70" s="199">
        <f t="shared" si="46"/>
        <v>0.49318882819154897</v>
      </c>
    </row>
    <row r="71" spans="1:26" s="3" customFormat="1" ht="13.5" thickBot="1" x14ac:dyDescent="0.25">
      <c r="A71" s="117"/>
      <c r="B71" s="118"/>
      <c r="C71" s="119"/>
      <c r="D71" s="122"/>
      <c r="E71" s="120"/>
      <c r="F71" s="116"/>
      <c r="G71" s="127"/>
      <c r="H71" s="36"/>
      <c r="I71" s="123"/>
      <c r="J71" s="121"/>
      <c r="K71" s="111"/>
      <c r="L71" s="121"/>
      <c r="M71" s="124"/>
      <c r="N71" s="125"/>
      <c r="O71" s="108"/>
      <c r="P71" s="187"/>
      <c r="Q71" s="126"/>
      <c r="R71" s="110"/>
      <c r="S71" s="110"/>
      <c r="T71" s="194"/>
      <c r="U71" s="194"/>
      <c r="V71" s="195"/>
      <c r="W71" s="214"/>
      <c r="X71" s="201"/>
      <c r="Y71" s="201"/>
      <c r="Z71" s="202"/>
    </row>
    <row r="72" spans="1:26" ht="13.5" thickBot="1" x14ac:dyDescent="0.25">
      <c r="A72" s="215" t="s">
        <v>2</v>
      </c>
      <c r="B72" s="216"/>
      <c r="C72" s="216"/>
      <c r="D72" s="217">
        <f>SUM(D7:D54,D61:D70)</f>
        <v>645</v>
      </c>
      <c r="E72" s="218"/>
      <c r="F72" s="219"/>
      <c r="G72" s="220"/>
      <c r="H72" s="221">
        <f>SUM(H7:H71)</f>
        <v>266944.81999999995</v>
      </c>
      <c r="I72" s="222"/>
      <c r="J72" s="222">
        <f>SUM(J7:J71)</f>
        <v>1411460.0819999999</v>
      </c>
      <c r="K72" s="222"/>
      <c r="L72" s="222"/>
      <c r="M72" s="223">
        <f>SUM(M7:M71)</f>
        <v>776872.16805793834</v>
      </c>
      <c r="N72" s="224">
        <f>SUMPRODUCT(H7:H71,N7:N71)/SUM(H7:H71)</f>
        <v>18.691115976702608</v>
      </c>
      <c r="O72" s="225">
        <f>SUM(O7:O71)</f>
        <v>3169155.9550888259</v>
      </c>
      <c r="P72" s="226">
        <f>SUM(P6:P71)</f>
        <v>844335.57799999951</v>
      </c>
      <c r="Q72" s="227"/>
      <c r="R72" s="228">
        <f>SUM(R7:R71)</f>
        <v>1002007.375</v>
      </c>
      <c r="S72" s="229">
        <f>R72+SUM(S7:S71)</f>
        <v>992805.96</v>
      </c>
      <c r="T72" s="230">
        <f>S72/O72</f>
        <v>0.31327141171636452</v>
      </c>
      <c r="U72" s="231">
        <f>(S72+P72)/O72</f>
        <v>0.57969426687570746</v>
      </c>
      <c r="V72" s="232">
        <f>IF($R72=0,"-",(VLOOKUP($N72,AC,7)*$H72)/($R72+$P72))</f>
        <v>1.3500356849303381</v>
      </c>
      <c r="W72" s="236"/>
      <c r="X72" s="233">
        <f>(M72)/O72</f>
        <v>0.24513535435530939</v>
      </c>
      <c r="Y72" s="234">
        <f>(M72+P72)/O72</f>
        <v>0.51155820951465236</v>
      </c>
      <c r="Z72" s="232">
        <f>IF($M72=0,"-",(VLOOKUP($N72,AC,5)*$H72)/($M72+P72))</f>
        <v>1.3666787090498869</v>
      </c>
    </row>
    <row r="73" spans="1:26" ht="13.5" thickBot="1" x14ac:dyDescent="0.25">
      <c r="A73" s="3"/>
      <c r="B73" s="100"/>
      <c r="C73" s="100"/>
      <c r="D73" s="128"/>
      <c r="E73" s="50"/>
      <c r="F73" s="50"/>
      <c r="G73" s="76"/>
      <c r="H73" s="74"/>
      <c r="I73" s="50"/>
      <c r="J73" s="50"/>
      <c r="K73" s="50"/>
      <c r="L73" s="50"/>
      <c r="M73" s="129"/>
      <c r="N73" s="130"/>
      <c r="O73" s="131"/>
      <c r="P73" s="50"/>
      <c r="R73" s="167"/>
      <c r="S73" s="132"/>
      <c r="T73" s="133"/>
      <c r="U73" s="50"/>
      <c r="V73" s="134"/>
      <c r="W73" s="50"/>
      <c r="X73" s="135"/>
      <c r="Y73" s="135"/>
      <c r="Z73" s="3"/>
    </row>
    <row r="74" spans="1:26" x14ac:dyDescent="0.2">
      <c r="A74" s="136" t="s">
        <v>17</v>
      </c>
      <c r="B74" s="137">
        <v>8.7599999999999997E-2</v>
      </c>
      <c r="C74" s="138"/>
      <c r="D74" s="139"/>
      <c r="E74" s="140"/>
      <c r="F74" s="141"/>
      <c r="G74" s="142"/>
      <c r="H74" s="74"/>
      <c r="I74" s="182" t="s">
        <v>229</v>
      </c>
      <c r="J74" s="183">
        <f>J72-M72</f>
        <v>634587.9139420616</v>
      </c>
      <c r="K74" s="142"/>
      <c r="L74" s="142"/>
      <c r="M74" s="143"/>
      <c r="N74" s="74"/>
      <c r="O74" s="144"/>
      <c r="P74" s="144"/>
      <c r="R74" s="168"/>
      <c r="S74" s="144"/>
      <c r="T74" s="145"/>
      <c r="U74" s="146"/>
      <c r="V74" s="147"/>
      <c r="W74" s="142"/>
      <c r="X74" s="140"/>
      <c r="Y74" s="140"/>
      <c r="Z74" s="140"/>
    </row>
    <row r="75" spans="1:26" x14ac:dyDescent="0.2">
      <c r="A75" s="148" t="s">
        <v>18</v>
      </c>
      <c r="B75" s="149">
        <v>0.02</v>
      </c>
      <c r="C75" s="138"/>
      <c r="D75" s="150"/>
      <c r="E75" s="1"/>
      <c r="F75" s="140"/>
      <c r="G75" s="43"/>
      <c r="H75" s="151"/>
      <c r="I75" s="3"/>
      <c r="J75" s="3"/>
      <c r="K75" s="3"/>
      <c r="L75" s="3"/>
      <c r="M75" s="3"/>
      <c r="N75" s="3"/>
      <c r="O75" s="152"/>
      <c r="P75" s="50"/>
      <c r="R75" s="168"/>
      <c r="S75" s="50"/>
    </row>
    <row r="76" spans="1:26" ht="20.25" customHeight="1" thickBot="1" x14ac:dyDescent="0.25">
      <c r="A76" s="153" t="s">
        <v>19</v>
      </c>
      <c r="B76" s="154">
        <v>4.4299999999999999E-2</v>
      </c>
      <c r="C76" s="138"/>
      <c r="D76" s="139"/>
      <c r="E76" s="1"/>
      <c r="F76" s="140"/>
      <c r="G76" s="43"/>
      <c r="H76" s="43"/>
    </row>
    <row r="77" spans="1:26" x14ac:dyDescent="0.2">
      <c r="B77" s="155"/>
      <c r="C77" s="138"/>
      <c r="H77" s="43"/>
    </row>
    <row r="78" spans="1:26" s="47" customFormat="1" ht="12.75" customHeight="1" x14ac:dyDescent="0.2">
      <c r="A78" s="45" t="s">
        <v>206</v>
      </c>
      <c r="B78" s="155"/>
      <c r="C78" s="138"/>
      <c r="D78" s="48"/>
      <c r="F78" s="2"/>
      <c r="G78" s="45"/>
      <c r="H78" s="156"/>
      <c r="R78" s="157"/>
      <c r="S78" s="157"/>
    </row>
    <row r="79" spans="1:26" s="47" customFormat="1" x14ac:dyDescent="0.2">
      <c r="A79" s="203">
        <v>844335.5779999994</v>
      </c>
      <c r="C79" s="138"/>
      <c r="D79" s="48"/>
      <c r="F79" s="158"/>
      <c r="G79" s="45"/>
      <c r="H79" s="156"/>
      <c r="R79" s="157"/>
      <c r="S79" s="157"/>
    </row>
    <row r="80" spans="1:26" s="47" customFormat="1" ht="16.899999999999999" customHeight="1" x14ac:dyDescent="0.2">
      <c r="A80" s="45" t="s">
        <v>80</v>
      </c>
      <c r="C80" s="138"/>
      <c r="D80" s="48"/>
      <c r="F80" s="2"/>
      <c r="G80" s="45"/>
      <c r="H80" s="156"/>
      <c r="R80" s="157"/>
      <c r="S80" s="157"/>
    </row>
    <row r="81" spans="1:27" s="47" customFormat="1" ht="14.45" customHeight="1" x14ac:dyDescent="0.2">
      <c r="A81" s="204">
        <f>A79*0.4</f>
        <v>337734.23119999981</v>
      </c>
      <c r="C81" s="138"/>
      <c r="D81" s="48"/>
      <c r="F81" s="159"/>
      <c r="G81" s="45"/>
      <c r="H81" s="156"/>
      <c r="R81" s="157"/>
      <c r="S81" s="157"/>
    </row>
    <row r="82" spans="1:27" s="47" customFormat="1" ht="16.899999999999999" customHeight="1" x14ac:dyDescent="0.2">
      <c r="A82" s="45" t="s">
        <v>81</v>
      </c>
      <c r="C82" s="138"/>
      <c r="D82" s="48"/>
      <c r="F82" s="2"/>
      <c r="G82" s="45"/>
      <c r="H82" s="156"/>
      <c r="R82" s="157"/>
      <c r="S82" s="157"/>
    </row>
    <row r="83" spans="1:27" s="47" customFormat="1" ht="14.45" customHeight="1" x14ac:dyDescent="0.2">
      <c r="A83" s="204">
        <f>A79*0.6</f>
        <v>506601.34679999959</v>
      </c>
      <c r="C83" s="138"/>
      <c r="D83" s="48"/>
      <c r="F83" s="159"/>
      <c r="G83" s="45"/>
      <c r="H83" s="156"/>
      <c r="R83" s="157"/>
      <c r="S83" s="157"/>
    </row>
    <row r="84" spans="1:27" s="47" customFormat="1" x14ac:dyDescent="0.2">
      <c r="D84" s="48"/>
      <c r="F84" s="2"/>
      <c r="G84" s="45"/>
      <c r="H84" s="156"/>
      <c r="R84" s="157"/>
      <c r="S84" s="157"/>
    </row>
    <row r="85" spans="1:27" s="47" customFormat="1" ht="18" customHeight="1" x14ac:dyDescent="0.2">
      <c r="A85" s="160">
        <v>766935</v>
      </c>
      <c r="B85" s="158"/>
      <c r="D85" s="48"/>
      <c r="F85" s="2"/>
      <c r="G85" s="45"/>
      <c r="H85" s="156"/>
      <c r="R85" s="157"/>
      <c r="S85" s="157"/>
      <c r="T85" s="161"/>
    </row>
    <row r="86" spans="1:27" x14ac:dyDescent="0.2">
      <c r="A86" s="47"/>
      <c r="B86" s="162"/>
      <c r="H86" s="163"/>
    </row>
    <row r="87" spans="1:27" x14ac:dyDescent="0.2">
      <c r="A87" s="47"/>
      <c r="B87" s="159"/>
      <c r="H87" s="163"/>
    </row>
    <row r="88" spans="1:27" x14ac:dyDescent="0.2">
      <c r="A88" s="164"/>
      <c r="H88" s="163"/>
    </row>
    <row r="89" spans="1:27" x14ac:dyDescent="0.2">
      <c r="H89" s="163"/>
    </row>
    <row r="90" spans="1:27" x14ac:dyDescent="0.2">
      <c r="H90" s="163"/>
    </row>
    <row r="91" spans="1:27" x14ac:dyDescent="0.2">
      <c r="H91" s="163"/>
      <c r="Z91" s="3"/>
      <c r="AA91" s="3"/>
    </row>
    <row r="92" spans="1:27" s="3" customFormat="1" x14ac:dyDescent="0.2">
      <c r="A92" s="1"/>
      <c r="B92" s="47"/>
      <c r="C92" s="47"/>
      <c r="D92" s="48"/>
      <c r="E92" s="2"/>
      <c r="F92" s="2"/>
      <c r="G92" s="46"/>
      <c r="H92" s="46"/>
      <c r="I92" s="1"/>
      <c r="J92" s="1"/>
      <c r="K92" s="1"/>
      <c r="L92" s="1"/>
      <c r="M92" s="1"/>
      <c r="N92" s="1"/>
      <c r="O92" s="1"/>
      <c r="P92" s="2"/>
      <c r="Q92" s="2"/>
      <c r="R92" s="49"/>
      <c r="S92" s="49"/>
      <c r="T92" s="2"/>
      <c r="U92" s="2"/>
      <c r="V92" s="2"/>
      <c r="W92" s="2"/>
      <c r="X92" s="2"/>
      <c r="Y92" s="2"/>
      <c r="Z92" s="1"/>
    </row>
  </sheetData>
  <mergeCells count="2">
    <mergeCell ref="B2:Z2"/>
    <mergeCell ref="B1:Z1"/>
  </mergeCells>
  <phoneticPr fontId="0" type="noConversion"/>
  <printOptions horizontalCentered="1" verticalCentered="1"/>
  <pageMargins left="0.25" right="0.02" top="0.73" bottom="0.72" header="0.5" footer="0.5"/>
  <pageSetup paperSize="5" scale="39" orientation="landscape" horizontalDpi="1200" verticalDpi="1200" r:id="rId1"/>
  <headerFooter alignWithMargins="0">
    <oddHeader>&amp;C&amp;c</oddHeader>
    <oddFooter>&amp;C&amp;14Appendix A&amp;R&amp;14Page 3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59"/>
  <sheetViews>
    <sheetView zoomScale="80" zoomScaleNormal="80" workbookViewId="0">
      <selection activeCell="F46" sqref="F46"/>
    </sheetView>
  </sheetViews>
  <sheetFormatPr defaultColWidth="10.6640625" defaultRowHeight="12.75" x14ac:dyDescent="0.2"/>
  <cols>
    <col min="1" max="1" width="7.33203125" style="8" bestFit="1" customWidth="1"/>
    <col min="2" max="2" width="7.6640625" style="8" bestFit="1" customWidth="1"/>
    <col min="3" max="3" width="18" style="8" customWidth="1"/>
    <col min="4" max="4" width="12.33203125" style="8" bestFit="1" customWidth="1"/>
    <col min="5" max="5" width="13.5" style="8" bestFit="1" customWidth="1"/>
    <col min="6" max="6" width="20.33203125" style="8" bestFit="1" customWidth="1"/>
    <col min="7" max="7" width="20.33203125" style="8" customWidth="1"/>
    <col min="8" max="8" width="21.83203125" style="8" bestFit="1" customWidth="1"/>
    <col min="9" max="9" width="19.33203125" style="8" bestFit="1" customWidth="1"/>
    <col min="10" max="16384" width="10.6640625" style="8"/>
  </cols>
  <sheetData>
    <row r="1" spans="1:11" s="6" customFormat="1" x14ac:dyDescent="0.2">
      <c r="A1" s="207" t="s">
        <v>3</v>
      </c>
      <c r="B1" s="207"/>
      <c r="C1" s="207"/>
      <c r="D1" s="207"/>
      <c r="E1" s="207"/>
      <c r="F1" s="207"/>
      <c r="G1" s="207"/>
      <c r="H1" s="207"/>
      <c r="I1" s="207"/>
      <c r="J1" s="5"/>
      <c r="K1" s="5"/>
    </row>
    <row r="2" spans="1:11" s="6" customFormat="1" x14ac:dyDescent="0.2">
      <c r="A2" s="207" t="s">
        <v>86</v>
      </c>
      <c r="B2" s="207"/>
      <c r="C2" s="207"/>
      <c r="D2" s="207"/>
      <c r="E2" s="207"/>
      <c r="F2" s="207"/>
      <c r="G2" s="207"/>
      <c r="H2" s="207"/>
      <c r="I2" s="207"/>
      <c r="J2" s="5"/>
      <c r="K2" s="5"/>
    </row>
    <row r="3" spans="1:11" s="6" customFormat="1" x14ac:dyDescent="0.2">
      <c r="A3" s="207" t="s">
        <v>68</v>
      </c>
      <c r="B3" s="207"/>
      <c r="C3" s="207"/>
      <c r="D3" s="207"/>
      <c r="E3" s="207"/>
      <c r="F3" s="207"/>
      <c r="G3" s="207"/>
      <c r="H3" s="207"/>
      <c r="I3" s="207"/>
      <c r="J3" s="5"/>
      <c r="K3" s="5"/>
    </row>
    <row r="4" spans="1:11" s="6" customFormat="1" x14ac:dyDescent="0.2">
      <c r="A4" s="207" t="s">
        <v>37</v>
      </c>
      <c r="B4" s="207"/>
      <c r="C4" s="207"/>
      <c r="D4" s="207"/>
      <c r="E4" s="207"/>
      <c r="F4" s="207"/>
      <c r="G4" s="207"/>
      <c r="H4" s="207"/>
      <c r="I4" s="207"/>
      <c r="J4" s="5"/>
      <c r="K4" s="5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s="11" customFormat="1" x14ac:dyDescent="0.2">
      <c r="A6" s="9"/>
      <c r="B6" s="9"/>
      <c r="C6" s="9" t="s">
        <v>38</v>
      </c>
      <c r="D6" s="9"/>
      <c r="E6" s="9" t="s">
        <v>10</v>
      </c>
      <c r="F6" s="9" t="s">
        <v>39</v>
      </c>
      <c r="G6" s="10" t="s">
        <v>66</v>
      </c>
      <c r="H6" s="9" t="s">
        <v>40</v>
      </c>
      <c r="I6" s="9"/>
      <c r="J6" s="9"/>
      <c r="K6" s="9"/>
    </row>
    <row r="7" spans="1:11" s="11" customFormat="1" x14ac:dyDescent="0.2">
      <c r="A7" s="9"/>
      <c r="B7" s="9"/>
      <c r="C7" s="9" t="s">
        <v>41</v>
      </c>
      <c r="D7" s="9" t="s">
        <v>42</v>
      </c>
      <c r="E7" s="9" t="s">
        <v>41</v>
      </c>
      <c r="F7" s="9" t="s">
        <v>10</v>
      </c>
      <c r="G7" s="10" t="s">
        <v>67</v>
      </c>
      <c r="H7" s="9" t="s">
        <v>69</v>
      </c>
      <c r="I7" s="9" t="s">
        <v>43</v>
      </c>
      <c r="J7" s="9"/>
      <c r="K7" s="9"/>
    </row>
    <row r="8" spans="1:11" s="11" customFormat="1" x14ac:dyDescent="0.2">
      <c r="A8" s="9"/>
      <c r="B8" s="9"/>
      <c r="C8" s="9" t="s">
        <v>44</v>
      </c>
      <c r="D8" s="9" t="s">
        <v>44</v>
      </c>
      <c r="E8" s="9" t="s">
        <v>45</v>
      </c>
      <c r="F8" s="9" t="s">
        <v>41</v>
      </c>
      <c r="G8" s="10" t="s">
        <v>0</v>
      </c>
      <c r="H8" s="9" t="s">
        <v>46</v>
      </c>
      <c r="I8" s="9" t="s">
        <v>47</v>
      </c>
      <c r="J8" s="9"/>
      <c r="K8" s="9"/>
    </row>
    <row r="9" spans="1:11" s="11" customFormat="1" x14ac:dyDescent="0.2">
      <c r="A9" s="9"/>
      <c r="B9" s="12" t="s">
        <v>48</v>
      </c>
      <c r="C9" s="12" t="s">
        <v>49</v>
      </c>
      <c r="D9" s="12" t="s">
        <v>9</v>
      </c>
      <c r="E9" s="12" t="s">
        <v>50</v>
      </c>
      <c r="F9" s="12" t="s">
        <v>51</v>
      </c>
      <c r="G9" s="13"/>
      <c r="H9" s="12" t="s">
        <v>52</v>
      </c>
      <c r="I9" s="12" t="s">
        <v>53</v>
      </c>
      <c r="J9" s="9"/>
      <c r="K9" s="9"/>
    </row>
    <row r="10" spans="1:11" x14ac:dyDescent="0.2">
      <c r="A10" s="14">
        <v>2018</v>
      </c>
      <c r="B10" s="14">
        <v>1</v>
      </c>
      <c r="C10" s="15">
        <v>0.31556297476325346</v>
      </c>
      <c r="D10" s="16">
        <v>0.32954241454526556</v>
      </c>
      <c r="E10" s="17"/>
      <c r="F10" s="18">
        <v>0.31556297476325346</v>
      </c>
      <c r="G10" s="19" t="s">
        <v>87</v>
      </c>
      <c r="H10" s="4">
        <v>0.33134112350141615</v>
      </c>
      <c r="I10" s="17">
        <v>0.34601953527252877</v>
      </c>
      <c r="J10" s="20"/>
      <c r="K10" s="7"/>
    </row>
    <row r="11" spans="1:11" x14ac:dyDescent="0.2">
      <c r="A11" s="14">
        <f>A10+1</f>
        <v>2019</v>
      </c>
      <c r="B11" s="14">
        <v>2</v>
      </c>
      <c r="C11" s="15">
        <v>0.50433702880809039</v>
      </c>
      <c r="D11" s="16">
        <v>0.5500110459361528</v>
      </c>
      <c r="E11" s="21"/>
      <c r="F11" s="18">
        <v>0.81990000357134385</v>
      </c>
      <c r="G11" s="19" t="s">
        <v>87</v>
      </c>
      <c r="H11" s="4">
        <v>0.86089500374991113</v>
      </c>
      <c r="I11" s="17">
        <v>0.45925734917480915</v>
      </c>
      <c r="J11" s="22"/>
      <c r="K11" s="7"/>
    </row>
    <row r="12" spans="1:11" x14ac:dyDescent="0.2">
      <c r="A12" s="14">
        <f t="shared" ref="A12:A39" si="0">A11+1</f>
        <v>2020</v>
      </c>
      <c r="B12" s="14">
        <v>3</v>
      </c>
      <c r="C12" s="15">
        <v>0.49228077956990179</v>
      </c>
      <c r="D12" s="16">
        <v>0.56064598155358059</v>
      </c>
      <c r="E12" s="21"/>
      <c r="F12" s="18">
        <v>1.3121807831412458</v>
      </c>
      <c r="G12" s="19" t="s">
        <v>87</v>
      </c>
      <c r="H12" s="4">
        <v>1.377789822298308</v>
      </c>
      <c r="I12" s="17">
        <v>0.50054175379201138</v>
      </c>
      <c r="J12" s="22"/>
      <c r="K12" s="7"/>
    </row>
    <row r="13" spans="1:11" x14ac:dyDescent="0.2">
      <c r="A13" s="14">
        <f t="shared" si="0"/>
        <v>2021</v>
      </c>
      <c r="B13" s="14">
        <v>4</v>
      </c>
      <c r="C13" s="15">
        <v>0.56317576185891938</v>
      </c>
      <c r="D13" s="16">
        <v>0.66979988285132508</v>
      </c>
      <c r="E13" s="21"/>
      <c r="F13" s="18">
        <v>1.875356545000165</v>
      </c>
      <c r="G13" s="19" t="s">
        <v>87</v>
      </c>
      <c r="H13" s="4">
        <v>1.9691243722501734</v>
      </c>
      <c r="I13" s="17">
        <v>0.5479822322365776</v>
      </c>
      <c r="J13" s="22"/>
      <c r="K13" s="7"/>
    </row>
    <row r="14" spans="1:11" x14ac:dyDescent="0.2">
      <c r="A14" s="14">
        <f t="shared" si="0"/>
        <v>2022</v>
      </c>
      <c r="B14" s="14">
        <v>5</v>
      </c>
      <c r="C14" s="15">
        <v>0.55160362014714803</v>
      </c>
      <c r="D14" s="16">
        <v>0.68509925899553203</v>
      </c>
      <c r="E14" s="21"/>
      <c r="F14" s="18">
        <v>2.4269601651473129</v>
      </c>
      <c r="G14" s="23" t="s">
        <v>88</v>
      </c>
      <c r="H14" s="4">
        <v>2.6089821775333615</v>
      </c>
      <c r="I14" s="17">
        <v>0.59314552519252961</v>
      </c>
      <c r="J14" s="22"/>
      <c r="K14" s="7"/>
    </row>
    <row r="15" spans="1:11" x14ac:dyDescent="0.2">
      <c r="A15" s="14">
        <f t="shared" si="0"/>
        <v>2023</v>
      </c>
      <c r="B15" s="14">
        <v>6</v>
      </c>
      <c r="C15" s="15">
        <v>0.54311984730374618</v>
      </c>
      <c r="D15" s="16">
        <v>0.7044454065556387</v>
      </c>
      <c r="E15" s="21"/>
      <c r="F15" s="18">
        <v>2.9700800124510591</v>
      </c>
      <c r="G15" s="23" t="s">
        <v>88</v>
      </c>
      <c r="H15" s="4">
        <v>3.1928360133848885</v>
      </c>
      <c r="I15" s="17">
        <v>0.61762448092997424</v>
      </c>
      <c r="J15" s="22"/>
      <c r="K15" s="7"/>
    </row>
    <row r="16" spans="1:11" x14ac:dyDescent="0.2">
      <c r="A16" s="14">
        <f t="shared" si="0"/>
        <v>2024</v>
      </c>
      <c r="B16" s="14">
        <v>7</v>
      </c>
      <c r="C16" s="15">
        <v>0.5176150545297471</v>
      </c>
      <c r="D16" s="16">
        <v>0.70110626038314861</v>
      </c>
      <c r="E16" s="21"/>
      <c r="F16" s="18">
        <v>3.4876950669808062</v>
      </c>
      <c r="G16" s="23" t="s">
        <v>88</v>
      </c>
      <c r="H16" s="4">
        <v>3.7492721970043665</v>
      </c>
      <c r="I16" s="205">
        <v>0.63462808544953453</v>
      </c>
      <c r="J16" s="22"/>
      <c r="K16" s="7"/>
    </row>
    <row r="17" spans="1:11" x14ac:dyDescent="0.2">
      <c r="A17" s="14">
        <f t="shared" si="0"/>
        <v>2025</v>
      </c>
      <c r="B17" s="14">
        <v>8</v>
      </c>
      <c r="C17" s="15">
        <v>0.50785774243059956</v>
      </c>
      <c r="D17" s="16">
        <v>0.71836357288184671</v>
      </c>
      <c r="E17" s="21"/>
      <c r="F17" s="18">
        <v>3.9955528094114059</v>
      </c>
      <c r="G17" s="23" t="s">
        <v>88</v>
      </c>
      <c r="H17" s="4">
        <v>4.2952192701172613</v>
      </c>
      <c r="I17" s="17">
        <v>0.64933563653705961</v>
      </c>
      <c r="J17" s="22"/>
      <c r="K17" s="7"/>
    </row>
    <row r="18" spans="1:11" x14ac:dyDescent="0.2">
      <c r="A18" s="14">
        <f t="shared" si="0"/>
        <v>2026</v>
      </c>
      <c r="B18" s="14">
        <v>9</v>
      </c>
      <c r="C18" s="15">
        <v>0.47789440756542234</v>
      </c>
      <c r="D18" s="16">
        <v>0.70592644318628128</v>
      </c>
      <c r="E18" s="21"/>
      <c r="F18" s="18">
        <v>4.4734472169768287</v>
      </c>
      <c r="G18" s="23" t="s">
        <v>88</v>
      </c>
      <c r="H18" s="4">
        <v>4.8089557582500904</v>
      </c>
      <c r="I18" s="17">
        <v>0.65950500240289645</v>
      </c>
      <c r="J18" s="22"/>
      <c r="K18" s="7"/>
    </row>
    <row r="19" spans="1:11" x14ac:dyDescent="0.2">
      <c r="A19" s="14">
        <f t="shared" si="0"/>
        <v>2027</v>
      </c>
      <c r="B19" s="14">
        <v>10</v>
      </c>
      <c r="C19" s="15">
        <v>0.46958916400847045</v>
      </c>
      <c r="D19" s="16">
        <v>0.7243873320445624</v>
      </c>
      <c r="E19" s="21"/>
      <c r="F19" s="18">
        <v>4.9430363809852995</v>
      </c>
      <c r="G19" s="19" t="s">
        <v>89</v>
      </c>
      <c r="H19" s="4">
        <v>5.4373400190838295</v>
      </c>
      <c r="I19" s="205">
        <v>0.68480159620826098</v>
      </c>
      <c r="J19" s="22"/>
      <c r="K19" s="7"/>
    </row>
    <row r="20" spans="1:11" x14ac:dyDescent="0.2">
      <c r="A20" s="14">
        <f t="shared" si="0"/>
        <v>2028</v>
      </c>
      <c r="B20" s="14">
        <v>11</v>
      </c>
      <c r="C20" s="15">
        <v>0.45766623322992833</v>
      </c>
      <c r="D20" s="16">
        <v>0.73727062255942921</v>
      </c>
      <c r="E20" s="21"/>
      <c r="F20" s="18">
        <v>5.4007026142152279</v>
      </c>
      <c r="G20" s="19" t="s">
        <v>90</v>
      </c>
      <c r="H20" s="4">
        <v>5.9407728756367515</v>
      </c>
      <c r="I20" s="17">
        <v>0.69395230019979448</v>
      </c>
      <c r="J20" s="22"/>
      <c r="K20" s="7"/>
    </row>
    <row r="21" spans="1:11" x14ac:dyDescent="0.2">
      <c r="A21" s="14">
        <f t="shared" si="0"/>
        <v>2029</v>
      </c>
      <c r="B21" s="14">
        <v>12</v>
      </c>
      <c r="C21" s="15">
        <v>0.44717748162136667</v>
      </c>
      <c r="D21" s="16">
        <v>0.75228648873143189</v>
      </c>
      <c r="E21" s="21"/>
      <c r="F21" s="18">
        <v>5.8478800958365946</v>
      </c>
      <c r="G21" s="19" t="s">
        <v>90</v>
      </c>
      <c r="H21" s="4">
        <v>6.4326681054202544</v>
      </c>
      <c r="I21" s="17">
        <v>0.70262420017702643</v>
      </c>
      <c r="J21" s="22"/>
      <c r="K21" s="7"/>
    </row>
    <row r="22" spans="1:11" x14ac:dyDescent="0.2">
      <c r="A22" s="14">
        <f t="shared" si="0"/>
        <v>2030</v>
      </c>
      <c r="B22" s="14">
        <v>13</v>
      </c>
      <c r="C22" s="15">
        <v>0.43436293236281071</v>
      </c>
      <c r="D22" s="16">
        <v>0.76309985392017254</v>
      </c>
      <c r="E22" s="21"/>
      <c r="F22" s="18">
        <v>6.2822430281994057</v>
      </c>
      <c r="G22" s="19" t="s">
        <v>90</v>
      </c>
      <c r="H22" s="4">
        <v>6.9104673310193467</v>
      </c>
      <c r="I22" s="17">
        <v>0.71063080700719672</v>
      </c>
      <c r="J22" s="22"/>
      <c r="K22" s="7"/>
    </row>
    <row r="23" spans="1:11" x14ac:dyDescent="0.2">
      <c r="A23" s="14">
        <f t="shared" si="0"/>
        <v>2031</v>
      </c>
      <c r="B23" s="14">
        <v>14</v>
      </c>
      <c r="C23" s="15">
        <v>0.42442899674443824</v>
      </c>
      <c r="D23" s="16">
        <v>0.77867985448294341</v>
      </c>
      <c r="E23" s="21"/>
      <c r="F23" s="18">
        <v>6.7066720249438436</v>
      </c>
      <c r="G23" s="19" t="s">
        <v>90</v>
      </c>
      <c r="H23" s="4">
        <v>7.3773392274382283</v>
      </c>
      <c r="I23" s="17">
        <v>0.71837549369257181</v>
      </c>
      <c r="J23" s="22"/>
      <c r="K23" s="7"/>
    </row>
    <row r="24" spans="1:11" x14ac:dyDescent="0.2">
      <c r="A24" s="14">
        <f t="shared" si="0"/>
        <v>2032</v>
      </c>
      <c r="B24" s="14">
        <v>15</v>
      </c>
      <c r="C24" s="15">
        <v>0.41475224885854761</v>
      </c>
      <c r="D24" s="16">
        <v>0.79463542042491175</v>
      </c>
      <c r="E24" s="21"/>
      <c r="F24" s="18">
        <v>7.1214242738023916</v>
      </c>
      <c r="G24" s="23" t="s">
        <v>91</v>
      </c>
      <c r="H24" s="4">
        <v>8.0116023080276904</v>
      </c>
      <c r="I24" s="205">
        <v>0.74240514612309938</v>
      </c>
      <c r="J24" s="22"/>
      <c r="K24" s="7"/>
    </row>
    <row r="25" spans="1:11" x14ac:dyDescent="0.2">
      <c r="A25" s="14">
        <f t="shared" si="0"/>
        <v>2033</v>
      </c>
      <c r="B25" s="14">
        <v>16</v>
      </c>
      <c r="C25" s="15">
        <v>0.40369945905691779</v>
      </c>
      <c r="D25" s="16">
        <v>0.8077233085395078</v>
      </c>
      <c r="E25" s="21"/>
      <c r="F25" s="18">
        <v>7.525123732859309</v>
      </c>
      <c r="G25" s="23" t="s">
        <v>91</v>
      </c>
      <c r="H25" s="4">
        <v>8.4657641994667223</v>
      </c>
      <c r="I25" s="17">
        <v>0.74976559409269039</v>
      </c>
      <c r="J25" s="22"/>
      <c r="K25" s="7"/>
    </row>
    <row r="26" spans="1:11" x14ac:dyDescent="0.2">
      <c r="A26" s="14">
        <f t="shared" si="0"/>
        <v>2034</v>
      </c>
      <c r="B26" s="14">
        <v>17</v>
      </c>
      <c r="C26" s="15">
        <v>0.39196314917160363</v>
      </c>
      <c r="D26" s="16">
        <v>0.81898314585805743</v>
      </c>
      <c r="E26" s="21"/>
      <c r="F26" s="18">
        <v>7.9170868820309126</v>
      </c>
      <c r="G26" s="23" t="s">
        <v>91</v>
      </c>
      <c r="H26" s="4">
        <v>8.9067227422847761</v>
      </c>
      <c r="I26" s="17">
        <v>0.75674299780866117</v>
      </c>
      <c r="J26" s="22"/>
      <c r="K26" s="7"/>
    </row>
    <row r="27" spans="1:11" x14ac:dyDescent="0.2">
      <c r="A27" s="14">
        <f t="shared" si="0"/>
        <v>2035</v>
      </c>
      <c r="B27" s="14">
        <v>18</v>
      </c>
      <c r="C27" s="15">
        <v>0.38301839622149897</v>
      </c>
      <c r="D27" s="16">
        <v>0.83574663669590832</v>
      </c>
      <c r="E27" s="21"/>
      <c r="F27" s="18">
        <v>8.3001052782524116</v>
      </c>
      <c r="G27" s="23" t="s">
        <v>91</v>
      </c>
      <c r="H27" s="4">
        <v>9.3376184380339637</v>
      </c>
      <c r="I27" s="17">
        <v>0.7636193085499644</v>
      </c>
      <c r="J27" s="22"/>
      <c r="K27" s="7"/>
    </row>
    <row r="28" spans="1:11" x14ac:dyDescent="0.2">
      <c r="A28" s="14">
        <f t="shared" si="0"/>
        <v>2036</v>
      </c>
      <c r="B28" s="14">
        <v>19</v>
      </c>
      <c r="C28" s="15">
        <v>0.37016343023976706</v>
      </c>
      <c r="D28" s="16">
        <v>0.84347806510542278</v>
      </c>
      <c r="E28" s="21"/>
      <c r="F28" s="18">
        <v>8.6702687084921788</v>
      </c>
      <c r="G28" s="23" t="s">
        <v>91</v>
      </c>
      <c r="H28" s="4">
        <v>9.7540522970537005</v>
      </c>
      <c r="I28" s="17">
        <v>0.77003890197278424</v>
      </c>
      <c r="J28" s="22"/>
      <c r="K28" s="7"/>
    </row>
    <row r="29" spans="1:11" x14ac:dyDescent="0.2">
      <c r="A29" s="14">
        <f t="shared" si="0"/>
        <v>2037</v>
      </c>
      <c r="B29" s="14">
        <v>20</v>
      </c>
      <c r="C29" s="15">
        <v>0.3603999134660974</v>
      </c>
      <c r="D29" s="16">
        <v>0.85761079328960488</v>
      </c>
      <c r="E29" s="21"/>
      <c r="F29" s="18">
        <v>9.0306686219582755</v>
      </c>
      <c r="G29" s="23" t="s">
        <v>91</v>
      </c>
      <c r="H29" s="4">
        <v>10.159502199703059</v>
      </c>
      <c r="I29" s="205">
        <v>0.7762931783784307</v>
      </c>
      <c r="J29" s="22"/>
      <c r="K29" s="7"/>
    </row>
    <row r="30" spans="1:11" x14ac:dyDescent="0.2">
      <c r="A30" s="14">
        <f t="shared" si="0"/>
        <v>2038</v>
      </c>
      <c r="B30" s="14">
        <v>21</v>
      </c>
      <c r="C30" s="15">
        <v>0.35201370462072151</v>
      </c>
      <c r="D30" s="16">
        <v>0.87476300915539729</v>
      </c>
      <c r="E30" s="21"/>
      <c r="F30" s="18">
        <v>9.3826823265789976</v>
      </c>
      <c r="G30" s="19" t="s">
        <v>92</v>
      </c>
      <c r="H30" s="4">
        <v>10.790084675565847</v>
      </c>
      <c r="I30" s="42">
        <v>0.79988126585284425</v>
      </c>
      <c r="J30" s="22"/>
      <c r="K30" s="7"/>
    </row>
    <row r="31" spans="1:11" x14ac:dyDescent="0.2">
      <c r="A31" s="14">
        <f t="shared" si="0"/>
        <v>2039</v>
      </c>
      <c r="B31" s="14">
        <v>22</v>
      </c>
      <c r="C31" s="15">
        <v>0.34382263594095175</v>
      </c>
      <c r="D31" s="16">
        <v>0.89225826933850505</v>
      </c>
      <c r="E31" s="21"/>
      <c r="F31" s="18">
        <v>9.7265049625199502</v>
      </c>
      <c r="G31" s="19" t="s">
        <v>92</v>
      </c>
      <c r="H31" s="4">
        <v>11.185480706897941</v>
      </c>
      <c r="I31" s="42">
        <v>0.80616380718637082</v>
      </c>
      <c r="J31" s="22"/>
      <c r="K31" s="7"/>
    </row>
    <row r="32" spans="1:11" x14ac:dyDescent="0.2">
      <c r="A32" s="14">
        <f t="shared" si="0"/>
        <v>2040</v>
      </c>
      <c r="B32" s="14">
        <v>23</v>
      </c>
      <c r="C32" s="15">
        <v>0.33582216667602299</v>
      </c>
      <c r="D32" s="16">
        <v>0.91010343472527522</v>
      </c>
      <c r="E32" s="21"/>
      <c r="F32" s="18">
        <v>10.062327129195973</v>
      </c>
      <c r="G32" s="19" t="s">
        <v>92</v>
      </c>
      <c r="H32" s="4">
        <v>11.571676198575368</v>
      </c>
      <c r="I32" s="42">
        <v>0.81239286705349778</v>
      </c>
      <c r="J32" s="22"/>
      <c r="K32" s="7"/>
    </row>
    <row r="33" spans="1:11" x14ac:dyDescent="0.2">
      <c r="A33" s="14">
        <f t="shared" si="0"/>
        <v>2041</v>
      </c>
      <c r="B33" s="14">
        <v>24</v>
      </c>
      <c r="C33" s="15">
        <v>0.32800786173469643</v>
      </c>
      <c r="D33" s="16">
        <v>0.92830550341978069</v>
      </c>
      <c r="E33" s="21"/>
      <c r="F33" s="18">
        <v>10.390334990930668</v>
      </c>
      <c r="G33" s="19" t="s">
        <v>92</v>
      </c>
      <c r="H33" s="4">
        <v>11.948885239570268</v>
      </c>
      <c r="I33" s="42">
        <v>0.81856920879183415</v>
      </c>
      <c r="J33" s="22"/>
      <c r="K33" s="7"/>
    </row>
    <row r="34" spans="1:11" x14ac:dyDescent="0.2">
      <c r="A34" s="14">
        <f t="shared" si="0"/>
        <v>2042</v>
      </c>
      <c r="B34" s="14">
        <v>25</v>
      </c>
      <c r="C34" s="15">
        <v>0.32037538922664982</v>
      </c>
      <c r="D34" s="16">
        <v>0.9468716134881765</v>
      </c>
      <c r="E34" s="21"/>
      <c r="F34" s="18">
        <v>10.710710380157318</v>
      </c>
      <c r="G34" s="19" t="s">
        <v>92</v>
      </c>
      <c r="H34" s="4">
        <v>12.317316937180914</v>
      </c>
      <c r="I34" s="42">
        <v>0.82469332911371385</v>
      </c>
      <c r="J34" s="22"/>
      <c r="K34" s="7"/>
    </row>
    <row r="35" spans="1:11" x14ac:dyDescent="0.2">
      <c r="A35" s="14">
        <f t="shared" si="0"/>
        <v>2043</v>
      </c>
      <c r="B35" s="14">
        <v>26</v>
      </c>
      <c r="C35" s="15">
        <v>0.31292051806107712</v>
      </c>
      <c r="D35" s="16">
        <v>0.96580904575794002</v>
      </c>
      <c r="E35" s="21"/>
      <c r="F35" s="18">
        <v>11.023630898218395</v>
      </c>
      <c r="G35" s="23" t="s">
        <v>93</v>
      </c>
      <c r="H35" s="4">
        <v>12.952766305406614</v>
      </c>
      <c r="I35" s="42">
        <v>0.84882563596266958</v>
      </c>
      <c r="J35" s="22"/>
      <c r="K35" s="7"/>
    </row>
    <row r="36" spans="1:11" x14ac:dyDescent="0.2">
      <c r="A36" s="14">
        <f t="shared" si="0"/>
        <v>2044</v>
      </c>
      <c r="B36" s="14">
        <v>27</v>
      </c>
      <c r="C36" s="15">
        <v>0.30563911560116697</v>
      </c>
      <c r="D36" s="16">
        <v>0.98512522667309899</v>
      </c>
      <c r="E36" s="21"/>
      <c r="F36" s="18">
        <v>11.329270013819562</v>
      </c>
      <c r="G36" s="23" t="s">
        <v>93</v>
      </c>
      <c r="H36" s="4">
        <v>13.311892266237985</v>
      </c>
      <c r="I36" s="42">
        <v>0.85497689179152647</v>
      </c>
      <c r="J36" s="22"/>
      <c r="K36" s="7"/>
    </row>
    <row r="37" spans="1:11" x14ac:dyDescent="0.2">
      <c r="A37" s="14">
        <f t="shared" si="0"/>
        <v>2045</v>
      </c>
      <c r="B37" s="14">
        <v>28</v>
      </c>
      <c r="C37" s="15">
        <v>0.29852714537315933</v>
      </c>
      <c r="D37" s="16">
        <v>1.0048277312065605</v>
      </c>
      <c r="E37" s="21"/>
      <c r="F37" s="18">
        <v>11.62779715919272</v>
      </c>
      <c r="G37" s="23" t="s">
        <v>93</v>
      </c>
      <c r="H37" s="4">
        <v>13.662661662051446</v>
      </c>
      <c r="I37" s="42">
        <v>0.86107520888402445</v>
      </c>
      <c r="J37" s="22"/>
      <c r="K37" s="7"/>
    </row>
    <row r="38" spans="1:11" x14ac:dyDescent="0.2">
      <c r="A38" s="14">
        <f t="shared" si="0"/>
        <v>2046</v>
      </c>
      <c r="B38" s="14">
        <v>29</v>
      </c>
      <c r="C38" s="15">
        <v>0.2915806648287107</v>
      </c>
      <c r="D38" s="16">
        <v>1.0249242858306922</v>
      </c>
      <c r="E38" s="21"/>
      <c r="F38" s="18">
        <v>11.919377824021431</v>
      </c>
      <c r="G38" s="23" t="s">
        <v>93</v>
      </c>
      <c r="H38" s="4">
        <v>14.005268943225182</v>
      </c>
      <c r="I38" s="42">
        <v>0.86712048176009582</v>
      </c>
      <c r="J38" s="22"/>
      <c r="K38" s="7"/>
    </row>
    <row r="39" spans="1:11" x14ac:dyDescent="0.2">
      <c r="A39" s="14">
        <f t="shared" si="0"/>
        <v>2047</v>
      </c>
      <c r="B39" s="14">
        <v>30</v>
      </c>
      <c r="C39" s="15">
        <v>0.28479582315932678</v>
      </c>
      <c r="D39" s="16">
        <v>1.0454227715473059</v>
      </c>
      <c r="E39" s="21"/>
      <c r="F39" s="18">
        <v>12.204173647180758</v>
      </c>
      <c r="G39" s="23" t="s">
        <v>93</v>
      </c>
      <c r="H39" s="4">
        <v>14.339904035437391</v>
      </c>
      <c r="I39" s="42">
        <v>0.87311252615146162</v>
      </c>
      <c r="J39" s="22"/>
      <c r="K39" s="7"/>
    </row>
    <row r="40" spans="1:11" x14ac:dyDescent="0.2">
      <c r="A40" s="14"/>
      <c r="B40" s="14"/>
      <c r="C40" s="15"/>
      <c r="D40" s="16"/>
      <c r="E40" s="21"/>
      <c r="F40" s="18"/>
      <c r="G40" s="19"/>
      <c r="H40" s="4"/>
      <c r="I40" s="24"/>
      <c r="J40" s="22"/>
      <c r="K40" s="7"/>
    </row>
    <row r="41" spans="1:11" x14ac:dyDescent="0.2">
      <c r="A41" s="14"/>
      <c r="B41" s="14"/>
      <c r="C41" s="15"/>
      <c r="D41" s="16"/>
      <c r="E41" s="21"/>
      <c r="F41" s="18"/>
      <c r="G41" s="19"/>
      <c r="H41" s="4"/>
      <c r="I41" s="24"/>
      <c r="J41" s="22"/>
      <c r="K41" s="7"/>
    </row>
    <row r="42" spans="1:11" x14ac:dyDescent="0.2">
      <c r="A42" s="14"/>
      <c r="B42" s="14"/>
      <c r="C42" s="15"/>
      <c r="D42" s="16"/>
      <c r="E42" s="21"/>
      <c r="F42" s="18"/>
      <c r="G42" s="19"/>
      <c r="H42" s="4"/>
      <c r="I42" s="24"/>
      <c r="J42" s="22"/>
      <c r="K42" s="7"/>
    </row>
    <row r="43" spans="1:11" x14ac:dyDescent="0.2">
      <c r="A43" s="14"/>
      <c r="B43" s="14"/>
      <c r="C43" s="15"/>
      <c r="D43" s="16"/>
      <c r="E43" s="21"/>
      <c r="F43" s="18"/>
      <c r="G43" s="19"/>
      <c r="H43" s="4"/>
      <c r="I43" s="24"/>
      <c r="J43" s="22"/>
      <c r="K43" s="7"/>
    </row>
    <row r="44" spans="1:11" x14ac:dyDescent="0.2">
      <c r="A44" s="14"/>
      <c r="B44" s="14"/>
      <c r="C44" s="15"/>
      <c r="D44" s="16"/>
      <c r="E44" s="21"/>
      <c r="F44" s="18"/>
      <c r="G44" s="19"/>
      <c r="H44" s="4"/>
      <c r="I44" s="17"/>
      <c r="J44" s="22"/>
      <c r="K44" s="7"/>
    </row>
    <row r="45" spans="1:11" x14ac:dyDescent="0.2">
      <c r="A45" s="14"/>
      <c r="B45" s="14"/>
      <c r="C45" s="15"/>
      <c r="D45" s="16"/>
      <c r="E45" s="21"/>
      <c r="F45" s="18"/>
      <c r="G45" s="19"/>
      <c r="H45" s="4"/>
      <c r="I45" s="24"/>
      <c r="J45" s="22"/>
      <c r="K45" s="7"/>
    </row>
    <row r="46" spans="1:11" x14ac:dyDescent="0.2">
      <c r="A46" s="14"/>
      <c r="B46" s="14"/>
      <c r="C46" s="15"/>
      <c r="D46" s="16"/>
      <c r="E46" s="21"/>
      <c r="F46" s="18"/>
      <c r="G46" s="19"/>
      <c r="H46" s="4"/>
      <c r="I46" s="24"/>
      <c r="J46" s="22"/>
      <c r="K46" s="7"/>
    </row>
    <row r="47" spans="1:11" x14ac:dyDescent="0.2">
      <c r="A47" s="14"/>
      <c r="B47" s="14"/>
      <c r="C47" s="15"/>
      <c r="D47" s="16"/>
      <c r="E47" s="21"/>
      <c r="F47" s="18"/>
      <c r="G47" s="19"/>
      <c r="H47" s="4"/>
      <c r="I47" s="24"/>
      <c r="J47" s="22"/>
      <c r="K47" s="7"/>
    </row>
    <row r="48" spans="1:11" x14ac:dyDescent="0.2">
      <c r="A48" s="14"/>
      <c r="B48" s="14"/>
      <c r="C48" s="15"/>
      <c r="D48" s="16"/>
      <c r="E48" s="21"/>
      <c r="F48" s="18"/>
      <c r="G48" s="19"/>
      <c r="H48" s="4"/>
      <c r="I48" s="24"/>
      <c r="J48" s="22"/>
      <c r="K48" s="7"/>
    </row>
    <row r="49" spans="1:11" x14ac:dyDescent="0.2">
      <c r="A49" s="14"/>
      <c r="B49" s="14"/>
      <c r="C49" s="15"/>
      <c r="D49" s="16"/>
      <c r="E49" s="21"/>
      <c r="F49" s="18"/>
      <c r="G49" s="19"/>
      <c r="H49" s="4"/>
      <c r="I49" s="17"/>
      <c r="J49" s="22"/>
      <c r="K49" s="7"/>
    </row>
    <row r="50" spans="1:11" x14ac:dyDescent="0.2">
      <c r="A50" s="14"/>
      <c r="B50" s="14"/>
      <c r="C50" s="15"/>
      <c r="D50" s="16"/>
      <c r="E50" s="21"/>
      <c r="F50" s="18"/>
      <c r="G50" s="19"/>
      <c r="H50" s="4"/>
      <c r="I50" s="24"/>
      <c r="J50" s="22"/>
      <c r="K50" s="7"/>
    </row>
    <row r="51" spans="1:11" x14ac:dyDescent="0.2">
      <c r="A51" s="14"/>
      <c r="B51" s="14"/>
      <c r="C51" s="15"/>
      <c r="D51" s="16"/>
      <c r="E51" s="21"/>
      <c r="F51" s="18"/>
      <c r="G51" s="19"/>
      <c r="H51" s="4"/>
      <c r="I51" s="24"/>
      <c r="J51" s="22"/>
      <c r="K51" s="7"/>
    </row>
    <row r="52" spans="1:11" x14ac:dyDescent="0.2">
      <c r="A52" s="14"/>
      <c r="B52" s="14"/>
      <c r="C52" s="15"/>
      <c r="D52" s="16"/>
      <c r="E52" s="21"/>
      <c r="F52" s="18"/>
      <c r="G52" s="19"/>
      <c r="H52" s="4"/>
      <c r="I52" s="24"/>
      <c r="J52" s="22"/>
      <c r="K52" s="7"/>
    </row>
    <row r="53" spans="1:11" x14ac:dyDescent="0.2">
      <c r="A53" s="14"/>
      <c r="B53" s="14"/>
      <c r="C53" s="15"/>
      <c r="D53" s="16"/>
      <c r="E53" s="21"/>
      <c r="F53" s="18"/>
      <c r="G53" s="19"/>
      <c r="H53" s="4"/>
      <c r="I53" s="24"/>
      <c r="J53" s="22"/>
      <c r="K53" s="7"/>
    </row>
    <row r="54" spans="1:11" x14ac:dyDescent="0.2">
      <c r="A54" s="14"/>
      <c r="B54" s="14"/>
      <c r="C54" s="15"/>
      <c r="D54" s="16"/>
      <c r="E54" s="21"/>
      <c r="F54" s="18"/>
      <c r="G54" s="19"/>
      <c r="H54" s="4"/>
      <c r="I54" s="17"/>
      <c r="J54" s="22"/>
      <c r="K54" s="7"/>
    </row>
    <row r="55" spans="1:1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">
      <c r="A56" s="25" t="s">
        <v>54</v>
      </c>
      <c r="B56" s="7"/>
      <c r="C56" s="7"/>
      <c r="D56" s="7"/>
      <c r="E56" s="26">
        <v>4.1700000000000001E-2</v>
      </c>
      <c r="F56" s="26"/>
      <c r="G56" s="26"/>
      <c r="H56" s="26"/>
      <c r="I56" s="7"/>
      <c r="J56" s="7"/>
      <c r="K56" s="7"/>
    </row>
    <row r="57" spans="1:11" x14ac:dyDescent="0.2">
      <c r="C57" s="8" t="s">
        <v>55</v>
      </c>
      <c r="E57" s="27">
        <v>7.6310000000000003E-2</v>
      </c>
    </row>
    <row r="58" spans="1:11" x14ac:dyDescent="0.2">
      <c r="C58" s="8" t="s">
        <v>56</v>
      </c>
      <c r="E58" s="28">
        <v>7.6310000000000003E-2</v>
      </c>
    </row>
    <row r="59" spans="1:11" x14ac:dyDescent="0.2">
      <c r="C59" s="8" t="s">
        <v>57</v>
      </c>
      <c r="E59" s="29">
        <v>2.5999999999999999E-2</v>
      </c>
      <c r="F59" s="30" t="s">
        <v>58</v>
      </c>
      <c r="G59" s="30"/>
      <c r="H59" s="30"/>
    </row>
  </sheetData>
  <mergeCells count="4">
    <mergeCell ref="A1:I1"/>
    <mergeCell ref="A2:I2"/>
    <mergeCell ref="A3:I3"/>
    <mergeCell ref="A4:I4"/>
  </mergeCells>
  <phoneticPr fontId="6" type="noConversion"/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7751DFD7E83E34CB21BE4AB19CE8F4B" ma:contentTypeVersion="56" ma:contentTypeDescription="" ma:contentTypeScope="" ma:versionID="61cbe573505b2a41c58c83782add8c4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2019-11-15T08:00:00+00:00</OpenedDate>
    <SignificantOrder xmlns="dc463f71-b30c-4ab2-9473-d307f9d35888">false</SignificantOrder>
    <Date1 xmlns="dc463f71-b30c-4ab2-9473-d307f9d35888">2021-06-01T07:00:00+00:00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190957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3109F4-683F-41C0-AB03-F911C6215E22}"/>
</file>

<file path=customXml/itemProps2.xml><?xml version="1.0" encoding="utf-8"?>
<ds:datastoreItem xmlns:ds="http://schemas.openxmlformats.org/officeDocument/2006/customXml" ds:itemID="{D6BE0149-CE1B-45D8-9626-7923949D7B79}"/>
</file>

<file path=customXml/itemProps3.xml><?xml version="1.0" encoding="utf-8"?>
<ds:datastoreItem xmlns:ds="http://schemas.openxmlformats.org/officeDocument/2006/customXml" ds:itemID="{BD44E05A-CC12-4F47-B9F5-B5B256895A70}"/>
</file>

<file path=customXml/itemProps4.xml><?xml version="1.0" encoding="utf-8"?>
<ds:datastoreItem xmlns:ds="http://schemas.openxmlformats.org/officeDocument/2006/customXml" ds:itemID="{50781859-996F-4BFC-86C5-7815127771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TOTAL FIRST YEAR</vt:lpstr>
      <vt:lpstr>APP 2885</vt:lpstr>
      <vt:lpstr>AC</vt:lpstr>
      <vt:lpstr>'TOTAL FIRST YEAR'!OffsetAnchor</vt:lpstr>
      <vt:lpstr>'TOTAL FIRST YEAR'!Print_Area</vt:lpstr>
    </vt:vector>
  </TitlesOfParts>
  <Company>An MDU Resources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keywords>Unrestricted</cp:keywords>
  <cp:lastModifiedBy>Cowlishaw, Monica</cp:lastModifiedBy>
  <cp:lastPrinted>2017-01-26T18:03:28Z</cp:lastPrinted>
  <dcterms:created xsi:type="dcterms:W3CDTF">2009-05-07T23:09:45Z</dcterms:created>
  <dcterms:modified xsi:type="dcterms:W3CDTF">2021-04-30T20:54:19Z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ID">
    <vt:lpwstr>0</vt:lpwstr>
  </property>
  <property fmtid="{D5CDD505-2E9C-101B-9397-08002B2CF9AE}" pid="3" name="checkedProgramsCount">
    <vt:i4>0</vt:i4>
  </property>
  <property fmtid="{D5CDD505-2E9C-101B-9397-08002B2CF9AE}" pid="4" name="LM SIP Document Sensitivity">
    <vt:lpwstr/>
  </property>
  <property fmtid="{D5CDD505-2E9C-101B-9397-08002B2CF9AE}" pid="5" name="Document Author">
    <vt:lpwstr>ACCT04\e320856</vt:lpwstr>
  </property>
  <property fmtid="{D5CDD505-2E9C-101B-9397-08002B2CF9AE}" pid="6" name="Document Sensitivity">
    <vt:lpwstr>1</vt:lpwstr>
  </property>
  <property fmtid="{D5CDD505-2E9C-101B-9397-08002B2CF9AE}" pid="7" name="ThirdParty">
    <vt:lpwstr/>
  </property>
  <property fmtid="{D5CDD505-2E9C-101B-9397-08002B2CF9AE}" pid="8" name="OCI Restriction">
    <vt:bool>false</vt:bool>
  </property>
  <property fmtid="{D5CDD505-2E9C-101B-9397-08002B2CF9AE}" pid="9" name="OCI Additional Info">
    <vt:lpwstr/>
  </property>
  <property fmtid="{D5CDD505-2E9C-101B-9397-08002B2CF9AE}" pid="10" name="Allow Header Overwrite">
    <vt:bool>false</vt:bool>
  </property>
  <property fmtid="{D5CDD505-2E9C-101B-9397-08002B2CF9AE}" pid="11" name="Allow Footer Overwrite">
    <vt:bool>false</vt:bool>
  </property>
  <property fmtid="{D5CDD505-2E9C-101B-9397-08002B2CF9AE}" pid="12" name="Multiple Selected">
    <vt:lpwstr>-1</vt:lpwstr>
  </property>
  <property fmtid="{D5CDD505-2E9C-101B-9397-08002B2CF9AE}" pid="13" name="SIPLongWording">
    <vt:lpwstr>_x000d_
_x000d_
</vt:lpwstr>
  </property>
  <property fmtid="{D5CDD505-2E9C-101B-9397-08002B2CF9AE}" pid="14" name="ExpCountry">
    <vt:lpwstr/>
  </property>
  <property fmtid="{D5CDD505-2E9C-101B-9397-08002B2CF9AE}" pid="15" name="ContentTypeId">
    <vt:lpwstr>0x0101006E56B4D1795A2E4DB2F0B01679ED314A00B7751DFD7E83E34CB21BE4AB19CE8F4B</vt:lpwstr>
  </property>
  <property fmtid="{D5CDD505-2E9C-101B-9397-08002B2CF9AE}" pid="16" name="_docset_NoMedatataSyncRequired">
    <vt:lpwstr>False</vt:lpwstr>
  </property>
  <property fmtid="{D5CDD505-2E9C-101B-9397-08002B2CF9AE}" pid="17" name="IsEFSEC">
    <vt:bool>false</vt:bool>
  </property>
</Properties>
</file>