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Decoupling Mechanisms\Tariff Filings\2018 Def WA Sch 75-175\Original work papers\2018 WA Earnings Test\"/>
    </mc:Choice>
  </mc:AlternateContent>
  <bookViews>
    <workbookView xWindow="0" yWindow="0" windowWidth="28800" windowHeight="13020"/>
  </bookViews>
  <sheets>
    <sheet name="ADJ SUMMARY" sheetId="3" r:id="rId1"/>
    <sheet name="ADJ DETAIL INPUT" sheetId="1" r:id="rId2"/>
    <sheet name="RR SUMMARY" sheetId="55" r:id="rId3"/>
    <sheet name="CF" sheetId="56" r:id="rId4"/>
    <sheet name="Acerno_Cache_XXXXX" sheetId="78" state="veryHidden" r:id="rId5"/>
    <sheet name="DEBT CALC" sheetId="75" r:id="rId6"/>
    <sheet name="ROO INPUT" sheetId="5" r:id="rId7"/>
    <sheet name="LEAD SHEETS-DO NOT ENTER" sheetId="76" r:id="rId8"/>
  </sheets>
  <externalReferences>
    <externalReference r:id="rId9"/>
    <externalReference r:id="rId10"/>
    <externalReference r:id="rId11"/>
  </externalReferences>
  <definedNames>
    <definedName name="ID_Elec" localSheetId="3">[1]DebtCalc!#REF!</definedName>
    <definedName name="ID_Elec" localSheetId="5">'DEBT CALC'!$A$65:$F$142</definedName>
    <definedName name="ID_Elec" localSheetId="7">#REF!</definedName>
    <definedName name="ID_Elec" localSheetId="2">[2]DebtCalc!#REF!</definedName>
    <definedName name="ID_Gas" localSheetId="5">'DEBT CALC'!#REF!</definedName>
    <definedName name="ID_Gas" localSheetId="7">#REF!</definedName>
    <definedName name="_xlnm.Print_Area" localSheetId="1">'ADJ DETAIL INPUT'!$A$2:$AC$82</definedName>
    <definedName name="_xlnm.Print_Area" localSheetId="0">'ADJ SUMMARY'!$A$1:$F$33</definedName>
    <definedName name="_xlnm.Print_Area" localSheetId="3">CF!$A$1:$F$29</definedName>
    <definedName name="_xlnm.Print_Area" localSheetId="5">'DEBT CALC'!$A$1:$H$43</definedName>
    <definedName name="_xlnm.Print_Area" localSheetId="7">'LEAD SHEETS-DO NOT ENTER'!$A$2:$W$82</definedName>
    <definedName name="_xlnm.Print_Area" localSheetId="6">'ROO INPUT'!$A$3:$G$82</definedName>
    <definedName name="_xlnm.Print_Area" localSheetId="2">'RR SUMMARY'!$J$1:$N$16</definedName>
    <definedName name="Print_for_Checking" localSheetId="5">'[3]ADJ SUMMARY'!$A$1:'[3]ADJ SUMMARY'!#REF!</definedName>
    <definedName name="_xlnm.Print_Titles" localSheetId="1">'ADJ DETAIL INPUT'!$A:$D,'ADJ DETAIL INPUT'!$2:$10</definedName>
    <definedName name="_xlnm.Print_Titles" localSheetId="7">'LEAD SHEETS-DO NOT ENTER'!$A:$D,'LEAD SHEETS-DO NOT ENTER'!$2:$11</definedName>
    <definedName name="Summary" localSheetId="5">#REF!</definedName>
    <definedName name="Summary" localSheetId="7">#REF!</definedName>
    <definedName name="WA_Elec" localSheetId="3">[1]DebtCalc!#REF!</definedName>
    <definedName name="WA_Elec" localSheetId="5">'DEBT CALC'!$A$1:$F$64</definedName>
    <definedName name="WA_Elec" localSheetId="7">#REF!</definedName>
    <definedName name="WA_Elec" localSheetId="2">[2]DebtCalc!#REF!</definedName>
    <definedName name="WA_Gas" localSheetId="5">'DEBT CALC'!#REF!</definedName>
    <definedName name="WA_Gas" localSheetId="7">#REF!</definedName>
    <definedName name="Z_5BE913A1_B14F_11D2_B0DC_0000832CDFF0_.wvu.Cols" localSheetId="1" hidden="1">'ADJ DETAIL INPUT'!$W:$Y</definedName>
    <definedName name="Z_5BE913A1_B14F_11D2_B0DC_0000832CDFF0_.wvu.Cols" localSheetId="7" hidden="1">'LEAD SHEETS-DO NOT ENTER'!#REF!</definedName>
    <definedName name="Z_5BE913A1_B14F_11D2_B0DC_0000832CDFF0_.wvu.PrintArea" localSheetId="1" hidden="1">'ADJ DETAIL INPUT'!$E$11:$Y$82</definedName>
    <definedName name="Z_5BE913A1_B14F_11D2_B0DC_0000832CDFF0_.wvu.PrintArea" localSheetId="0" hidden="1">'ADJ SUMMARY'!$A$1:$F$27</definedName>
    <definedName name="Z_5BE913A1_B14F_11D2_B0DC_0000832CDFF0_.wvu.PrintArea" localSheetId="7" hidden="1">'LEAD SHEETS-DO NOT ENTER'!$E$12:$W$83</definedName>
    <definedName name="Z_5BE913A1_B14F_11D2_B0DC_0000832CDFF0_.wvu.PrintArea" localSheetId="6" hidden="1">'ROO INPUT'!$A$3:$G$82</definedName>
    <definedName name="Z_5BE913A1_B14F_11D2_B0DC_0000832CDFF0_.wvu.PrintTitles" localSheetId="1" hidden="1">'ADJ DETAIL INPUT'!$A:$D,'ADJ DETAIL INPUT'!$2:$10</definedName>
    <definedName name="Z_5BE913A1_B14F_11D2_B0DC_0000832CDFF0_.wvu.PrintTitles" localSheetId="7" hidden="1">'LEAD SHEETS-DO NOT ENTER'!$A:$D,'LEAD SHEETS-DO NOT ENTER'!$2:$11</definedName>
    <definedName name="Z_5BE913A1_B14F_11D2_B0DC_0000832CDFF0_.wvu.Rows" localSheetId="0" hidden="1">'ADJ SUMMARY'!$26:$26,'ADJ SUMMARY'!#REF!,'ADJ SUMMARY'!#REF!</definedName>
    <definedName name="Z_A15D1964_B049_11D2_8670_0000832CEEE8_.wvu.Cols" localSheetId="1" hidden="1">'ADJ DETAIL INPUT'!$W:$Y</definedName>
    <definedName name="Z_A15D1964_B049_11D2_8670_0000832CEEE8_.wvu.Cols" localSheetId="7" hidden="1">'LEAD SHEETS-DO NOT ENTER'!#REF!</definedName>
    <definedName name="Z_A15D1964_B049_11D2_8670_0000832CEEE8_.wvu.PrintArea" localSheetId="1" hidden="1">'ADJ DETAIL INPUT'!$E$11:$Y$82</definedName>
    <definedName name="Z_A15D1964_B049_11D2_8670_0000832CEEE8_.wvu.PrintArea" localSheetId="0" hidden="1">'ADJ SUMMARY'!$A$1:$F$27</definedName>
    <definedName name="Z_A15D1964_B049_11D2_8670_0000832CEEE8_.wvu.PrintArea" localSheetId="7" hidden="1">'LEAD SHEETS-DO NOT ENTER'!$E$12:$W$83</definedName>
    <definedName name="Z_A15D1964_B049_11D2_8670_0000832CEEE8_.wvu.PrintArea" localSheetId="6" hidden="1">'ROO INPUT'!$A$3:$G$82</definedName>
    <definedName name="Z_A15D1964_B049_11D2_8670_0000832CEEE8_.wvu.PrintTitles" localSheetId="1" hidden="1">'ADJ DETAIL INPUT'!$A:$D,'ADJ DETAIL INPUT'!$2:$10</definedName>
    <definedName name="Z_A15D1964_B049_11D2_8670_0000832CEEE8_.wvu.PrintTitles" localSheetId="7" hidden="1">'LEAD SHEETS-DO NOT ENTER'!$A:$D,'LEAD SHEETS-DO NOT ENTER'!$2:$11</definedName>
    <definedName name="Z_A15D1964_B049_11D2_8670_0000832CEEE8_.wvu.Rows" localSheetId="0" hidden="1">'ADJ SUMMARY'!$26:$26,'ADJ SUMMARY'!#REF!,'ADJ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E30" i="3" l="1"/>
  <c r="D30" i="3"/>
  <c r="C30" i="3"/>
  <c r="B30" i="3"/>
  <c r="A30" i="3"/>
  <c r="AA71" i="1"/>
  <c r="AA65" i="1"/>
  <c r="AA72" i="1" s="1"/>
  <c r="AA74" i="1" s="1"/>
  <c r="AA81" i="1" s="1"/>
  <c r="AA47" i="1"/>
  <c r="AA36" i="1"/>
  <c r="AA30" i="1"/>
  <c r="AA24" i="1"/>
  <c r="AA48" i="1" s="1"/>
  <c r="AA50" i="1" s="1"/>
  <c r="AA17" i="1"/>
  <c r="AA53" i="1" l="1"/>
  <c r="AA58" i="1" s="1"/>
  <c r="AA88" i="1" s="1"/>
  <c r="AA89" i="1" s="1"/>
  <c r="AA83" i="1" s="1"/>
  <c r="AA54" i="1"/>
  <c r="E31" i="3"/>
  <c r="C31" i="3"/>
  <c r="B31" i="3"/>
  <c r="A31" i="3"/>
  <c r="E29" i="3"/>
  <c r="C29" i="3"/>
  <c r="B29" i="3"/>
  <c r="A29" i="3"/>
  <c r="E28" i="3"/>
  <c r="C28" i="3"/>
  <c r="B28" i="3"/>
  <c r="A28" i="3"/>
  <c r="Y46" i="1" l="1"/>
  <c r="Y45" i="1"/>
  <c r="Y44" i="1"/>
  <c r="Y42" i="1"/>
  <c r="Y40" i="1"/>
  <c r="Y39" i="1"/>
  <c r="Y34" i="1"/>
  <c r="Y33" i="1"/>
  <c r="Y29" i="1"/>
  <c r="Y28" i="1"/>
  <c r="Y27" i="1"/>
  <c r="Y23" i="1"/>
  <c r="Y22" i="1"/>
  <c r="Y21" i="1"/>
  <c r="Y16" i="1"/>
  <c r="Y15" i="1"/>
  <c r="Y14" i="1"/>
  <c r="AC42" i="1"/>
  <c r="AB71" i="1"/>
  <c r="AB65" i="1"/>
  <c r="AB72" i="1" s="1"/>
  <c r="AB74" i="1" s="1"/>
  <c r="AB81" i="1" s="1"/>
  <c r="AB47" i="1"/>
  <c r="AB36" i="1"/>
  <c r="AB30" i="1"/>
  <c r="AB24" i="1"/>
  <c r="AB48" i="1" s="1"/>
  <c r="AB50" i="1" s="1"/>
  <c r="AB17" i="1"/>
  <c r="Z72" i="1"/>
  <c r="Z74" i="1" s="1"/>
  <c r="Z81" i="1" s="1"/>
  <c r="Z71" i="1"/>
  <c r="Z65" i="1"/>
  <c r="Z47" i="1"/>
  <c r="Z36" i="1"/>
  <c r="Z30" i="1"/>
  <c r="Z24" i="1"/>
  <c r="Z48" i="1" s="1"/>
  <c r="Z17" i="1"/>
  <c r="Y71" i="1"/>
  <c r="Y65" i="1"/>
  <c r="Y72" i="1" s="1"/>
  <c r="Y74" i="1" s="1"/>
  <c r="Y81" i="1" s="1"/>
  <c r="Y30" i="1"/>
  <c r="Y17" i="1"/>
  <c r="Z50" i="1" l="1"/>
  <c r="Z53" i="1" s="1"/>
  <c r="Y24" i="1"/>
  <c r="AB54" i="1"/>
  <c r="AB53" i="1"/>
  <c r="AB58" i="1" s="1"/>
  <c r="Z54" i="1"/>
  <c r="Y54" i="1"/>
  <c r="D31" i="3" l="1"/>
  <c r="Z58" i="1"/>
  <c r="L11" i="55"/>
  <c r="D29" i="3" l="1"/>
  <c r="F78" i="5"/>
  <c r="F305" i="5"/>
  <c r="F291" i="5"/>
  <c r="F36" i="5"/>
  <c r="F28" i="5"/>
  <c r="F24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I8" i="76" l="1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I66" i="76" l="1"/>
  <c r="I25" i="76"/>
  <c r="I72" i="76"/>
  <c r="I31" i="76"/>
  <c r="I48" i="76"/>
  <c r="I37" i="76"/>
  <c r="I18" i="76"/>
  <c r="I73" i="76" l="1"/>
  <c r="I75" i="76" s="1"/>
  <c r="I82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E21" i="56" l="1"/>
  <c r="E23" i="56" s="1"/>
  <c r="E25" i="56" l="1"/>
  <c r="E27" i="56" s="1"/>
  <c r="F21" i="55" s="1"/>
  <c r="N13" i="55"/>
  <c r="L15" i="55"/>
  <c r="N11" i="55"/>
  <c r="N15" i="55" l="1"/>
  <c r="F13" i="55" s="1"/>
  <c r="P12" i="55"/>
  <c r="I54" i="1" l="1"/>
  <c r="I58" i="1" s="1"/>
  <c r="E86" i="1"/>
  <c r="AB88" i="1" l="1"/>
  <c r="Z88" i="1"/>
  <c r="I55" i="76"/>
  <c r="I59" i="76" s="1"/>
  <c r="I88" i="1"/>
  <c r="D12" i="3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V54" i="76"/>
  <c r="V73" i="76"/>
  <c r="V75" i="76" s="1"/>
  <c r="V82" i="76" s="1"/>
  <c r="V49" i="76"/>
  <c r="V51" i="76" s="1"/>
  <c r="A3" i="76" l="1"/>
  <c r="F306" i="5" l="1"/>
  <c r="F307" i="5"/>
  <c r="U79" i="76" l="1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U37" i="76"/>
  <c r="U31" i="76"/>
  <c r="U48" i="76"/>
  <c r="U72" i="76"/>
  <c r="U49" i="76" l="1"/>
  <c r="U51" i="76" s="1"/>
  <c r="U73" i="76"/>
  <c r="U75" i="76" s="1"/>
  <c r="U82" i="76" s="1"/>
  <c r="S38" i="1" l="1"/>
  <c r="Y38" i="1" s="1"/>
  <c r="S43" i="1"/>
  <c r="Y43" i="1" s="1"/>
  <c r="Y47" i="1" l="1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46" i="5" s="1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9" i="5" l="1"/>
  <c r="F23" i="5"/>
  <c r="F18" i="5"/>
  <c r="F45" i="5"/>
  <c r="F31" i="5"/>
  <c r="F37" i="5"/>
  <c r="F48" i="5" l="1"/>
  <c r="F25" i="5"/>
  <c r="F49" i="5" l="1"/>
  <c r="F51" i="5" s="1"/>
  <c r="F59" i="5" s="1"/>
  <c r="R35" i="76" l="1"/>
  <c r="T43" i="1"/>
  <c r="T38" i="1"/>
  <c r="T35" i="1"/>
  <c r="S35" i="1"/>
  <c r="Y35" i="1" s="1"/>
  <c r="N17" i="1"/>
  <c r="N24" i="1"/>
  <c r="N30" i="1"/>
  <c r="N36" i="1"/>
  <c r="N47" i="1"/>
  <c r="N65" i="1"/>
  <c r="N71" i="1"/>
  <c r="Y36" i="1" l="1"/>
  <c r="Y48" i="1" s="1"/>
  <c r="Y50" i="1" s="1"/>
  <c r="N48" i="1"/>
  <c r="N50" i="1" s="1"/>
  <c r="N53" i="1" s="1"/>
  <c r="N72" i="1"/>
  <c r="N74" i="1" s="1"/>
  <c r="N81" i="1" s="1"/>
  <c r="N54" i="1" s="1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Y53" i="1" l="1"/>
  <c r="Y58" i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Y88" i="1" l="1"/>
  <c r="D28" i="3"/>
  <c r="T72" i="1"/>
  <c r="T74" i="1" s="1"/>
  <c r="T81" i="1" s="1"/>
  <c r="T54" i="1" s="1"/>
  <c r="T73" i="76"/>
  <c r="T75" i="76" s="1"/>
  <c r="T82" i="76" s="1"/>
  <c r="T49" i="76"/>
  <c r="T51" i="76" s="1"/>
  <c r="T48" i="1"/>
  <c r="T50" i="1" s="1"/>
  <c r="T53" i="1" s="1"/>
  <c r="E23" i="3" l="1"/>
  <c r="F26" i="75" s="1"/>
  <c r="G26" i="75" s="1"/>
  <c r="T54" i="76"/>
  <c r="G8" i="76" l="1"/>
  <c r="H8" i="76"/>
  <c r="J8" i="76"/>
  <c r="K8" i="76"/>
  <c r="L8" i="76"/>
  <c r="M8" i="76"/>
  <c r="N8" i="76"/>
  <c r="O8" i="76"/>
  <c r="P8" i="76"/>
  <c r="Q8" i="76"/>
  <c r="R8" i="76"/>
  <c r="S8" i="76"/>
  <c r="W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G10" i="76"/>
  <c r="J10" i="76"/>
  <c r="K10" i="76"/>
  <c r="N10" i="76"/>
  <c r="O10" i="76"/>
  <c r="P10" i="76"/>
  <c r="Q10" i="76"/>
  <c r="S10" i="76"/>
  <c r="W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G66" i="76" l="1"/>
  <c r="P18" i="76"/>
  <c r="J18" i="76"/>
  <c r="K72" i="76"/>
  <c r="O66" i="76"/>
  <c r="G18" i="76"/>
  <c r="H18" i="76"/>
  <c r="S72" i="76"/>
  <c r="O72" i="76"/>
  <c r="S66" i="76"/>
  <c r="K66" i="76"/>
  <c r="W72" i="76"/>
  <c r="W66" i="76"/>
  <c r="M18" i="76"/>
  <c r="H48" i="76"/>
  <c r="W48" i="76"/>
  <c r="S48" i="76"/>
  <c r="O48" i="76"/>
  <c r="K48" i="76"/>
  <c r="L72" i="76"/>
  <c r="G72" i="76"/>
  <c r="H25" i="76"/>
  <c r="W31" i="76"/>
  <c r="L18" i="76"/>
  <c r="G31" i="76"/>
  <c r="R31" i="76"/>
  <c r="J31" i="76"/>
  <c r="H31" i="76"/>
  <c r="L48" i="76"/>
  <c r="G48" i="76"/>
  <c r="N37" i="76"/>
  <c r="J37" i="76"/>
  <c r="H37" i="76"/>
  <c r="J25" i="76"/>
  <c r="M48" i="76"/>
  <c r="J48" i="76"/>
  <c r="P37" i="76"/>
  <c r="G37" i="76"/>
  <c r="R37" i="76"/>
  <c r="N31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P72" i="76"/>
  <c r="N48" i="76"/>
  <c r="R72" i="76"/>
  <c r="N72" i="76"/>
  <c r="J72" i="76"/>
  <c r="R66" i="76"/>
  <c r="N66" i="76"/>
  <c r="J66" i="76"/>
  <c r="Q66" i="76"/>
  <c r="M66" i="76"/>
  <c r="H66" i="76"/>
  <c r="W25" i="76"/>
  <c r="S25" i="76"/>
  <c r="O25" i="76"/>
  <c r="K25" i="76"/>
  <c r="W18" i="76"/>
  <c r="S18" i="76"/>
  <c r="O18" i="76"/>
  <c r="K18" i="76"/>
  <c r="Q72" i="76"/>
  <c r="M72" i="76"/>
  <c r="H72" i="76"/>
  <c r="S31" i="76"/>
  <c r="O31" i="76"/>
  <c r="K31" i="76"/>
  <c r="K73" i="76" l="1"/>
  <c r="K75" i="76" s="1"/>
  <c r="K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Q73" i="76"/>
  <c r="Q75" i="76" s="1"/>
  <c r="Q82" i="76" s="1"/>
  <c r="P73" i="76"/>
  <c r="P75" i="76" s="1"/>
  <c r="P82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M73" i="76"/>
  <c r="M75" i="76" s="1"/>
  <c r="M82" i="76" s="1"/>
  <c r="H73" i="76"/>
  <c r="H75" i="76" s="1"/>
  <c r="H82" i="76" s="1"/>
  <c r="O49" i="76"/>
  <c r="O51" i="76" s="1"/>
  <c r="O59" i="76" s="1"/>
  <c r="F79" i="76" l="1"/>
  <c r="F290" i="5" l="1"/>
  <c r="K10" i="1" l="1"/>
  <c r="K11" i="76" s="1"/>
  <c r="L10" i="1" l="1"/>
  <c r="L11" i="76" s="1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K54" i="76"/>
  <c r="P10" i="1" l="1"/>
  <c r="P11" i="76" s="1"/>
  <c r="Q10" i="1" l="1"/>
  <c r="Q11" i="76" s="1"/>
  <c r="AC56" i="55"/>
  <c r="AJ46" i="56"/>
  <c r="AF45" i="56"/>
  <c r="R10" i="1" l="1"/>
  <c r="R11" i="76" s="1"/>
  <c r="S10" i="1" l="1"/>
  <c r="T10" i="1" s="1"/>
  <c r="U10" i="1" s="1"/>
  <c r="V10" i="1" s="1"/>
  <c r="W10" i="1" s="1"/>
  <c r="U11" i="76" l="1"/>
  <c r="S11" i="76"/>
  <c r="A25" i="3" l="1"/>
  <c r="A28" i="75" s="1"/>
  <c r="V11" i="76"/>
  <c r="A23" i="3"/>
  <c r="A26" i="75" s="1"/>
  <c r="T11" i="76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3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E78" i="5" l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X77" i="1" s="1"/>
  <c r="AC77" i="1" s="1"/>
  <c r="E79" i="76"/>
  <c r="X45" i="1"/>
  <c r="AC45" i="1" s="1"/>
  <c r="E55" i="76"/>
  <c r="E78" i="76" l="1"/>
  <c r="A4" i="75"/>
  <c r="A68" i="75" s="1"/>
  <c r="B2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26" i="75"/>
  <c r="C125" i="75"/>
  <c r="F112" i="75"/>
  <c r="B112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F110" i="75" s="1"/>
  <c r="B72" i="75"/>
  <c r="A72" i="75"/>
  <c r="A66" i="75"/>
  <c r="A65" i="75"/>
  <c r="C63" i="75"/>
  <c r="C141" i="75" s="1"/>
  <c r="C62" i="75"/>
  <c r="C140" i="75" s="1"/>
  <c r="C59" i="75"/>
  <c r="C137" i="75" s="1"/>
  <c r="C58" i="75"/>
  <c r="C136" i="75" s="1"/>
  <c r="C55" i="75"/>
  <c r="C133" i="75" s="1"/>
  <c r="C54" i="75"/>
  <c r="C132" i="75" s="1"/>
  <c r="C53" i="75"/>
  <c r="C131" i="75" s="1"/>
  <c r="C49" i="75"/>
  <c r="E56" i="75" s="1"/>
  <c r="I10" i="75"/>
  <c r="F114" i="75" l="1"/>
  <c r="F118" i="75" s="1"/>
  <c r="F121" i="75" s="1"/>
  <c r="C64" i="75"/>
  <c r="D63" i="75" s="1"/>
  <c r="C127" i="75"/>
  <c r="E134" i="75" s="1"/>
  <c r="C134" i="75"/>
  <c r="D133" i="75" s="1"/>
  <c r="C138" i="75"/>
  <c r="D137" i="75" s="1"/>
  <c r="C142" i="75"/>
  <c r="D140" i="75" s="1"/>
  <c r="D142" i="75" s="1"/>
  <c r="C60" i="75"/>
  <c r="D58" i="75" s="1"/>
  <c r="C56" i="75"/>
  <c r="D54" i="75" s="1"/>
  <c r="E54" i="75" s="1"/>
  <c r="E64" i="75" s="1"/>
  <c r="D59" i="75" l="1"/>
  <c r="D60" i="75" s="1"/>
  <c r="D132" i="75"/>
  <c r="D62" i="75"/>
  <c r="D64" i="75" s="1"/>
  <c r="D131" i="75"/>
  <c r="E131" i="75" s="1"/>
  <c r="E138" i="75" s="1"/>
  <c r="E137" i="75" s="1"/>
  <c r="E133" i="75"/>
  <c r="D141" i="75"/>
  <c r="E63" i="75"/>
  <c r="D55" i="75"/>
  <c r="E55" i="75" s="1"/>
  <c r="D53" i="75"/>
  <c r="D136" i="75"/>
  <c r="D134" i="75" l="1"/>
  <c r="E132" i="75"/>
  <c r="E142" i="75" s="1"/>
  <c r="E140" i="75" s="1"/>
  <c r="E62" i="75"/>
  <c r="D56" i="75"/>
  <c r="E53" i="75"/>
  <c r="E60" i="75" s="1"/>
  <c r="E136" i="75"/>
  <c r="D138" i="75"/>
  <c r="E141" i="75" l="1"/>
  <c r="E58" i="75"/>
  <c r="E59" i="75"/>
  <c r="F24" i="1" l="1"/>
  <c r="G24" i="1"/>
  <c r="H24" i="1"/>
  <c r="S24" i="1"/>
  <c r="J24" i="1"/>
  <c r="L24" i="1"/>
  <c r="M24" i="1"/>
  <c r="O24" i="1"/>
  <c r="W24" i="1"/>
  <c r="X42" i="1" l="1"/>
  <c r="A4" i="1"/>
  <c r="A5" i="1"/>
  <c r="A5" i="76" s="1"/>
  <c r="A2" i="1"/>
  <c r="F10" i="1"/>
  <c r="A4" i="76" l="1"/>
  <c r="A4" i="3"/>
  <c r="A1" i="3"/>
  <c r="A2" i="76"/>
  <c r="A4" i="55"/>
  <c r="G10" i="1"/>
  <c r="G11" i="76" s="1"/>
  <c r="F11" i="76"/>
  <c r="H10" i="1" l="1"/>
  <c r="H11" i="76" l="1"/>
  <c r="I10" i="1"/>
  <c r="E28" i="5"/>
  <c r="E34" i="5"/>
  <c r="A12" i="3" l="1"/>
  <c r="A15" i="75" s="1"/>
  <c r="I11" i="76"/>
  <c r="X76" i="1" l="1"/>
  <c r="AC76" i="1" s="1"/>
  <c r="X78" i="1" l="1"/>
  <c r="AC78" i="1" s="1"/>
  <c r="E62" i="1" l="1"/>
  <c r="E68" i="1"/>
  <c r="E69" i="76" s="1"/>
  <c r="E69" i="1"/>
  <c r="E73" i="1"/>
  <c r="E75" i="1"/>
  <c r="E76" i="76" s="1"/>
  <c r="E14" i="1"/>
  <c r="X14" i="1" s="1"/>
  <c r="AC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C24" i="3"/>
  <c r="B27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E87" i="1"/>
  <c r="E63" i="76"/>
  <c r="E66" i="76" s="1"/>
  <c r="X62" i="1"/>
  <c r="AC62" i="1" s="1"/>
  <c r="E41" i="76"/>
  <c r="E15" i="76"/>
  <c r="X70" i="1"/>
  <c r="AC70" i="1" s="1"/>
  <c r="E71" i="76"/>
  <c r="X56" i="1"/>
  <c r="AC56" i="1" s="1"/>
  <c r="E57" i="76"/>
  <c r="E44" i="76"/>
  <c r="X35" i="1"/>
  <c r="AC35" i="1" s="1"/>
  <c r="E36" i="76"/>
  <c r="E37" i="76" s="1"/>
  <c r="E28" i="76"/>
  <c r="X73" i="1"/>
  <c r="AC73" i="1" s="1"/>
  <c r="E74" i="76"/>
  <c r="X46" i="1"/>
  <c r="AC46" i="1" s="1"/>
  <c r="E47" i="76"/>
  <c r="X55" i="1"/>
  <c r="AC55" i="1" s="1"/>
  <c r="E56" i="76"/>
  <c r="E25" i="76"/>
  <c r="X69" i="1"/>
  <c r="AC69" i="1" s="1"/>
  <c r="E70" i="76"/>
  <c r="X75" i="1"/>
  <c r="AC75" i="1" s="1"/>
  <c r="H29" i="5"/>
  <c r="E31" i="5"/>
  <c r="H31" i="5" s="1"/>
  <c r="X68" i="1"/>
  <c r="AC68" i="1" s="1"/>
  <c r="E71" i="1"/>
  <c r="E24" i="1"/>
  <c r="E47" i="1"/>
  <c r="E65" i="1"/>
  <c r="X43" i="1"/>
  <c r="AC43" i="1" s="1"/>
  <c r="X27" i="1"/>
  <c r="AC27" i="1" s="1"/>
  <c r="E30" i="1"/>
  <c r="X28" i="1"/>
  <c r="AC28" i="1" s="1"/>
  <c r="X38" i="1"/>
  <c r="AC38" i="1" s="1"/>
  <c r="X29" i="1"/>
  <c r="AC29" i="1" s="1"/>
  <c r="X23" i="1"/>
  <c r="AC23" i="1" s="1"/>
  <c r="X63" i="1"/>
  <c r="AC63" i="1" s="1"/>
  <c r="X39" i="1"/>
  <c r="AC39" i="1" s="1"/>
  <c r="X33" i="1"/>
  <c r="AC33" i="1" s="1"/>
  <c r="X21" i="1"/>
  <c r="AC21" i="1" s="1"/>
  <c r="X64" i="1"/>
  <c r="AC64" i="1" s="1"/>
  <c r="X40" i="1"/>
  <c r="AC40" i="1" s="1"/>
  <c r="X34" i="1"/>
  <c r="AC34" i="1" s="1"/>
  <c r="X22" i="1"/>
  <c r="AC22" i="1" s="1"/>
  <c r="X15" i="1"/>
  <c r="AC15" i="1" s="1"/>
  <c r="X44" i="1"/>
  <c r="AC44" i="1" s="1"/>
  <c r="W47" i="1"/>
  <c r="S71" i="1"/>
  <c r="E66" i="5"/>
  <c r="E48" i="5"/>
  <c r="H48" i="5" s="1"/>
  <c r="E18" i="5"/>
  <c r="H18" i="5" s="1"/>
  <c r="H17" i="5"/>
  <c r="E72" i="5"/>
  <c r="H72" i="5" s="1"/>
  <c r="E25" i="5"/>
  <c r="L47" i="1"/>
  <c r="O47" i="1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U65" i="1"/>
  <c r="P71" i="1"/>
  <c r="O65" i="1"/>
  <c r="L65" i="1"/>
  <c r="J71" i="1"/>
  <c r="G71" i="1"/>
  <c r="G47" i="1"/>
  <c r="J47" i="1"/>
  <c r="J65" i="1"/>
  <c r="G65" i="1"/>
  <c r="E16" i="1"/>
  <c r="AC65" i="1" l="1"/>
  <c r="AC71" i="1"/>
  <c r="AC24" i="1"/>
  <c r="AB89" i="1"/>
  <c r="AB83" i="1" s="1"/>
  <c r="Z89" i="1"/>
  <c r="Z83" i="1" s="1"/>
  <c r="Y89" i="1"/>
  <c r="Y83" i="1" s="1"/>
  <c r="AC36" i="1"/>
  <c r="AC30" i="1"/>
  <c r="AC47" i="1"/>
  <c r="AC72" i="1"/>
  <c r="AC74" i="1" s="1"/>
  <c r="AC81" i="1" s="1"/>
  <c r="I89" i="1"/>
  <c r="I83" i="1" s="1"/>
  <c r="W72" i="1"/>
  <c r="W74" i="1" s="1"/>
  <c r="W81" i="1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J48" i="1"/>
  <c r="J50" i="1" s="1"/>
  <c r="F48" i="1"/>
  <c r="F50" i="1" s="1"/>
  <c r="M48" i="1"/>
  <c r="M50" i="1" s="1"/>
  <c r="O48" i="1"/>
  <c r="O50" i="1" s="1"/>
  <c r="S48" i="1"/>
  <c r="S50" i="1" s="1"/>
  <c r="S53" i="1" s="1"/>
  <c r="G48" i="1"/>
  <c r="X47" i="1"/>
  <c r="X36" i="1"/>
  <c r="E49" i="5"/>
  <c r="E51" i="5" s="1"/>
  <c r="E59" i="5" s="1"/>
  <c r="E48" i="1"/>
  <c r="X24" i="1"/>
  <c r="X16" i="1"/>
  <c r="AC16" i="1" s="1"/>
  <c r="AC17" i="1" s="1"/>
  <c r="H25" i="5"/>
  <c r="U50" i="1"/>
  <c r="AC48" i="1" l="1"/>
  <c r="F53" i="1"/>
  <c r="F54" i="76" s="1"/>
  <c r="P53" i="1"/>
  <c r="P54" i="76" s="1"/>
  <c r="R53" i="1"/>
  <c r="R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E75" i="76"/>
  <c r="E82" i="76" s="1"/>
  <c r="X17" i="1"/>
  <c r="E49" i="76"/>
  <c r="E18" i="76"/>
  <c r="U81" i="1"/>
  <c r="S81" i="1"/>
  <c r="S54" i="1" s="1"/>
  <c r="O81" i="1"/>
  <c r="L81" i="1"/>
  <c r="L54" i="1" s="1"/>
  <c r="H82" i="5"/>
  <c r="J74" i="1"/>
  <c r="M74" i="1"/>
  <c r="P74" i="1"/>
  <c r="F74" i="1"/>
  <c r="R74" i="1"/>
  <c r="Q54" i="76"/>
  <c r="Q74" i="1"/>
  <c r="Q81" i="1" s="1"/>
  <c r="Q54" i="1" s="1"/>
  <c r="H74" i="1"/>
  <c r="H81" i="1" s="1"/>
  <c r="S54" i="76"/>
  <c r="L54" i="76"/>
  <c r="N54" i="76"/>
  <c r="H51" i="5"/>
  <c r="X71" i="1"/>
  <c r="X30" i="1"/>
  <c r="X48" i="1" s="1"/>
  <c r="H49" i="5"/>
  <c r="X65" i="1"/>
  <c r="G50" i="1"/>
  <c r="G53" i="1" s="1"/>
  <c r="E8" i="3"/>
  <c r="E11" i="75" s="1"/>
  <c r="E30" i="75" s="1"/>
  <c r="E50" i="1"/>
  <c r="E24" i="3" l="1"/>
  <c r="F27" i="75" s="1"/>
  <c r="G27" i="75" s="1"/>
  <c r="U54" i="1"/>
  <c r="E11" i="3"/>
  <c r="F14" i="75" s="1"/>
  <c r="G14" i="75" s="1"/>
  <c r="H54" i="1"/>
  <c r="E18" i="3"/>
  <c r="F21" i="75" s="1"/>
  <c r="G21" i="75" s="1"/>
  <c r="E22" i="3"/>
  <c r="F25" i="75" s="1"/>
  <c r="G25" i="75" s="1"/>
  <c r="X72" i="1"/>
  <c r="X74" i="1" s="1"/>
  <c r="X81" i="1" s="1"/>
  <c r="E15" i="3"/>
  <c r="F18" i="75" s="1"/>
  <c r="G18" i="75" s="1"/>
  <c r="E20" i="3"/>
  <c r="F23" i="75" s="1"/>
  <c r="G23" i="75" s="1"/>
  <c r="E51" i="76"/>
  <c r="E59" i="76" s="1"/>
  <c r="E17" i="3"/>
  <c r="F20" i="75" s="1"/>
  <c r="G20" i="75" s="1"/>
  <c r="G54" i="76"/>
  <c r="P81" i="1"/>
  <c r="J81" i="1"/>
  <c r="J54" i="1" s="1"/>
  <c r="M81" i="1"/>
  <c r="M54" i="1" s="1"/>
  <c r="R81" i="1"/>
  <c r="R54" i="1" s="1"/>
  <c r="F81" i="1"/>
  <c r="F54" i="1" s="1"/>
  <c r="X50" i="1"/>
  <c r="AC50" i="1" s="1"/>
  <c r="E58" i="1"/>
  <c r="E82" i="1" s="1"/>
  <c r="G11" i="75"/>
  <c r="E19" i="3" l="1"/>
  <c r="F22" i="75" s="1"/>
  <c r="G22" i="75" s="1"/>
  <c r="P54" i="1"/>
  <c r="E21" i="3"/>
  <c r="F24" i="75" s="1"/>
  <c r="G24" i="75" s="1"/>
  <c r="E13" i="3"/>
  <c r="F16" i="75" s="1"/>
  <c r="O58" i="1"/>
  <c r="E16" i="3"/>
  <c r="F19" i="75" s="1"/>
  <c r="G19" i="75" s="1"/>
  <c r="E9" i="3"/>
  <c r="F12" i="75" s="1"/>
  <c r="H59" i="5"/>
  <c r="E84" i="5"/>
  <c r="D8" i="3"/>
  <c r="F30" i="75" l="1"/>
  <c r="G16" i="75"/>
  <c r="G12" i="75"/>
  <c r="D18" i="3"/>
  <c r="E27" i="3"/>
  <c r="E32" i="3" s="1"/>
  <c r="G30" i="75" l="1"/>
  <c r="F25" i="55" l="1"/>
  <c r="F11" i="55" l="1"/>
  <c r="A13" i="3" l="1"/>
  <c r="A16" i="75" s="1"/>
  <c r="A14" i="3" l="1"/>
  <c r="A17" i="75" s="1"/>
  <c r="A15" i="3" l="1"/>
  <c r="A18" i="75" s="1"/>
  <c r="A16" i="3" l="1"/>
  <c r="A19" i="75" s="1"/>
  <c r="A17" i="3" l="1"/>
  <c r="A20" i="75" s="1"/>
  <c r="A18" i="3" l="1"/>
  <c r="A21" i="75" s="1"/>
  <c r="A19" i="3" l="1"/>
  <c r="A22" i="75" s="1"/>
  <c r="A20" i="3" l="1"/>
  <c r="A23" i="75" s="1"/>
  <c r="A21" i="3" l="1"/>
  <c r="A24" i="75" s="1"/>
  <c r="A22" i="3" l="1"/>
  <c r="A25" i="75" s="1"/>
  <c r="A24" i="3" l="1"/>
  <c r="A27" i="75" s="1"/>
  <c r="E8" i="75" l="1"/>
  <c r="A26" i="3"/>
  <c r="A29" i="75" s="1"/>
  <c r="E34" i="75" l="1"/>
  <c r="I15" i="75" s="1"/>
  <c r="S55" i="76"/>
  <c r="S59" i="76" s="1"/>
  <c r="E88" i="1"/>
  <c r="E89" i="1" s="1"/>
  <c r="E83" i="1" s="1"/>
  <c r="G55" i="76"/>
  <c r="G59" i="76" s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H55" i="76"/>
  <c r="H59" i="76" s="1"/>
  <c r="T55" i="76"/>
  <c r="T59" i="76" s="1"/>
  <c r="U55" i="76"/>
  <c r="U59" i="76" s="1"/>
  <c r="F58" i="1"/>
  <c r="E36" i="75" l="1"/>
  <c r="E40" i="75" s="1"/>
  <c r="V55" i="76"/>
  <c r="V59" i="76" s="1"/>
  <c r="V58" i="1"/>
  <c r="V88" i="1" s="1"/>
  <c r="I18" i="75"/>
  <c r="I20" i="75"/>
  <c r="I24" i="75"/>
  <c r="I21" i="75"/>
  <c r="I25" i="75"/>
  <c r="I28" i="75"/>
  <c r="I23" i="75"/>
  <c r="I22" i="75"/>
  <c r="I29" i="75"/>
  <c r="I27" i="75"/>
  <c r="I26" i="75"/>
  <c r="I19" i="75"/>
  <c r="I17" i="75"/>
  <c r="S58" i="1"/>
  <c r="D22" i="3" s="1"/>
  <c r="O88" i="1"/>
  <c r="G58" i="1"/>
  <c r="I12" i="75"/>
  <c r="I16" i="75"/>
  <c r="R55" i="76"/>
  <c r="R59" i="76" s="1"/>
  <c r="I13" i="75"/>
  <c r="J58" i="1"/>
  <c r="F34" i="75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U58" i="1"/>
  <c r="D24" i="3" s="1"/>
  <c r="T58" i="1"/>
  <c r="D23" i="3" s="1"/>
  <c r="L55" i="76"/>
  <c r="L59" i="76" s="1"/>
  <c r="H58" i="1"/>
  <c r="D11" i="3" s="1"/>
  <c r="X54" i="1"/>
  <c r="AC54" i="1" s="1"/>
  <c r="Q55" i="76"/>
  <c r="Q59" i="76" s="1"/>
  <c r="Q58" i="1"/>
  <c r="D9" i="3"/>
  <c r="F88" i="1"/>
  <c r="D15" i="3"/>
  <c r="L88" i="1"/>
  <c r="D19" i="3"/>
  <c r="P88" i="1"/>
  <c r="D21" i="3"/>
  <c r="R88" i="1"/>
  <c r="I30" i="75" l="1"/>
  <c r="R89" i="1"/>
  <c r="R83" i="1" s="1"/>
  <c r="L89" i="1"/>
  <c r="L83" i="1" s="1"/>
  <c r="V89" i="1"/>
  <c r="V83" i="1" s="1"/>
  <c r="O89" i="1"/>
  <c r="O83" i="1" s="1"/>
  <c r="P89" i="1"/>
  <c r="P83" i="1" s="1"/>
  <c r="F89" i="1"/>
  <c r="F83" i="1" s="1"/>
  <c r="D25" i="3"/>
  <c r="I36" i="75"/>
  <c r="I43" i="75" s="1"/>
  <c r="F36" i="75"/>
  <c r="G36" i="75" s="1"/>
  <c r="S88" i="1"/>
  <c r="N88" i="1"/>
  <c r="K88" i="1"/>
  <c r="D10" i="3"/>
  <c r="G88" i="1"/>
  <c r="J88" i="1"/>
  <c r="T88" i="1"/>
  <c r="D13" i="3"/>
  <c r="M88" i="1"/>
  <c r="U88" i="1"/>
  <c r="Q88" i="1"/>
  <c r="H88" i="1"/>
  <c r="D20" i="3"/>
  <c r="E43" i="75"/>
  <c r="W53" i="1" s="1"/>
  <c r="X53" i="1" s="1"/>
  <c r="AC53" i="1" s="1"/>
  <c r="AC58" i="1" s="1"/>
  <c r="AC88" i="1" s="1"/>
  <c r="AC89" i="1" s="1"/>
  <c r="AC83" i="1" s="1"/>
  <c r="J44" i="75" l="1"/>
  <c r="K89" i="1"/>
  <c r="K83" i="1" s="1"/>
  <c r="U89" i="1"/>
  <c r="U83" i="1" s="1"/>
  <c r="J89" i="1"/>
  <c r="J83" i="1" s="1"/>
  <c r="S89" i="1"/>
  <c r="S83" i="1" s="1"/>
  <c r="Q89" i="1"/>
  <c r="Q83" i="1" s="1"/>
  <c r="M89" i="1"/>
  <c r="M83" i="1" s="1"/>
  <c r="T89" i="1"/>
  <c r="T83" i="1" s="1"/>
  <c r="N89" i="1"/>
  <c r="N83" i="1" s="1"/>
  <c r="H89" i="1"/>
  <c r="H83" i="1" s="1"/>
  <c r="G89" i="1"/>
  <c r="G83" i="1" s="1"/>
  <c r="F40" i="75"/>
  <c r="F43" i="75" s="1"/>
  <c r="G43" i="75" l="1"/>
  <c r="G40" i="75"/>
  <c r="W58" i="1"/>
  <c r="W54" i="76"/>
  <c r="W59" i="76" s="1"/>
  <c r="X58" i="1" l="1"/>
  <c r="X88" i="1" s="1"/>
  <c r="D26" i="3"/>
  <c r="D27" i="3" s="1"/>
  <c r="W88" i="1"/>
  <c r="F27" i="3" l="1"/>
  <c r="D32" i="3"/>
  <c r="F32" i="3" s="1"/>
  <c r="X89" i="1"/>
  <c r="X83" i="1" s="1"/>
  <c r="W89" i="1"/>
  <c r="W83" i="1" s="1"/>
  <c r="F17" i="55"/>
  <c r="F19" i="55" l="1"/>
  <c r="F23" i="55" s="1"/>
  <c r="J12" i="56" l="1"/>
  <c r="J17" i="56" s="1"/>
  <c r="F27" i="55"/>
  <c r="F31" i="55"/>
  <c r="J15" i="56" l="1"/>
  <c r="J19" i="56"/>
  <c r="J21" i="56" l="1"/>
  <c r="J23" i="56" s="1"/>
  <c r="J25" i="56" s="1"/>
  <c r="J27" i="56" s="1"/>
  <c r="J29" i="56" s="1"/>
  <c r="J30" i="56" s="1"/>
</calcChain>
</file>

<file path=xl/comments1.xml><?xml version="1.0" encoding="utf-8"?>
<comments xmlns="http://schemas.openxmlformats.org/spreadsheetml/2006/main">
  <authors>
    <author>rzk7kq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2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<sst xmlns="http://schemas.openxmlformats.org/spreadsheetml/2006/main" count="729" uniqueCount="484">
  <si>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</si>
  <si>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</si>
  <si>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</si>
  <si>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</si>
  <si>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</si>
  <si>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</si>
  <si>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</si>
  <si>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</si>
  <si>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</si>
  <si>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</si>
  <si>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</si>
  <si>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</si>
  <si>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</si>
  <si>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</si>
  <si>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</si>
  <si>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</si>
  <si>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</si>
  <si>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</si>
  <si>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</si>
  <si>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</si>
  <si>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</si>
  <si>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</si>
  <si>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</si>
  <si>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</si>
  <si>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</si>
  <si>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</si>
  <si>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</si>
  <si>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</si>
  <si>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</si>
  <si>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</si>
  <si>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</si>
  <si>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</si>
  <si>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</si>
  <si>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</si>
  <si>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</si>
  <si>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</si>
  <si>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</si>
  <si>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</si>
  <si>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</si>
  <si>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</si>
  <si>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</si>
  <si>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</si>
  <si>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</si>
  <si>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</si>
  <si>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</si>
  <si>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</si>
  <si>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</si>
  <si>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</si>
  <si>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</si>
  <si>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</si>
  <si>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</si>
  <si>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</si>
  <si>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</si>
  <si>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</si>
  <si>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</si>
  <si>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</si>
  <si>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</si>
  <si>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</si>
  <si>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</si>
  <si>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</si>
  <si>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</si>
  <si>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</si>
  <si>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</si>
  <si>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</si>
  <si>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</si>
  <si>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</si>
  <si>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</si>
  <si>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</si>
  <si>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</si>
  <si>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</si>
  <si>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</si>
  <si>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</si>
  <si>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</si>
  <si>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</si>
  <si>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</si>
  <si>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</si>
  <si>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</si>
  <si>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</si>
  <si>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</si>
  <si>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</si>
  <si>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</si>
  <si>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</si>
  <si>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</si>
  <si>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</si>
  <si>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</si>
  <si>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</si>
  <si>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</si>
  <si>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</si>
  <si>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</si>
  <si>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</si>
  <si>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</si>
  <si>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</si>
  <si>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</si>
  <si>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</si>
  <si>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</si>
  <si>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</si>
  <si>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</si>
  <si>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</si>
  <si>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</si>
  <si>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</si>
  <si>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</si>
  <si>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</si>
  <si>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</si>
  <si>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</si>
  <si>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</si>
  <si>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</si>
  <si>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</si>
  <si>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</si>
  <si>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</si>
  <si>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</si>
  <si>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</si>
  <si>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>Restate Debt Interest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</si>
  <si>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</si>
  <si>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</si>
  <si>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</si>
  <si>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</si>
  <si>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</si>
  <si>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</si>
  <si>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</si>
  <si>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</si>
  <si>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</si>
  <si>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</si>
  <si>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</si>
  <si>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</si>
  <si>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</si>
  <si>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</si>
  <si>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</si>
  <si>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</si>
  <si>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</si>
  <si>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</si>
  <si>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</si>
  <si>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</si>
  <si>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</si>
  <si>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</si>
  <si>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</si>
  <si>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</si>
  <si>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</si>
  <si>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</si>
  <si>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</si>
  <si>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Restating</t>
  </si>
  <si>
    <t>REVENUE REQUIREMENT</t>
  </si>
  <si>
    <t xml:space="preserve">REVISED - Agreed to Cost of Capital in Partial Settlement Stipulation 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</si>
  <si>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</si>
  <si>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</si>
  <si>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</si>
  <si>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</si>
  <si>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</si>
  <si>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</si>
  <si>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</si>
  <si>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</si>
  <si>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</si>
  <si>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</si>
  <si>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</si>
  <si>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</si>
  <si>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</si>
  <si>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</si>
  <si>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</si>
  <si>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</si>
  <si>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</si>
  <si>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</si>
  <si>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</si>
  <si>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</si>
  <si>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</si>
  <si>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</si>
  <si>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</si>
  <si>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</si>
  <si>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</si>
  <si>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</si>
  <si>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</si>
  <si>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</si>
  <si>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</si>
  <si>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</si>
  <si>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</si>
  <si>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</si>
  <si>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</si>
  <si>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</si>
  <si>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</si>
  <si>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</si>
  <si>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</si>
  <si>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</si>
  <si>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</si>
  <si>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</si>
  <si>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</si>
  <si>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</si>
  <si>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</si>
  <si>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</si>
  <si>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</si>
  <si>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</si>
  <si>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</si>
  <si>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</si>
  <si>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</si>
  <si>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</si>
  <si>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</si>
  <si>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</si>
  <si>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</si>
  <si>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</si>
  <si>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</si>
  <si>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</si>
  <si>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</si>
  <si>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</si>
  <si>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</si>
  <si>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</si>
  <si>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</si>
  <si>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</si>
  <si>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</si>
  <si>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</si>
  <si>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</si>
  <si>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</si>
  <si>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</si>
  <si>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</si>
  <si>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</si>
  <si>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</si>
  <si>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</si>
  <si>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</si>
  <si>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</si>
  <si>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</si>
  <si>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</si>
  <si>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</si>
  <si>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</si>
  <si>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</si>
  <si>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</si>
  <si>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</si>
  <si>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</si>
  <si>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</si>
  <si>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</si>
  <si>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</si>
  <si>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</si>
  <si>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</si>
  <si>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</si>
  <si>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</si>
  <si>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</si>
  <si>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</si>
  <si>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</si>
  <si>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</si>
  <si>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</si>
  <si>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</si>
  <si>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</si>
  <si>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</si>
  <si>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</si>
  <si>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</si>
  <si>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</si>
  <si>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</si>
  <si>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</si>
  <si>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</si>
  <si>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</si>
  <si>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</si>
  <si>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</si>
  <si>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</si>
  <si>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</si>
  <si>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</si>
  <si>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</si>
  <si>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</si>
  <si>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</si>
  <si>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</si>
  <si>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</si>
  <si>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</si>
  <si>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</si>
  <si>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</si>
  <si>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</si>
  <si>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</si>
  <si>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</si>
  <si>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</si>
  <si>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</si>
  <si>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</si>
  <si>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</si>
  <si>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</si>
  <si>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</si>
  <si>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</si>
  <si>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</si>
  <si>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</si>
  <si>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</si>
  <si>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</si>
  <si>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</si>
  <si>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</si>
  <si>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</si>
  <si>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</si>
  <si>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</si>
  <si>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</si>
  <si>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</si>
  <si>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</si>
  <si>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</si>
  <si>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</si>
  <si>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</si>
  <si>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</si>
  <si>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</si>
  <si>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</si>
  <si>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</si>
  <si>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</si>
  <si>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</si>
  <si>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</si>
  <si>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</si>
  <si>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</si>
  <si>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</si>
  <si>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</si>
  <si>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</si>
  <si>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</si>
  <si>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</si>
  <si>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</si>
  <si>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</si>
  <si>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</si>
  <si>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</si>
  <si>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</si>
  <si>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</si>
  <si>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</si>
  <si>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</si>
  <si>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</si>
  <si>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</si>
  <si>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</si>
  <si>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</si>
  <si>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</si>
  <si>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</si>
  <si>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</si>
  <si>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</si>
  <si>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</si>
  <si>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</si>
  <si>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</si>
  <si>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</si>
  <si>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</si>
  <si>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</si>
  <si>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</si>
  <si>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</si>
  <si>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</si>
  <si>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</si>
  <si>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</si>
  <si>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</si>
  <si>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</si>
  <si>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</si>
  <si>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</si>
  <si>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</si>
  <si>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</si>
  <si>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</si>
  <si>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</si>
  <si>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</si>
  <si>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</si>
  <si>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</si>
  <si>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</si>
  <si>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</si>
  <si>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</si>
  <si>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</si>
  <si>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</si>
  <si>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</si>
  <si>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</si>
  <si>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</si>
  <si>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</si>
  <si>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</si>
  <si>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</si>
  <si>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</si>
  <si>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</si>
  <si>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</si>
  <si>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</si>
  <si>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</si>
  <si>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</si>
  <si>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</si>
  <si>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</si>
  <si>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</si>
  <si>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</si>
  <si>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</si>
  <si>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</si>
  <si>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</si>
  <si>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</si>
  <si>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</si>
  <si>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</si>
  <si>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</si>
  <si>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</si>
  <si>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</si>
  <si>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</si>
  <si>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</si>
  <si>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</si>
  <si>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</si>
  <si>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</si>
  <si>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</si>
  <si>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</si>
  <si>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</si>
  <si>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</si>
  <si>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</si>
  <si>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</si>
  <si>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</si>
  <si>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</si>
  <si>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</si>
  <si>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</si>
  <si>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</si>
  <si>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</si>
  <si>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</si>
  <si>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</si>
  <si>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</si>
  <si>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</si>
  <si>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 xml:space="preserve">FIT / </t>
  </si>
  <si>
    <t xml:space="preserve">DFIT </t>
  </si>
  <si>
    <t>Revenue requirement</t>
  </si>
  <si>
    <t xml:space="preserve">Stl Attrition Adj= </t>
  </si>
  <si>
    <t>G-RPT</t>
  </si>
  <si>
    <t>Working</t>
  </si>
  <si>
    <t>G-WC</t>
  </si>
  <si>
    <t>ADFIT - Common Plant (283750 from C-DTX)</t>
  </si>
  <si>
    <t>Restated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</si>
  <si>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</si>
  <si>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</si>
  <si>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</si>
  <si>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</si>
  <si>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</si>
  <si>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</si>
  <si>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</si>
  <si>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</si>
  <si>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</si>
  <si>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Revenue Requirement - 2016</t>
  </si>
  <si>
    <t>Tara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</si>
  <si>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</si>
  <si>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</si>
  <si>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</si>
  <si>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</si>
  <si>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</si>
  <si>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</si>
  <si>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</si>
  <si>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</si>
  <si>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</si>
  <si>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</si>
  <si>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</si>
  <si>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</si>
  <si>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</si>
  <si>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</si>
  <si>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</si>
  <si>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</si>
  <si>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</si>
  <si>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</si>
  <si>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</si>
  <si>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</si>
  <si>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</si>
  <si>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</si>
  <si>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Revenue Conversion Factor Rebuttal</t>
  </si>
  <si>
    <t>Revenue Requirement Rebuttal</t>
  </si>
  <si>
    <t>RESULTS</t>
  </si>
  <si>
    <t xml:space="preserve">  Federal Income Tax @ 21%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</si>
  <si>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</si>
  <si>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</si>
  <si>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</si>
  <si>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</si>
  <si>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</si>
  <si>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</si>
  <si>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</si>
  <si>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</si>
  <si>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</si>
  <si>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</si>
  <si>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</si>
  <si>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</si>
  <si>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</si>
  <si>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Recurring Expense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</si>
  <si>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</si>
  <si>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</si>
  <si>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</si>
  <si>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</si>
  <si>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</si>
  <si>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</si>
  <si>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</si>
  <si>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</si>
  <si>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</si>
  <si>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</si>
  <si>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</si>
  <si>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</si>
  <si>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</si>
  <si>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</si>
  <si>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</si>
  <si>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</si>
  <si>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</si>
  <si>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</si>
  <si>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</si>
  <si>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ACTUAL COST OF CAPITAL</t>
  </si>
  <si>
    <t>DECEMBER 31, 2018</t>
  </si>
  <si>
    <t>'DECEMBER 31, 2018</t>
  </si>
  <si>
    <t>Liz</t>
  </si>
  <si>
    <t>CB 2018</t>
  </si>
  <si>
    <t>Decoupling</t>
  </si>
  <si>
    <t>Earnings Test</t>
  </si>
  <si>
    <t>Weather</t>
  </si>
  <si>
    <t>Provision for</t>
  </si>
  <si>
    <t>Normalized</t>
  </si>
  <si>
    <t>FINAL</t>
  </si>
  <si>
    <t>Earnings Test Refund</t>
  </si>
  <si>
    <t>ET-Ttl</t>
  </si>
  <si>
    <t>Gas Cost</t>
  </si>
  <si>
    <t xml:space="preserve">     CB Restated Total</t>
  </si>
  <si>
    <t xml:space="preserve">     Earnings Test Restated Total</t>
  </si>
  <si>
    <t>Prior Period</t>
  </si>
  <si>
    <t>Property Tax</t>
  </si>
  <si>
    <t>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</si>
</sst>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_);_(* \(#,##0.00000\);_(* &quot;-&quot;_);_(@_)"/>
    <numFmt numFmtId="177" formatCode="_(* #,##0.000000_);_(* \(#,##0.000000\);_(* &quot;-&quot;_);_(@_)"/>
    <numFmt numFmtId="178" formatCode="_(* #,##0.000000_);_(* \(#,##0.000000\);_(* &quot;-&quot;??_);_(@_)"/>
    <numFmt numFmtId="179" formatCode="0.00000"/>
  </numFmts>
  <fonts count="52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b/>
      <sz val="9"/>
      <color rgb="FF0000FF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44" fontId="1" fillId="0" borderId="0" applyFont="0" applyFill="0" applyBorder="0" applyAlignment="0" applyProtection="0"/>
    <xf numFmtId="0" fontId="35" fillId="3" borderId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43" fontId="39" fillId="0" borderId="0" applyFont="0" applyFill="0" applyBorder="0" applyAlignment="0" applyProtection="0"/>
    <xf numFmtId="0" fontId="29" fillId="0" borderId="0"/>
  </cellStyleXfs>
  <cellXfs count="590">
    <xf numFmtId="0" fontId="0" fillId="0" borderId="0" xfId="0"/>
    <xf numFmtId="0" fontId="3" fillId="0" borderId="0" xfId="6" applyFont="1"/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6" fontId="8" fillId="0" borderId="0" xfId="2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" fontId="3" fillId="0" borderId="0" xfId="6" applyNumberFormat="1" applyFont="1"/>
    <xf numFmtId="168" fontId="9" fillId="0" borderId="0" xfId="0" applyNumberFormat="1" applyFont="1" applyAlignment="1">
      <alignment horizontal="center"/>
    </xf>
    <xf numFmtId="168" fontId="17" fillId="0" borderId="0" xfId="0" applyNumberFormat="1" applyFont="1"/>
    <xf numFmtId="14" fontId="17" fillId="0" borderId="0" xfId="0" applyNumberFormat="1" applyFont="1"/>
    <xf numFmtId="0" fontId="17" fillId="0" borderId="0" xfId="0" applyFont="1"/>
    <xf numFmtId="168" fontId="17" fillId="0" borderId="0" xfId="0" applyNumberFormat="1" applyFont="1" applyAlignment="1">
      <alignment horizontal="right"/>
    </xf>
    <xf numFmtId="168" fontId="8" fillId="0" borderId="0" xfId="0" applyNumberFormat="1" applyFont="1"/>
    <xf numFmtId="168" fontId="18" fillId="0" borderId="0" xfId="0" applyNumberFormat="1" applyFont="1" applyAlignment="1">
      <alignment horizontal="center"/>
    </xf>
    <xf numFmtId="5" fontId="8" fillId="0" borderId="0" xfId="1" applyNumberFormat="1" applyFont="1"/>
    <xf numFmtId="172" fontId="8" fillId="0" borderId="0" xfId="1" applyNumberFormat="1" applyFont="1"/>
    <xf numFmtId="172" fontId="8" fillId="0" borderId="13" xfId="1" applyNumberFormat="1" applyFont="1" applyBorder="1"/>
    <xf numFmtId="172" fontId="8" fillId="0" borderId="0" xfId="1" applyNumberFormat="1" applyFont="1" applyBorder="1"/>
    <xf numFmtId="172" fontId="8" fillId="0" borderId="10" xfId="1" applyNumberFormat="1" applyFont="1" applyBorder="1"/>
    <xf numFmtId="164" fontId="8" fillId="0" borderId="12" xfId="1" applyNumberFormat="1" applyFont="1" applyBorder="1"/>
    <xf numFmtId="0" fontId="14" fillId="0" borderId="0" xfId="0" applyFont="1"/>
    <xf numFmtId="0" fontId="20" fillId="0" borderId="0" xfId="0" applyFont="1"/>
    <xf numFmtId="37" fontId="8" fillId="0" borderId="0" xfId="0" applyNumberFormat="1" applyFont="1" applyFill="1" applyBorder="1"/>
    <xf numFmtId="0" fontId="8" fillId="0" borderId="0" xfId="0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1" fillId="0" borderId="0" xfId="0" applyFont="1" applyFill="1"/>
    <xf numFmtId="0" fontId="22" fillId="0" borderId="0" xfId="0" applyFont="1" applyFill="1" applyBorder="1" applyAlignment="1">
      <alignment horizontal="center"/>
    </xf>
    <xf numFmtId="5" fontId="21" fillId="0" borderId="0" xfId="0" applyNumberFormat="1" applyFont="1" applyFill="1" applyBorder="1"/>
    <xf numFmtId="0" fontId="22" fillId="0" borderId="0" xfId="0" applyFont="1" applyFill="1" applyBorder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37" fontId="8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25" fillId="0" borderId="0" xfId="6" applyNumberFormat="1" applyFont="1" applyFill="1"/>
    <xf numFmtId="3" fontId="25" fillId="0" borderId="0" xfId="5" applyNumberFormat="1" applyFont="1" applyFill="1"/>
    <xf numFmtId="0" fontId="25" fillId="0" borderId="0" xfId="6" applyNumberFormat="1" applyFont="1" applyAlignment="1">
      <alignment horizontal="left"/>
    </xf>
    <xf numFmtId="0" fontId="25" fillId="0" borderId="0" xfId="6" applyFont="1"/>
    <xf numFmtId="3" fontId="27" fillId="0" borderId="0" xfId="6" applyNumberFormat="1" applyFont="1" applyFill="1"/>
    <xf numFmtId="3" fontId="25" fillId="0" borderId="0" xfId="6" applyNumberFormat="1" applyFont="1"/>
    <xf numFmtId="3" fontId="26" fillId="0" borderId="0" xfId="6" applyNumberFormat="1" applyFont="1"/>
    <xf numFmtId="3" fontId="28" fillId="0" borderId="0" xfId="6" applyNumberFormat="1" applyFont="1"/>
    <xf numFmtId="3" fontId="26" fillId="0" borderId="0" xfId="6" applyNumberFormat="1" applyFont="1" applyAlignment="1"/>
    <xf numFmtId="0" fontId="26" fillId="0" borderId="0" xfId="6" applyNumberFormat="1" applyFont="1" applyAlignment="1">
      <alignment horizontal="center"/>
    </xf>
    <xf numFmtId="0" fontId="26" fillId="0" borderId="0" xfId="6" applyFont="1" applyAlignment="1">
      <alignment horizontal="center"/>
    </xf>
    <xf numFmtId="3" fontId="26" fillId="0" borderId="0" xfId="6" applyNumberFormat="1" applyFont="1" applyAlignment="1">
      <alignment horizontal="center"/>
    </xf>
    <xf numFmtId="0" fontId="26" fillId="0" borderId="1" xfId="6" applyNumberFormat="1" applyFont="1" applyBorder="1" applyAlignment="1">
      <alignment horizontal="center"/>
    </xf>
    <xf numFmtId="0" fontId="26" fillId="0" borderId="2" xfId="6" applyFont="1" applyBorder="1" applyAlignment="1">
      <alignment horizontal="center"/>
    </xf>
    <xf numFmtId="0" fontId="26" fillId="0" borderId="3" xfId="6" applyFont="1" applyBorder="1" applyAlignment="1">
      <alignment horizontal="center"/>
    </xf>
    <xf numFmtId="0" fontId="25" fillId="0" borderId="4" xfId="6" applyFont="1" applyBorder="1"/>
    <xf numFmtId="3" fontId="26" fillId="0" borderId="1" xfId="6" applyNumberFormat="1" applyFont="1" applyBorder="1" applyAlignment="1">
      <alignment horizontal="center"/>
    </xf>
    <xf numFmtId="0" fontId="26" fillId="0" borderId="5" xfId="6" applyNumberFormat="1" applyFont="1" applyBorder="1" applyAlignment="1">
      <alignment horizontal="center"/>
    </xf>
    <xf numFmtId="0" fontId="26" fillId="0" borderId="6" xfId="6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5" fillId="0" borderId="7" xfId="6" applyFont="1" applyBorder="1"/>
    <xf numFmtId="3" fontId="26" fillId="0" borderId="5" xfId="6" applyNumberFormat="1" applyFont="1" applyBorder="1" applyAlignment="1">
      <alignment horizontal="center"/>
    </xf>
    <xf numFmtId="0" fontId="26" fillId="0" borderId="8" xfId="6" applyNumberFormat="1" applyFont="1" applyBorder="1" applyAlignment="1">
      <alignment horizontal="center"/>
    </xf>
    <xf numFmtId="0" fontId="26" fillId="0" borderId="9" xfId="6" applyFont="1" applyBorder="1" applyAlignment="1">
      <alignment horizontal="center"/>
    </xf>
    <xf numFmtId="0" fontId="26" fillId="0" borderId="10" xfId="6" applyFont="1" applyBorder="1" applyAlignment="1">
      <alignment horizontal="center"/>
    </xf>
    <xf numFmtId="0" fontId="26" fillId="0" borderId="11" xfId="6" applyFont="1" applyBorder="1" applyAlignment="1">
      <alignment horizontal="center"/>
    </xf>
    <xf numFmtId="3" fontId="26" fillId="0" borderId="8" xfId="6" applyNumberFormat="1" applyFont="1" applyBorder="1" applyAlignment="1">
      <alignment horizontal="center"/>
    </xf>
    <xf numFmtId="0" fontId="25" fillId="0" borderId="0" xfId="6" applyNumberFormat="1" applyFont="1" applyAlignment="1">
      <alignment horizontal="center"/>
    </xf>
    <xf numFmtId="5" fontId="25" fillId="0" borderId="0" xfId="6" applyNumberFormat="1" applyFont="1"/>
    <xf numFmtId="37" fontId="25" fillId="0" borderId="0" xfId="6" applyNumberFormat="1" applyFont="1"/>
    <xf numFmtId="0" fontId="25" fillId="0" borderId="0" xfId="6" applyNumberFormat="1" applyFont="1" applyBorder="1" applyAlignment="1">
      <alignment horizontal="center"/>
    </xf>
    <xf numFmtId="37" fontId="25" fillId="0" borderId="0" xfId="6" applyNumberFormat="1" applyFont="1" applyBorder="1"/>
    <xf numFmtId="0" fontId="25" fillId="0" borderId="0" xfId="6" applyFont="1" applyBorder="1"/>
    <xf numFmtId="0" fontId="25" fillId="0" borderId="0" xfId="6" applyNumberFormat="1" applyFont="1" applyFill="1" applyAlignment="1">
      <alignment horizontal="left"/>
    </xf>
    <xf numFmtId="0" fontId="25" fillId="0" borderId="0" xfId="6" applyFont="1" applyFill="1"/>
    <xf numFmtId="0" fontId="25" fillId="0" borderId="0" xfId="5" applyFont="1" applyFill="1"/>
    <xf numFmtId="10" fontId="25" fillId="0" borderId="0" xfId="7" applyNumberFormat="1" applyFont="1" applyFill="1"/>
    <xf numFmtId="0" fontId="25" fillId="0" borderId="0" xfId="6" applyNumberFormat="1" applyFont="1" applyFill="1" applyAlignment="1">
      <alignment horizontal="center"/>
    </xf>
    <xf numFmtId="0" fontId="25" fillId="0" borderId="0" xfId="5" applyFont="1" applyFill="1" applyAlignment="1">
      <alignment horizontal="right"/>
    </xf>
    <xf numFmtId="10" fontId="21" fillId="0" borderId="0" xfId="7" applyNumberFormat="1" applyFont="1" applyFill="1" applyBorder="1"/>
    <xf numFmtId="0" fontId="21" fillId="0" borderId="0" xfId="0" applyFont="1" applyFill="1" applyBorder="1"/>
    <xf numFmtId="37" fontId="21" fillId="0" borderId="0" xfId="3" applyNumberFormat="1" applyFont="1" applyFill="1" applyBorder="1"/>
    <xf numFmtId="37" fontId="21" fillId="0" borderId="0" xfId="3" applyNumberFormat="1" applyFont="1" applyFill="1" applyBorder="1" applyAlignment="1">
      <alignment horizontal="center"/>
    </xf>
    <xf numFmtId="0" fontId="25" fillId="0" borderId="0" xfId="6" applyFont="1" applyAlignment="1">
      <alignment horizontal="left"/>
    </xf>
    <xf numFmtId="4" fontId="26" fillId="0" borderId="0" xfId="6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25" fillId="0" borderId="0" xfId="6" applyNumberFormat="1" applyFont="1"/>
    <xf numFmtId="41" fontId="25" fillId="0" borderId="10" xfId="6" applyNumberFormat="1" applyFont="1" applyBorder="1"/>
    <xf numFmtId="41" fontId="25" fillId="0" borderId="0" xfId="6" applyNumberFormat="1" applyFont="1" applyFill="1"/>
    <xf numFmtId="41" fontId="25" fillId="0" borderId="13" xfId="6" applyNumberFormat="1" applyFont="1" applyBorder="1"/>
    <xf numFmtId="41" fontId="25" fillId="0" borderId="0" xfId="6" applyNumberFormat="1" applyFont="1" applyBorder="1"/>
    <xf numFmtId="41" fontId="25" fillId="0" borderId="0" xfId="5" applyNumberFormat="1" applyFont="1" applyFill="1"/>
    <xf numFmtId="41" fontId="30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0" fillId="0" borderId="0" xfId="13" applyNumberFormat="1" applyFont="1" applyAlignment="1">
      <alignment horizontal="center"/>
    </xf>
    <xf numFmtId="3" fontId="20" fillId="0" borderId="0" xfId="13" applyNumberFormat="1" applyFont="1" applyAlignment="1">
      <alignment horizontal="left"/>
    </xf>
    <xf numFmtId="164" fontId="12" fillId="0" borderId="0" xfId="13" applyNumberFormat="1" applyFont="1"/>
    <xf numFmtId="3" fontId="12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0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33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34" fillId="0" borderId="0" xfId="13" applyNumberFormat="1" applyFont="1"/>
    <xf numFmtId="0" fontId="14" fillId="0" borderId="0" xfId="13" applyFont="1"/>
    <xf numFmtId="10" fontId="14" fillId="0" borderId="0" xfId="13" applyNumberFormat="1" applyFont="1"/>
    <xf numFmtId="10" fontId="20" fillId="0" borderId="10" xfId="13" applyNumberFormat="1" applyFont="1" applyFill="1" applyBorder="1"/>
    <xf numFmtId="3" fontId="34" fillId="0" borderId="0" xfId="13" applyNumberFormat="1" applyFont="1" applyFill="1"/>
    <xf numFmtId="3" fontId="12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3" fillId="0" borderId="0" xfId="1" applyNumberFormat="1" applyFont="1"/>
    <xf numFmtId="41" fontId="8" fillId="0" borderId="10" xfId="1" applyNumberFormat="1" applyFont="1" applyBorder="1"/>
    <xf numFmtId="41" fontId="12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25" fillId="0" borderId="0" xfId="7" applyNumberFormat="1" applyFont="1"/>
    <xf numFmtId="42" fontId="25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13" xfId="6" applyNumberFormat="1" applyFont="1" applyBorder="1"/>
    <xf numFmtId="41" fontId="3" fillId="0" borderId="0" xfId="6" applyNumberFormat="1" applyFont="1" applyBorder="1"/>
    <xf numFmtId="168" fontId="9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4" fontId="36" fillId="0" borderId="0" xfId="0" applyNumberFormat="1" applyFont="1"/>
    <xf numFmtId="3" fontId="36" fillId="0" borderId="0" xfId="0" applyNumberFormat="1" applyFont="1"/>
    <xf numFmtId="49" fontId="36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174" fontId="36" fillId="0" borderId="0" xfId="0" applyNumberFormat="1" applyFont="1" applyAlignment="1">
      <alignment horizontal="center"/>
    </xf>
    <xf numFmtId="175" fontId="36" fillId="0" borderId="0" xfId="0" applyNumberFormat="1" applyFont="1"/>
    <xf numFmtId="175" fontId="36" fillId="0" borderId="0" xfId="0" applyNumberFormat="1" applyFont="1" applyAlignment="1">
      <alignment horizontal="center"/>
    </xf>
    <xf numFmtId="0" fontId="36" fillId="0" borderId="0" xfId="0" applyFont="1"/>
    <xf numFmtId="174" fontId="36" fillId="4" borderId="0" xfId="0" applyNumberFormat="1" applyFont="1" applyFill="1"/>
    <xf numFmtId="3" fontId="36" fillId="4" borderId="0" xfId="0" applyNumberFormat="1" applyFont="1" applyFill="1"/>
    <xf numFmtId="175" fontId="36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26" fillId="0" borderId="0" xfId="6" applyNumberFormat="1" applyFont="1"/>
    <xf numFmtId="42" fontId="25" fillId="0" borderId="12" xfId="6" applyNumberFormat="1" applyFont="1" applyBorder="1"/>
    <xf numFmtId="42" fontId="26" fillId="0" borderId="12" xfId="6" applyNumberFormat="1" applyFont="1" applyBorder="1"/>
    <xf numFmtId="41" fontId="12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176" fontId="25" fillId="0" borderId="0" xfId="5" applyNumberFormat="1" applyFont="1" applyFill="1"/>
    <xf numFmtId="10" fontId="25" fillId="2" borderId="0" xfId="7" applyNumberFormat="1" applyFont="1" applyFill="1"/>
    <xf numFmtId="41" fontId="8" fillId="2" borderId="16" xfId="1" applyNumberFormat="1" applyFont="1" applyFill="1" applyBorder="1"/>
    <xf numFmtId="41" fontId="3" fillId="0" borderId="0" xfId="6" applyNumberFormat="1" applyFont="1" applyFill="1"/>
    <xf numFmtId="0" fontId="9" fillId="0" borderId="0" xfId="0" applyFont="1" applyAlignment="1"/>
    <xf numFmtId="0" fontId="9" fillId="0" borderId="0" xfId="0" applyFont="1" applyFill="1"/>
    <xf numFmtId="0" fontId="17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4" xfId="0" applyFont="1" applyBorder="1"/>
    <xf numFmtId="0" fontId="9" fillId="0" borderId="20" xfId="0" applyFont="1" applyBorder="1"/>
    <xf numFmtId="173" fontId="9" fillId="0" borderId="21" xfId="2" applyNumberFormat="1" applyFont="1" applyBorder="1"/>
    <xf numFmtId="166" fontId="38" fillId="0" borderId="0" xfId="0" applyNumberFormat="1" applyFont="1" applyFill="1"/>
    <xf numFmtId="0" fontId="10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3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3" fontId="5" fillId="0" borderId="0" xfId="6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 applyBorder="1"/>
    <xf numFmtId="3" fontId="8" fillId="0" borderId="0" xfId="0" applyNumberFormat="1" applyFont="1"/>
    <xf numFmtId="37" fontId="8" fillId="0" borderId="0" xfId="0" applyNumberFormat="1" applyFont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8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2" fillId="0" borderId="21" xfId="0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3" fontId="40" fillId="0" borderId="0" xfId="0" applyNumberFormat="1" applyFont="1" applyAlignment="1">
      <alignment horizontal="left"/>
    </xf>
    <xf numFmtId="3" fontId="40" fillId="0" borderId="0" xfId="0" applyNumberFormat="1" applyFont="1" applyFill="1" applyAlignment="1">
      <alignment horizontal="left"/>
    </xf>
    <xf numFmtId="49" fontId="40" fillId="0" borderId="0" xfId="0" applyNumberFormat="1" applyFont="1" applyAlignment="1">
      <alignment horizontal="left"/>
    </xf>
    <xf numFmtId="3" fontId="40" fillId="0" borderId="0" xfId="0" applyNumberFormat="1" applyFont="1"/>
    <xf numFmtId="3" fontId="40" fillId="0" borderId="0" xfId="0" applyNumberFormat="1" applyFont="1" applyFill="1"/>
    <xf numFmtId="0" fontId="40" fillId="0" borderId="0" xfId="0" applyFont="1"/>
    <xf numFmtId="3" fontId="40" fillId="4" borderId="0" xfId="0" applyNumberFormat="1" applyFont="1" applyFill="1"/>
    <xf numFmtId="174" fontId="40" fillId="0" borderId="0" xfId="0" applyNumberFormat="1" applyFont="1"/>
    <xf numFmtId="0" fontId="8" fillId="0" borderId="0" xfId="0" applyFont="1"/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7" fontId="3" fillId="0" borderId="0" xfId="5" applyNumberFormat="1" applyFont="1" applyFill="1"/>
    <xf numFmtId="172" fontId="8" fillId="0" borderId="0" xfId="0" applyNumberFormat="1" applyFont="1"/>
    <xf numFmtId="0" fontId="22" fillId="4" borderId="30" xfId="0" applyFont="1" applyFill="1" applyBorder="1" applyAlignment="1">
      <alignment horizontal="left"/>
    </xf>
    <xf numFmtId="3" fontId="9" fillId="0" borderId="0" xfId="0" applyNumberFormat="1" applyFont="1" applyFill="1" applyAlignment="1"/>
    <xf numFmtId="10" fontId="9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75" fontId="40" fillId="4" borderId="0" xfId="0" applyNumberFormat="1" applyFont="1" applyFill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3" fontId="41" fillId="0" borderId="0" xfId="6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2" fillId="0" borderId="0" xfId="0" applyFont="1" applyFill="1"/>
    <xf numFmtId="0" fontId="21" fillId="0" borderId="0" xfId="0" applyFont="1"/>
    <xf numFmtId="0" fontId="43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5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43" fillId="0" borderId="0" xfId="0" applyFont="1" applyFill="1"/>
    <xf numFmtId="3" fontId="22" fillId="0" borderId="0" xfId="0" applyNumberFormat="1" applyFont="1" applyFill="1" applyAlignment="1"/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Alignment="1">
      <alignment horizontal="center"/>
    </xf>
    <xf numFmtId="42" fontId="21" fillId="0" borderId="0" xfId="0" applyNumberFormat="1" applyFont="1"/>
    <xf numFmtId="5" fontId="21" fillId="0" borderId="0" xfId="0" applyNumberFormat="1" applyFont="1"/>
    <xf numFmtId="10" fontId="21" fillId="0" borderId="10" xfId="7" applyNumberFormat="1" applyFont="1" applyBorder="1"/>
    <xf numFmtId="10" fontId="21" fillId="0" borderId="0" xfId="7" applyNumberFormat="1" applyFont="1" applyBorder="1"/>
    <xf numFmtId="169" fontId="21" fillId="0" borderId="0" xfId="7" applyNumberFormat="1" applyFont="1" applyBorder="1"/>
    <xf numFmtId="42" fontId="21" fillId="0" borderId="10" xfId="0" applyNumberFormat="1" applyFont="1" applyBorder="1"/>
    <xf numFmtId="42" fontId="21" fillId="0" borderId="0" xfId="0" applyNumberFormat="1" applyFont="1" applyBorder="1"/>
    <xf numFmtId="37" fontId="21" fillId="0" borderId="0" xfId="20" applyNumberFormat="1" applyFont="1" applyFill="1"/>
    <xf numFmtId="168" fontId="21" fillId="0" borderId="0" xfId="0" applyNumberFormat="1" applyFont="1"/>
    <xf numFmtId="0" fontId="35" fillId="0" borderId="0" xfId="0" applyFont="1" applyAlignment="1">
      <alignment horizontal="right"/>
    </xf>
    <xf numFmtId="5" fontId="22" fillId="0" borderId="16" xfId="0" applyNumberFormat="1" applyFont="1" applyFill="1" applyBorder="1"/>
    <xf numFmtId="5" fontId="22" fillId="0" borderId="0" xfId="0" applyNumberFormat="1" applyFont="1" applyFill="1" applyBorder="1"/>
    <xf numFmtId="10" fontId="22" fillId="0" borderId="14" xfId="7" applyNumberFormat="1" applyFont="1" applyBorder="1"/>
    <xf numFmtId="10" fontId="22" fillId="0" borderId="0" xfId="7" applyNumberFormat="1" applyFont="1" applyBorder="1"/>
    <xf numFmtId="37" fontId="21" fillId="0" borderId="0" xfId="5" applyNumberFormat="1" applyFont="1"/>
    <xf numFmtId="42" fontId="21" fillId="0" borderId="0" xfId="0" applyNumberFormat="1" applyFont="1" applyFill="1" applyBorder="1"/>
    <xf numFmtId="0" fontId="38" fillId="0" borderId="0" xfId="0" applyFont="1"/>
    <xf numFmtId="0" fontId="22" fillId="0" borderId="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4" borderId="31" xfId="0" applyFont="1" applyFill="1" applyBorder="1" applyAlignment="1">
      <alignment horizontal="center"/>
    </xf>
    <xf numFmtId="0" fontId="22" fillId="4" borderId="32" xfId="0" applyFont="1" applyFill="1" applyBorder="1" applyAlignment="1">
      <alignment horizontal="center"/>
    </xf>
    <xf numFmtId="37" fontId="21" fillId="4" borderId="20" xfId="20" applyNumberFormat="1" applyFont="1" applyFill="1" applyBorder="1"/>
    <xf numFmtId="37" fontId="21" fillId="4" borderId="0" xfId="20" applyNumberFormat="1" applyFont="1" applyFill="1" applyBorder="1"/>
    <xf numFmtId="0" fontId="22" fillId="4" borderId="0" xfId="0" applyFont="1" applyFill="1" applyBorder="1" applyAlignment="1">
      <alignment horizontal="center"/>
    </xf>
    <xf numFmtId="37" fontId="44" fillId="4" borderId="0" xfId="20" applyNumberFormat="1" applyFont="1" applyFill="1" applyBorder="1"/>
    <xf numFmtId="0" fontId="22" fillId="4" borderId="21" xfId="0" applyFont="1" applyFill="1" applyBorder="1" applyAlignment="1">
      <alignment horizontal="center"/>
    </xf>
    <xf numFmtId="0" fontId="21" fillId="4" borderId="0" xfId="0" applyFont="1" applyFill="1" applyBorder="1"/>
    <xf numFmtId="0" fontId="22" fillId="4" borderId="10" xfId="0" applyFont="1" applyFill="1" applyBorder="1" applyAlignment="1">
      <alignment horizontal="center"/>
    </xf>
    <xf numFmtId="0" fontId="22" fillId="4" borderId="28" xfId="0" applyFont="1" applyFill="1" applyBorder="1" applyAlignment="1">
      <alignment horizontal="center"/>
    </xf>
    <xf numFmtId="37" fontId="21" fillId="0" borderId="0" xfId="20" applyNumberFormat="1" applyFont="1" applyFill="1" applyBorder="1"/>
    <xf numFmtId="37" fontId="21" fillId="4" borderId="21" xfId="20" applyNumberFormat="1" applyFont="1" applyFill="1" applyBorder="1"/>
    <xf numFmtId="167" fontId="21" fillId="4" borderId="0" xfId="7" applyNumberFormat="1" applyFont="1" applyFill="1" applyBorder="1"/>
    <xf numFmtId="10" fontId="21" fillId="4" borderId="21" xfId="7" applyNumberFormat="1" applyFont="1" applyFill="1" applyBorder="1"/>
    <xf numFmtId="10" fontId="21" fillId="4" borderId="0" xfId="7" applyNumberFormat="1" applyFont="1" applyFill="1" applyBorder="1"/>
    <xf numFmtId="169" fontId="44" fillId="4" borderId="0" xfId="7" applyNumberFormat="1" applyFont="1" applyFill="1" applyBorder="1"/>
    <xf numFmtId="10" fontId="21" fillId="4" borderId="14" xfId="7" applyNumberFormat="1" applyFont="1" applyFill="1" applyBorder="1"/>
    <xf numFmtId="10" fontId="21" fillId="4" borderId="29" xfId="7" applyNumberFormat="1" applyFont="1" applyFill="1" applyBorder="1"/>
    <xf numFmtId="37" fontId="21" fillId="4" borderId="22" xfId="20" applyNumberFormat="1" applyFont="1" applyFill="1" applyBorder="1"/>
    <xf numFmtId="0" fontId="21" fillId="4" borderId="23" xfId="0" applyFont="1" applyFill="1" applyBorder="1"/>
    <xf numFmtId="10" fontId="21" fillId="4" borderId="23" xfId="7" applyNumberFormat="1" applyFont="1" applyFill="1" applyBorder="1"/>
    <xf numFmtId="10" fontId="44" fillId="4" borderId="23" xfId="7" applyNumberFormat="1" applyFont="1" applyFill="1" applyBorder="1"/>
    <xf numFmtId="10" fontId="21" fillId="4" borderId="24" xfId="7" applyNumberFormat="1" applyFont="1" applyFill="1" applyBorder="1"/>
    <xf numFmtId="0" fontId="44" fillId="0" borderId="0" xfId="0" applyFont="1"/>
    <xf numFmtId="0" fontId="44" fillId="0" borderId="0" xfId="0" applyFont="1" applyBorder="1"/>
    <xf numFmtId="41" fontId="21" fillId="0" borderId="0" xfId="0" applyNumberFormat="1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0" fontId="44" fillId="0" borderId="0" xfId="7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7" fontId="44" fillId="0" borderId="0" xfId="20" applyNumberFormat="1" applyFont="1" applyFill="1" applyBorder="1"/>
    <xf numFmtId="0" fontId="21" fillId="0" borderId="0" xfId="0" applyFont="1" applyFill="1" applyBorder="1" applyAlignment="1">
      <alignment horizontal="left"/>
    </xf>
    <xf numFmtId="5" fontId="21" fillId="0" borderId="0" xfId="7" applyNumberFormat="1" applyFont="1" applyFill="1" applyBorder="1"/>
    <xf numFmtId="179" fontId="21" fillId="0" borderId="0" xfId="0" applyNumberFormat="1" applyFont="1" applyFill="1" applyBorder="1"/>
    <xf numFmtId="173" fontId="21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/>
    </xf>
    <xf numFmtId="10" fontId="21" fillId="0" borderId="0" xfId="0" applyNumberFormat="1" applyFont="1" applyFill="1" applyBorder="1"/>
    <xf numFmtId="172" fontId="21" fillId="0" borderId="0" xfId="0" applyNumberFormat="1" applyFont="1" applyFill="1" applyBorder="1"/>
    <xf numFmtId="1" fontId="21" fillId="0" borderId="0" xfId="0" applyNumberFormat="1" applyFont="1" applyFill="1" applyBorder="1"/>
    <xf numFmtId="168" fontId="9" fillId="0" borderId="0" xfId="0" applyNumberFormat="1" applyFont="1" applyFill="1"/>
    <xf numFmtId="168" fontId="8" fillId="0" borderId="0" xfId="0" applyNumberFormat="1" applyFont="1" applyFill="1"/>
    <xf numFmtId="168" fontId="8" fillId="0" borderId="0" xfId="17" applyNumberFormat="1" applyFont="1" applyFill="1"/>
    <xf numFmtId="168" fontId="12" fillId="0" borderId="0" xfId="0" applyNumberFormat="1" applyFont="1" applyFill="1"/>
    <xf numFmtId="168" fontId="8" fillId="0" borderId="13" xfId="0" applyNumberFormat="1" applyFont="1" applyFill="1" applyBorder="1"/>
    <xf numFmtId="10" fontId="19" fillId="0" borderId="0" xfId="0" applyNumberFormat="1" applyFont="1" applyFill="1"/>
    <xf numFmtId="178" fontId="3" fillId="0" borderId="0" xfId="6" applyNumberFormat="1" applyFont="1" applyFill="1"/>
    <xf numFmtId="42" fontId="21" fillId="2" borderId="0" xfId="0" applyNumberFormat="1" applyFont="1" applyFill="1" applyBorder="1"/>
    <xf numFmtId="3" fontId="5" fillId="0" borderId="8" xfId="6" quotePrefix="1" applyNumberFormat="1" applyFont="1" applyFill="1" applyBorder="1" applyAlignment="1">
      <alignment horizontal="center"/>
    </xf>
    <xf numFmtId="3" fontId="37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10" fontId="8" fillId="0" borderId="0" xfId="7" applyNumberFormat="1" applyFont="1" applyFill="1" applyBorder="1"/>
    <xf numFmtId="0" fontId="22" fillId="0" borderId="0" xfId="0" applyFont="1" applyFill="1" applyAlignment="1"/>
    <xf numFmtId="175" fontId="40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2" fontId="4" fillId="2" borderId="0" xfId="1" applyNumberFormat="1" applyFont="1" applyFill="1"/>
    <xf numFmtId="3" fontId="41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3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14" fontId="22" fillId="0" borderId="10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8" fillId="0" borderId="0" xfId="0" applyFont="1" applyAlignment="1">
      <alignment horizontal="center"/>
    </xf>
    <xf numFmtId="41" fontId="25" fillId="0" borderId="0" xfId="5" applyNumberFormat="1" applyFont="1" applyFill="1" applyAlignment="1">
      <alignment horizontal="center"/>
    </xf>
    <xf numFmtId="3" fontId="26" fillId="0" borderId="1" xfId="6" applyNumberFormat="1" applyFont="1" applyFill="1" applyBorder="1" applyAlignment="1">
      <alignment horizontal="center"/>
    </xf>
    <xf numFmtId="3" fontId="26" fillId="0" borderId="5" xfId="6" applyNumberFormat="1" applyFont="1" applyFill="1" applyBorder="1" applyAlignment="1">
      <alignment horizontal="center"/>
    </xf>
    <xf numFmtId="3" fontId="26" fillId="0" borderId="8" xfId="6" applyNumberFormat="1" applyFont="1" applyFill="1" applyBorder="1" applyAlignment="1">
      <alignment horizontal="center"/>
    </xf>
    <xf numFmtId="42" fontId="25" fillId="0" borderId="0" xfId="4" applyNumberFormat="1" applyFont="1" applyFill="1"/>
    <xf numFmtId="41" fontId="25" fillId="0" borderId="0" xfId="4" applyNumberFormat="1" applyFont="1" applyFill="1"/>
    <xf numFmtId="41" fontId="25" fillId="0" borderId="10" xfId="4" applyNumberFormat="1" applyFont="1" applyFill="1" applyBorder="1"/>
    <xf numFmtId="41" fontId="25" fillId="0" borderId="0" xfId="4" applyNumberFormat="1" applyFont="1" applyFill="1" applyBorder="1"/>
    <xf numFmtId="3" fontId="25" fillId="0" borderId="0" xfId="5" applyNumberFormat="1" applyFont="1" applyFill="1" applyBorder="1"/>
    <xf numFmtId="3" fontId="25" fillId="0" borderId="0" xfId="6" applyNumberFormat="1" applyFont="1" applyFill="1" applyBorder="1"/>
    <xf numFmtId="3" fontId="25" fillId="0" borderId="0" xfId="6" applyNumberFormat="1" applyFont="1" applyBorder="1"/>
    <xf numFmtId="3" fontId="26" fillId="0" borderId="0" xfId="22" applyNumberFormat="1" applyFont="1" applyFill="1" applyAlignment="1">
      <alignment horizontal="center"/>
    </xf>
    <xf numFmtId="3" fontId="26" fillId="0" borderId="0" xfId="6" applyNumberFormat="1" applyFont="1" applyFill="1" applyAlignment="1">
      <alignment horizontal="center"/>
    </xf>
    <xf numFmtId="4" fontId="26" fillId="0" borderId="0" xfId="6" applyNumberFormat="1" applyFont="1" applyFill="1" applyAlignment="1">
      <alignment horizontal="center"/>
    </xf>
    <xf numFmtId="3" fontId="26" fillId="0" borderId="0" xfId="6" applyNumberFormat="1" applyFont="1" applyFill="1"/>
    <xf numFmtId="41" fontId="26" fillId="0" borderId="0" xfId="20" applyNumberFormat="1" applyFont="1" applyFill="1"/>
    <xf numFmtId="41" fontId="26" fillId="0" borderId="0" xfId="22" applyNumberFormat="1" applyFont="1" applyFill="1" applyAlignment="1">
      <alignment horizontal="center"/>
    </xf>
    <xf numFmtId="0" fontId="50" fillId="0" borderId="0" xfId="0" applyFont="1"/>
    <xf numFmtId="0" fontId="50" fillId="0" borderId="0" xfId="0" applyFont="1" applyFill="1"/>
    <xf numFmtId="0" fontId="26" fillId="0" borderId="0" xfId="6" applyNumberFormat="1" applyFont="1" applyFill="1" applyAlignment="1">
      <alignment horizontal="center"/>
    </xf>
    <xf numFmtId="41" fontId="26" fillId="0" borderId="1" xfId="22" applyNumberFormat="1" applyFont="1" applyFill="1" applyBorder="1" applyAlignment="1">
      <alignment horizontal="center"/>
    </xf>
    <xf numFmtId="41" fontId="26" fillId="0" borderId="5" xfId="22" applyNumberFormat="1" applyFont="1" applyFill="1" applyBorder="1" applyAlignment="1">
      <alignment horizontal="center"/>
    </xf>
    <xf numFmtId="41" fontId="26" fillId="0" borderId="8" xfId="22" applyNumberFormat="1" applyFont="1" applyFill="1" applyBorder="1" applyAlignment="1">
      <alignment horizontal="center"/>
    </xf>
    <xf numFmtId="4" fontId="26" fillId="0" borderId="0" xfId="6" applyNumberFormat="1" applyFont="1" applyFill="1" applyBorder="1" applyAlignment="1">
      <alignment horizontal="center"/>
    </xf>
    <xf numFmtId="41" fontId="26" fillId="0" borderId="0" xfId="20" applyNumberFormat="1" applyFont="1" applyFill="1" applyBorder="1" applyAlignment="1">
      <alignment horizontal="center" vertical="center"/>
    </xf>
    <xf numFmtId="41" fontId="26" fillId="0" borderId="0" xfId="20" applyNumberFormat="1" applyFont="1" applyFill="1" applyAlignment="1">
      <alignment horizontal="center"/>
    </xf>
    <xf numFmtId="3" fontId="26" fillId="0" borderId="10" xfId="6" applyNumberFormat="1" applyFont="1" applyFill="1" applyBorder="1" applyAlignment="1">
      <alignment vertical="top" wrapText="1"/>
    </xf>
    <xf numFmtId="3" fontId="26" fillId="0" borderId="5" xfId="5" applyNumberFormat="1" applyFont="1" applyFill="1" applyBorder="1" applyAlignment="1">
      <alignment horizontal="center"/>
    </xf>
    <xf numFmtId="3" fontId="26" fillId="0" borderId="8" xfId="5" applyNumberFormat="1" applyFont="1" applyFill="1" applyBorder="1" applyAlignment="1">
      <alignment horizontal="center"/>
    </xf>
    <xf numFmtId="41" fontId="25" fillId="0" borderId="10" xfId="6" applyNumberFormat="1" applyFont="1" applyFill="1" applyBorder="1"/>
    <xf numFmtId="42" fontId="25" fillId="0" borderId="12" xfId="6" applyNumberFormat="1" applyFont="1" applyFill="1" applyBorder="1"/>
    <xf numFmtId="41" fontId="26" fillId="0" borderId="0" xfId="6" applyNumberFormat="1" applyFont="1" applyFill="1"/>
    <xf numFmtId="41" fontId="26" fillId="0" borderId="0" xfId="4" applyNumberFormat="1" applyFont="1" applyFill="1"/>
    <xf numFmtId="42" fontId="26" fillId="0" borderId="0" xfId="4" applyNumberFormat="1" applyFont="1" applyFill="1"/>
    <xf numFmtId="41" fontId="26" fillId="0" borderId="10" xfId="4" applyNumberFormat="1" applyFont="1" applyFill="1" applyBorder="1"/>
    <xf numFmtId="41" fontId="25" fillId="0" borderId="13" xfId="6" applyNumberFormat="1" applyFont="1" applyFill="1" applyBorder="1"/>
    <xf numFmtId="41" fontId="25" fillId="0" borderId="0" xfId="6" applyNumberFormat="1" applyFont="1" applyFill="1" applyBorder="1"/>
    <xf numFmtId="42" fontId="26" fillId="0" borderId="12" xfId="6" applyNumberFormat="1" applyFont="1" applyFill="1" applyBorder="1"/>
    <xf numFmtId="3" fontId="26" fillId="0" borderId="0" xfId="6" applyNumberFormat="1" applyFont="1" applyFill="1" applyBorder="1"/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1" fontId="49" fillId="0" borderId="0" xfId="6" applyNumberFormat="1" applyFont="1" applyFill="1" applyAlignment="1">
      <alignment vertical="top" wrapText="1"/>
    </xf>
    <xf numFmtId="41" fontId="25" fillId="0" borderId="3" xfId="6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51" fillId="0" borderId="0" xfId="0" applyFont="1" applyFill="1"/>
    <xf numFmtId="10" fontId="8" fillId="0" borderId="14" xfId="0" applyNumberFormat="1" applyFont="1" applyFill="1" applyBorder="1" applyAlignment="1">
      <alignment horizontal="left"/>
    </xf>
    <xf numFmtId="5" fontId="8" fillId="0" borderId="14" xfId="2" applyNumberFormat="1" applyFont="1" applyFill="1" applyBorder="1"/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37" fontId="9" fillId="0" borderId="20" xfId="20" applyNumberFormat="1" applyFont="1" applyFill="1" applyBorder="1" applyAlignment="1">
      <alignment horizontal="center" wrapText="1"/>
    </xf>
    <xf numFmtId="37" fontId="9" fillId="0" borderId="33" xfId="20" applyNumberFormat="1" applyFont="1" applyFill="1" applyBorder="1" applyAlignment="1">
      <alignment horizontal="center" wrapText="1"/>
    </xf>
    <xf numFmtId="15" fontId="22" fillId="0" borderId="33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5" applyNumberFormat="1" applyFont="1" applyAlignment="1">
      <alignment horizontal="center"/>
    </xf>
    <xf numFmtId="0" fontId="8" fillId="0" borderId="25" xfId="13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4" fontId="31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2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3"/>
  <sheetViews>
    <sheetView tabSelected="1" view="pageBreakPreview" zoomScale="115" zoomScaleNormal="100" zoomScaleSheetLayoutView="115" workbookViewId="0">
      <selection activeCell="A30" sqref="A30:E30"/>
    </sheetView>
  </sheetViews>
  <sheetFormatPr defaultColWidth="11.44140625" defaultRowHeight="13.2"/>
  <cols>
    <col min="1" max="1" width="10" style="35" customWidth="1"/>
    <col min="2" max="2" width="12.5546875" style="202" customWidth="1"/>
    <col min="3" max="3" width="41.88671875" style="35" customWidth="1"/>
    <col min="4" max="5" width="11.44140625" style="35" customWidth="1"/>
    <col min="6" max="6" width="8.5546875" style="281" customWidth="1"/>
    <col min="7" max="7" width="8.5546875" style="468" customWidth="1"/>
    <col min="8" max="8" width="8.5546875" style="374" customWidth="1"/>
    <col min="9" max="9" width="8.5546875" style="35" customWidth="1"/>
    <col min="10" max="10" width="11.44140625" style="35" customWidth="1"/>
    <col min="11" max="16384" width="11.44140625" style="35"/>
  </cols>
  <sheetData>
    <row r="1" spans="1:13">
      <c r="A1" s="562" t="str">
        <f>'ADJ DETAIL INPUT'!A2</f>
        <v>AVISTA UTILITIES</v>
      </c>
      <c r="B1" s="562"/>
      <c r="C1" s="562"/>
      <c r="D1" s="562"/>
      <c r="E1" s="562"/>
      <c r="F1" s="562"/>
      <c r="G1" s="467"/>
      <c r="I1" s="69"/>
      <c r="J1" s="42"/>
    </row>
    <row r="2" spans="1:13">
      <c r="A2" s="563" t="s">
        <v>59</v>
      </c>
      <c r="B2" s="563"/>
      <c r="C2" s="563"/>
      <c r="D2" s="563"/>
      <c r="E2" s="563"/>
      <c r="F2" s="563"/>
      <c r="I2" s="69"/>
      <c r="J2" s="41"/>
    </row>
    <row r="3" spans="1:13" s="41" customFormat="1">
      <c r="A3" s="561" t="s">
        <v>126</v>
      </c>
      <c r="B3" s="561"/>
      <c r="C3" s="561"/>
      <c r="D3" s="561"/>
      <c r="E3" s="561"/>
      <c r="F3" s="561"/>
      <c r="G3" s="469"/>
      <c r="H3" s="375"/>
      <c r="I3" s="43"/>
      <c r="J3" s="44"/>
    </row>
    <row r="4" spans="1:13" s="41" customFormat="1">
      <c r="A4" s="560" t="str">
        <f>'ADJ DETAIL INPUT'!A4</f>
        <v>TWELVE MONTHS ENDED DECEMBER 31, 2018</v>
      </c>
      <c r="B4" s="561"/>
      <c r="C4" s="561"/>
      <c r="D4" s="561"/>
      <c r="E4" s="561"/>
      <c r="F4" s="561"/>
      <c r="G4" s="469"/>
      <c r="H4" s="375"/>
      <c r="I4" s="43"/>
      <c r="J4" s="44"/>
    </row>
    <row r="5" spans="1:13" s="41" customFormat="1">
      <c r="A5" s="35"/>
      <c r="B5" s="202"/>
      <c r="C5" s="35"/>
      <c r="D5" s="283"/>
      <c r="E5" s="283" t="s">
        <v>59</v>
      </c>
      <c r="F5" s="281"/>
      <c r="G5" s="469"/>
      <c r="H5" s="375"/>
      <c r="I5" s="43"/>
      <c r="J5" s="45"/>
    </row>
    <row r="6" spans="1:13">
      <c r="A6" s="283" t="s">
        <v>60</v>
      </c>
      <c r="B6" s="283" t="s">
        <v>198</v>
      </c>
      <c r="C6" s="283" t="s">
        <v>61</v>
      </c>
      <c r="D6" s="283" t="s">
        <v>62</v>
      </c>
      <c r="E6" s="283" t="s">
        <v>18</v>
      </c>
      <c r="F6" s="50" t="s">
        <v>63</v>
      </c>
      <c r="G6" s="470" t="s">
        <v>146</v>
      </c>
      <c r="H6" s="466" t="s">
        <v>145</v>
      </c>
      <c r="I6" s="279" t="s">
        <v>379</v>
      </c>
      <c r="J6" s="282"/>
    </row>
    <row r="7" spans="1:13">
      <c r="A7" s="354" t="s">
        <v>411</v>
      </c>
      <c r="B7" s="282"/>
      <c r="C7" s="282"/>
      <c r="D7" s="282"/>
      <c r="E7" s="282"/>
      <c r="F7" s="282"/>
      <c r="G7" s="469"/>
      <c r="H7" s="375"/>
      <c r="I7" s="41"/>
      <c r="J7" s="282"/>
    </row>
    <row r="8" spans="1:13">
      <c r="A8" s="322">
        <f>'ADJ DETAIL INPUT'!E$10</f>
        <v>1</v>
      </c>
      <c r="B8" s="204" t="str">
        <f>'ADJ DETAIL INPUT'!E$11</f>
        <v>G-ROO</v>
      </c>
      <c r="C8" s="46" t="str">
        <f>TRIM(CONCATENATE('ADJ DETAIL INPUT'!E$7," ",'ADJ DETAIL INPUT'!E$8," ",'ADJ DETAIL INPUT'!E$9))</f>
        <v>Per Results Report</v>
      </c>
      <c r="D8" s="47">
        <f>'ADJ DETAIL INPUT'!E$58</f>
        <v>24614</v>
      </c>
      <c r="E8" s="47">
        <f>'ADJ DETAIL INPUT'!E$81</f>
        <v>348658</v>
      </c>
      <c r="H8" s="468" t="s">
        <v>112</v>
      </c>
      <c r="I8" s="372" t="s">
        <v>468</v>
      </c>
      <c r="J8" s="67"/>
      <c r="K8" s="353"/>
      <c r="L8" s="353"/>
      <c r="M8" s="353"/>
    </row>
    <row r="9" spans="1:13">
      <c r="A9" s="322">
        <f>'ADJ DETAIL INPUT'!F$10</f>
        <v>1.01</v>
      </c>
      <c r="B9" s="204" t="str">
        <f>'ADJ DETAIL INPUT'!F$11</f>
        <v>G-DFIT</v>
      </c>
      <c r="C9" s="46" t="str">
        <f>TRIM(CONCATENATE('ADJ DETAIL INPUT'!F$7," ",'ADJ DETAIL INPUT'!F$8," ",'ADJ DETAIL INPUT'!F$9))</f>
        <v>Deferred FIT Rate Base</v>
      </c>
      <c r="D9" s="87">
        <f>'ADJ DETAIL INPUT'!F$58</f>
        <v>-7.4109209999999983</v>
      </c>
      <c r="E9" s="87">
        <f>'ADJ DETAIL INPUT'!F$81</f>
        <v>-1247</v>
      </c>
      <c r="H9" s="468" t="s">
        <v>112</v>
      </c>
      <c r="I9" s="511" t="s">
        <v>468</v>
      </c>
      <c r="J9" s="67"/>
      <c r="K9" s="353"/>
      <c r="L9" s="353"/>
      <c r="M9" s="353"/>
    </row>
    <row r="10" spans="1:13">
      <c r="A10" s="322">
        <f>'ADJ DETAIL INPUT'!G$10</f>
        <v>1.02</v>
      </c>
      <c r="B10" s="204" t="str">
        <f>'ADJ DETAIL INPUT'!G$11</f>
        <v>G-DDC</v>
      </c>
      <c r="C10" s="46" t="str">
        <f>TRIM(CONCATENATE('ADJ DETAIL INPUT'!G$7," ",'ADJ DETAIL INPUT'!G$8," ",'ADJ DETAIL INPUT'!G$9))</f>
        <v>Deferred Debits and Credits</v>
      </c>
      <c r="D10" s="87">
        <f>'ADJ DETAIL INPUT'!G$58</f>
        <v>-7.9416010000000004</v>
      </c>
      <c r="E10" s="87">
        <f>'ADJ DETAIL INPUT'!G$81</f>
        <v>-7</v>
      </c>
      <c r="H10" s="468" t="s">
        <v>417</v>
      </c>
      <c r="I10" s="511" t="s">
        <v>468</v>
      </c>
      <c r="J10" s="67"/>
      <c r="K10" s="353"/>
      <c r="L10" s="353"/>
      <c r="M10" s="353"/>
    </row>
    <row r="11" spans="1:13">
      <c r="A11" s="322">
        <f>'ADJ DETAIL INPUT'!H$10</f>
        <v>1.03</v>
      </c>
      <c r="B11" s="204" t="str">
        <f>'ADJ DETAIL INPUT'!H$11</f>
        <v>G-WC</v>
      </c>
      <c r="C11" s="46" t="str">
        <f>TRIM(CONCATENATE('ADJ DETAIL INPUT'!H$7," ",'ADJ DETAIL INPUT'!H$8," ",'ADJ DETAIL INPUT'!H$9))</f>
        <v>Working Capital</v>
      </c>
      <c r="D11" s="87">
        <f>'ADJ DETAIL INPUT'!H$58</f>
        <v>0</v>
      </c>
      <c r="E11" s="87">
        <f>'ADJ DETAIL INPUT'!H$81</f>
        <v>0</v>
      </c>
      <c r="H11" s="468" t="s">
        <v>112</v>
      </c>
      <c r="I11" s="511" t="s">
        <v>468</v>
      </c>
      <c r="J11" s="44"/>
    </row>
    <row r="12" spans="1:13" s="351" customFormat="1">
      <c r="A12" s="355">
        <f>'ADJ DETAIL INPUT'!I$10</f>
        <v>1.04</v>
      </c>
      <c r="B12" s="356" t="str">
        <f>'ADJ DETAIL INPUT'!I$11</f>
        <v>G-AMI</v>
      </c>
      <c r="C12" s="331" t="str">
        <f>TRIM(CONCATENATE('ADJ DETAIL INPUT'!I$7," ",'ADJ DETAIL INPUT'!I$8," ",'ADJ DETAIL INPUT'!I$9))</f>
        <v>Remove AMI Rate Base</v>
      </c>
      <c r="D12" s="352">
        <f>'ADJ DETAIL INPUT'!I$58</f>
        <v>-35.883833999999993</v>
      </c>
      <c r="E12" s="352">
        <f>'ADJ DETAIL INPUT'!I$81</f>
        <v>-6038</v>
      </c>
      <c r="F12" s="380"/>
      <c r="G12" s="468"/>
      <c r="H12" s="468" t="s">
        <v>112</v>
      </c>
      <c r="I12" s="511" t="s">
        <v>468</v>
      </c>
      <c r="J12" s="330"/>
    </row>
    <row r="13" spans="1:13">
      <c r="A13" s="322">
        <f>'ADJ DETAIL INPUT'!J$10</f>
        <v>2.0099999999999998</v>
      </c>
      <c r="B13" s="204" t="str">
        <f>'ADJ DETAIL INPUT'!J$11</f>
        <v>G-EBO</v>
      </c>
      <c r="C13" s="46" t="str">
        <f>TRIM(CONCATENATE('ADJ DETAIL INPUT'!J$7," ",'ADJ DETAIL INPUT'!J$8," ",'ADJ DETAIL INPUT'!J$9))</f>
        <v>Eliminate B &amp; O Taxes</v>
      </c>
      <c r="D13" s="87">
        <f>'ADJ DETAIL INPUT'!J$58</f>
        <v>-11.06</v>
      </c>
      <c r="E13" s="87">
        <f>'ADJ DETAIL INPUT'!J$81</f>
        <v>0</v>
      </c>
      <c r="H13" s="468" t="s">
        <v>405</v>
      </c>
      <c r="I13" s="511" t="s">
        <v>468</v>
      </c>
      <c r="J13" s="44"/>
    </row>
    <row r="14" spans="1:13">
      <c r="A14" s="322">
        <f>'ADJ DETAIL INPUT'!K$10</f>
        <v>2.0199999999999996</v>
      </c>
      <c r="B14" s="204" t="str">
        <f>'ADJ DETAIL INPUT'!K$11</f>
        <v>G-RPT</v>
      </c>
      <c r="C14" s="46" t="str">
        <f>TRIM(CONCATENATE('ADJ DETAIL INPUT'!K$7," ",'ADJ DETAIL INPUT'!K$8," ",'ADJ DETAIL INPUT'!K$9))</f>
        <v>Restate Property Tax</v>
      </c>
      <c r="D14" s="87">
        <f>'ADJ DETAIL INPUT'!K$58</f>
        <v>-1.58</v>
      </c>
      <c r="E14" s="87">
        <f>'ADJ DETAIL INPUT'!K$81</f>
        <v>0</v>
      </c>
      <c r="H14" s="468" t="s">
        <v>112</v>
      </c>
      <c r="I14" s="511" t="s">
        <v>468</v>
      </c>
      <c r="J14" s="44"/>
    </row>
    <row r="15" spans="1:13">
      <c r="A15" s="322">
        <f>'ADJ DETAIL INPUT'!L$10</f>
        <v>2.0299999999999994</v>
      </c>
      <c r="B15" s="204" t="str">
        <f>'ADJ DETAIL INPUT'!L$11</f>
        <v>G-UE</v>
      </c>
      <c r="C15" s="46" t="str">
        <f>TRIM(CONCATENATE('ADJ DETAIL INPUT'!L$7," ",'ADJ DETAIL INPUT'!L$8," ",'ADJ DETAIL INPUT'!L$9))</f>
        <v>Uncollectible Expense</v>
      </c>
      <c r="D15" s="87">
        <f>'ADJ DETAIL INPUT'!L$58</f>
        <v>252.8</v>
      </c>
      <c r="E15" s="87">
        <f>'ADJ DETAIL INPUT'!L$81</f>
        <v>0</v>
      </c>
      <c r="H15" s="468" t="s">
        <v>417</v>
      </c>
      <c r="I15" s="511" t="s">
        <v>468</v>
      </c>
      <c r="J15" s="44"/>
    </row>
    <row r="16" spans="1:13">
      <c r="A16" s="322">
        <f>'ADJ DETAIL INPUT'!M$10</f>
        <v>2.0399999999999991</v>
      </c>
      <c r="B16" s="204" t="str">
        <f>'ADJ DETAIL INPUT'!M$11</f>
        <v>G-RE</v>
      </c>
      <c r="C16" s="46" t="str">
        <f>TRIM(CONCATENATE('ADJ DETAIL INPUT'!M$7," ",'ADJ DETAIL INPUT'!M$8," ",'ADJ DETAIL INPUT'!M$9))</f>
        <v>Regulatory Expense</v>
      </c>
      <c r="D16" s="87">
        <f>'ADJ DETAIL INPUT'!M$58</f>
        <v>39.5</v>
      </c>
      <c r="E16" s="87">
        <f>'ADJ DETAIL INPUT'!M$81</f>
        <v>0</v>
      </c>
      <c r="H16" s="468" t="s">
        <v>417</v>
      </c>
      <c r="I16" s="511" t="s">
        <v>468</v>
      </c>
      <c r="J16" s="44"/>
    </row>
    <row r="17" spans="1:10">
      <c r="A17" s="322">
        <f>'ADJ DETAIL INPUT'!N$10</f>
        <v>2.0499999999999989</v>
      </c>
      <c r="B17" s="204" t="str">
        <f>'ADJ DETAIL INPUT'!N$11</f>
        <v>G-ID</v>
      </c>
      <c r="C17" s="46" t="str">
        <f>TRIM(CONCATENATE('ADJ DETAIL INPUT'!N$7," ",'ADJ DETAIL INPUT'!N$8," ",'ADJ DETAIL INPUT'!N$9))</f>
        <v>Injuries &amp; Damages</v>
      </c>
      <c r="D17" s="87">
        <f>'ADJ DETAIL INPUT'!N$58</f>
        <v>-42.66</v>
      </c>
      <c r="E17" s="87">
        <f>'ADJ DETAIL INPUT'!N$81</f>
        <v>0</v>
      </c>
      <c r="H17" s="468" t="s">
        <v>417</v>
      </c>
      <c r="I17" s="511" t="s">
        <v>468</v>
      </c>
      <c r="J17" s="44"/>
    </row>
    <row r="18" spans="1:10">
      <c r="A18" s="322">
        <f>'ADJ DETAIL INPUT'!O$10</f>
        <v>2.0599999999999987</v>
      </c>
      <c r="B18" s="204" t="str">
        <f>'ADJ DETAIL INPUT'!O$11</f>
        <v>G-FIT</v>
      </c>
      <c r="C18" s="46" t="str">
        <f>TRIM(CONCATENATE('ADJ DETAIL INPUT'!O$7," ",'ADJ DETAIL INPUT'!O$8," ",'ADJ DETAIL INPUT'!O$9))</f>
        <v>FIT / DFIT Expense</v>
      </c>
      <c r="D18" s="323">
        <f>'ADJ DETAIL INPUT'!O$58</f>
        <v>0</v>
      </c>
      <c r="E18" s="87">
        <f>'ADJ DETAIL INPUT'!O$81</f>
        <v>0</v>
      </c>
      <c r="H18" s="468" t="s">
        <v>405</v>
      </c>
      <c r="I18" s="511" t="s">
        <v>468</v>
      </c>
      <c r="J18" s="44"/>
    </row>
    <row r="19" spans="1:10">
      <c r="A19" s="322">
        <f>'ADJ DETAIL INPUT'!P$10</f>
        <v>2.0699999999999985</v>
      </c>
      <c r="B19" s="204" t="str">
        <f>'ADJ DETAIL INPUT'!P$11</f>
        <v>G-OSC</v>
      </c>
      <c r="C19" s="46" t="str">
        <f>TRIM(CONCATENATE('ADJ DETAIL INPUT'!P$7," ",'ADJ DETAIL INPUT'!P$8," ",'ADJ DETAIL INPUT'!P$9))</f>
        <v>Office Space Charges to Non-Utility</v>
      </c>
      <c r="D19" s="87">
        <f>'ADJ DETAIL INPUT'!P$58</f>
        <v>13.43</v>
      </c>
      <c r="E19" s="87">
        <f>'ADJ DETAIL INPUT'!P$81</f>
        <v>0</v>
      </c>
      <c r="H19" s="468" t="s">
        <v>417</v>
      </c>
      <c r="I19" s="511" t="s">
        <v>468</v>
      </c>
      <c r="J19" s="44"/>
    </row>
    <row r="20" spans="1:10">
      <c r="A20" s="322">
        <f>'ADJ DETAIL INPUT'!Q$10</f>
        <v>2.0799999999999983</v>
      </c>
      <c r="B20" s="204" t="str">
        <f>'ADJ DETAIL INPUT'!Q$11</f>
        <v>G-RET</v>
      </c>
      <c r="C20" s="46" t="str">
        <f>TRIM(CONCATENATE('ADJ DETAIL INPUT'!Q$7," ",'ADJ DETAIL INPUT'!Q$8," ",'ADJ DETAIL INPUT'!Q$9))</f>
        <v>Restate Excise Taxes</v>
      </c>
      <c r="D20" s="87">
        <f>'ADJ DETAIL INPUT'!Q$58</f>
        <v>0</v>
      </c>
      <c r="E20" s="87">
        <f>'ADJ DETAIL INPUT'!Q$81</f>
        <v>0</v>
      </c>
      <c r="H20" s="468" t="s">
        <v>405</v>
      </c>
      <c r="I20" s="511" t="s">
        <v>468</v>
      </c>
      <c r="J20" s="44"/>
    </row>
    <row r="21" spans="1:10">
      <c r="A21" s="322">
        <f>'ADJ DETAIL INPUT'!R$10</f>
        <v>2.0899999999999981</v>
      </c>
      <c r="B21" s="204" t="str">
        <f>'ADJ DETAIL INPUT'!R$11</f>
        <v>G-NGL</v>
      </c>
      <c r="C21" s="46" t="str">
        <f>TRIM(CONCATENATE('ADJ DETAIL INPUT'!R$7," ",'ADJ DETAIL INPUT'!R$8," ",'ADJ DETAIL INPUT'!R$9))</f>
        <v>Net Gains &amp; Losses</v>
      </c>
      <c r="D21" s="87">
        <f>'ADJ DETAIL INPUT'!R$58</f>
        <v>10.27</v>
      </c>
      <c r="E21" s="87">
        <f>'ADJ DETAIL INPUT'!R$81</f>
        <v>0</v>
      </c>
      <c r="H21" s="468" t="s">
        <v>417</v>
      </c>
      <c r="I21" s="511" t="s">
        <v>468</v>
      </c>
      <c r="J21" s="44"/>
    </row>
    <row r="22" spans="1:10">
      <c r="A22" s="322">
        <f>'ADJ DETAIL INPUT'!S$10</f>
        <v>2.0999999999999979</v>
      </c>
      <c r="B22" s="204" t="str">
        <f>'ADJ DETAIL INPUT'!S$11</f>
        <v>G-WNGC</v>
      </c>
      <c r="C22" s="46" t="str">
        <f>TRIM(CONCATENATE('ADJ DETAIL INPUT'!S$7," ",'ADJ DETAIL INPUT'!S$8," ",'ADJ DETAIL INPUT'!S$9))</f>
        <v>Weather Normalization / Gas Cost Adjust</v>
      </c>
      <c r="D22" s="87">
        <f>'ADJ DETAIL INPUT'!S$58</f>
        <v>4.74</v>
      </c>
      <c r="E22" s="87">
        <f>'ADJ DETAIL INPUT'!S$81</f>
        <v>0</v>
      </c>
      <c r="H22" s="468" t="s">
        <v>405</v>
      </c>
      <c r="I22" s="511" t="s">
        <v>468</v>
      </c>
      <c r="J22" s="44"/>
    </row>
    <row r="23" spans="1:10" s="328" customFormat="1">
      <c r="A23" s="334">
        <f>'ADJ DETAIL INPUT'!T$10</f>
        <v>2.1099999999999977</v>
      </c>
      <c r="B23" s="335" t="str">
        <f>'ADJ DETAIL INPUT'!T$11</f>
        <v>G-EAS</v>
      </c>
      <c r="C23" s="331" t="str">
        <f>TRIM(CONCATENATE('ADJ DETAIL INPUT'!T$7," ",'ADJ DETAIL INPUT'!T$8," ",'ADJ DETAIL INPUT'!T$9))</f>
        <v>Eliminate Adder Schedules</v>
      </c>
      <c r="D23" s="332">
        <f>'ADJ DETAIL INPUT'!T$58</f>
        <v>-9.0000000000031832E-2</v>
      </c>
      <c r="E23" s="332">
        <f>'ADJ DETAIL INPUT'!T$81</f>
        <v>0</v>
      </c>
      <c r="F23" s="329"/>
      <c r="G23" s="468"/>
      <c r="H23" s="468" t="s">
        <v>464</v>
      </c>
      <c r="I23" s="511" t="s">
        <v>468</v>
      </c>
      <c r="J23" s="330"/>
    </row>
    <row r="24" spans="1:10" s="68" customFormat="1">
      <c r="A24" s="322">
        <f>'ADJ DETAIL INPUT'!U$10</f>
        <v>2.1199999999999974</v>
      </c>
      <c r="B24" s="204" t="str">
        <f>'ADJ DETAIL INPUT'!U$11</f>
        <v>G-MR</v>
      </c>
      <c r="C24" s="324" t="str">
        <f>TRIM(CONCATENATE('ADJ DETAIL INPUT'!U$7," ",'ADJ DETAIL INPUT'!U$8," ",'ADJ DETAIL INPUT'!U$9))</f>
        <v>Misc. Restating Non-Util / Non- Recurring Expense</v>
      </c>
      <c r="D24" s="323">
        <f>'ADJ DETAIL INPUT'!U$58</f>
        <v>390.26</v>
      </c>
      <c r="E24" s="323">
        <f>'ADJ DETAIL INPUT'!U$81</f>
        <v>0</v>
      </c>
      <c r="F24" s="48"/>
      <c r="H24" s="468" t="s">
        <v>417</v>
      </c>
      <c r="I24" s="511" t="s">
        <v>468</v>
      </c>
      <c r="J24" s="67"/>
    </row>
    <row r="25" spans="1:10" s="351" customFormat="1" ht="13.5" customHeight="1">
      <c r="A25" s="355">
        <f>'ADJ DETAIL INPUT'!V$10</f>
        <v>2.1299999999999972</v>
      </c>
      <c r="B25" s="356" t="str">
        <f>'ADJ DETAIL INPUT'!V$11</f>
        <v>G-RI</v>
      </c>
      <c r="C25" s="331" t="str">
        <f>TRIM(CONCATENATE('ADJ DETAIL INPUT'!V$7," ",'ADJ DETAIL INPUT'!V$8," ",'ADJ DETAIL INPUT'!V$9))</f>
        <v>Restating Incentives Expense</v>
      </c>
      <c r="D25" s="352">
        <f>'ADJ DETAIL INPUT'!V$58</f>
        <v>56.88</v>
      </c>
      <c r="E25" s="352">
        <f>'ADJ DETAIL INPUT'!V$81</f>
        <v>0</v>
      </c>
      <c r="F25" s="377"/>
      <c r="H25" s="468" t="s">
        <v>201</v>
      </c>
      <c r="I25" s="511" t="s">
        <v>468</v>
      </c>
      <c r="J25" s="330"/>
    </row>
    <row r="26" spans="1:10" s="68" customFormat="1" ht="13.5" customHeight="1">
      <c r="A26" s="322">
        <f>'ADJ DETAIL INPUT'!W$10</f>
        <v>2.139999999999997</v>
      </c>
      <c r="B26" s="204" t="str">
        <f>'ADJ DETAIL INPUT'!W$11</f>
        <v>G-DI</v>
      </c>
      <c r="C26" s="324" t="str">
        <f>TRIM(CONCATENATE('ADJ DETAIL INPUT'!W$7," ",'ADJ DETAIL INPUT'!W$8," ",'ADJ DETAIL INPUT'!W$9))</f>
        <v>Restate Debt Interest</v>
      </c>
      <c r="D26" s="323">
        <f>'ADJ DETAIL INPUT'!W$58</f>
        <v>-59</v>
      </c>
      <c r="E26" s="323">
        <f>'ADJ DETAIL INPUT'!W$81</f>
        <v>0</v>
      </c>
      <c r="F26" s="48"/>
      <c r="G26" s="468"/>
      <c r="H26" s="468" t="s">
        <v>112</v>
      </c>
      <c r="I26" s="511" t="s">
        <v>468</v>
      </c>
    </row>
    <row r="27" spans="1:10" ht="13.8" thickBot="1">
      <c r="A27" s="135"/>
      <c r="B27" s="203"/>
      <c r="C27" s="556" t="s">
        <v>479</v>
      </c>
      <c r="D27" s="49">
        <f>SUM(D8:D26)</f>
        <v>25216.253644</v>
      </c>
      <c r="E27" s="49">
        <f>SUM(E8:E26)</f>
        <v>341366</v>
      </c>
      <c r="F27" s="371">
        <f>D27/E27</f>
        <v>7.3868673634749804E-2</v>
      </c>
      <c r="H27" s="375"/>
      <c r="I27" s="41"/>
      <c r="J27" s="44"/>
    </row>
    <row r="28" spans="1:10" ht="13.8" thickTop="1">
      <c r="A28" s="355">
        <f>'ADJ DETAIL INPUT'!Y$10</f>
        <v>3</v>
      </c>
      <c r="B28" s="356" t="str">
        <f>'ADJ DETAIL INPUT'!Y$11</f>
        <v xml:space="preserve"> </v>
      </c>
      <c r="C28" s="324" t="str">
        <f>TRIM(CONCATENATE('ADJ DETAIL INPUT'!Y$7," ",'ADJ DETAIL INPUT'!Y$8," ",'ADJ DETAIL INPUT'!Y$9))</f>
        <v>Eliminate Weather Adjustment</v>
      </c>
      <c r="D28" s="323">
        <f>'ADJ DETAIL INPUT'!Y$58</f>
        <v>-4.74</v>
      </c>
      <c r="E28" s="323">
        <f>'ADJ DETAIL INPUT'!Y$81</f>
        <v>0</v>
      </c>
    </row>
    <row r="29" spans="1:10">
      <c r="A29" s="355">
        <f>'ADJ DETAIL INPUT'!Z$10</f>
        <v>3.01</v>
      </c>
      <c r="B29" s="356" t="str">
        <f>'ADJ DETAIL INPUT'!Z$11</f>
        <v xml:space="preserve"> </v>
      </c>
      <c r="C29" s="324" t="str">
        <f>TRIM(CONCATENATE('ADJ DETAIL INPUT'!Z$7," ",'ADJ DETAIL INPUT'!Z$8," ",'ADJ DETAIL INPUT'!Z$9))</f>
        <v>Eliminate Provision for Earnings Test Refund</v>
      </c>
      <c r="D29" s="323">
        <f>'ADJ DETAIL INPUT'!Z$58</f>
        <v>547.47</v>
      </c>
      <c r="E29" s="323">
        <f>'ADJ DETAIL INPUT'!Z$81</f>
        <v>0</v>
      </c>
    </row>
    <row r="30" spans="1:10" s="351" customFormat="1">
      <c r="A30" s="355">
        <f>'ADJ DETAIL INPUT'!AA$10</f>
        <v>3.02</v>
      </c>
      <c r="B30" s="356" t="str">
        <f>'ADJ DETAIL INPUT'!AA$11</f>
        <v xml:space="preserve"> </v>
      </c>
      <c r="C30" s="324" t="str">
        <f>TRIM(CONCATENATE('ADJ DETAIL INPUT'!AA$7," ",'ADJ DETAIL INPUT'!AA$8," ",'ADJ DETAIL INPUT'!AA$9))</f>
        <v>Decoupling Normalized Gas Cost</v>
      </c>
      <c r="D30" s="323">
        <f>'ADJ DETAIL INPUT'!AA$58</f>
        <v>0</v>
      </c>
      <c r="E30" s="323">
        <f>'ADJ DETAIL INPUT'!AA$81</f>
        <v>0</v>
      </c>
      <c r="F30" s="555"/>
      <c r="G30" s="468"/>
      <c r="H30" s="374"/>
    </row>
    <row r="31" spans="1:10">
      <c r="A31" s="355">
        <f>'ADJ DETAIL INPUT'!AB$10</f>
        <v>3.03</v>
      </c>
      <c r="B31" s="356" t="str">
        <f>'ADJ DETAIL INPUT'!AB$11</f>
        <v xml:space="preserve"> </v>
      </c>
      <c r="C31" s="324" t="str">
        <f>TRIM(CONCATENATE('ADJ DETAIL INPUT'!AB$7," ",'ADJ DETAIL INPUT'!AB$8," ",'ADJ DETAIL INPUT'!AB$9))</f>
        <v>Prior Period Property Tax True-Up</v>
      </c>
      <c r="D31" s="323">
        <f>'ADJ DETAIL INPUT'!AB$58</f>
        <v>-1.58</v>
      </c>
      <c r="E31" s="323">
        <f>'ADJ DETAIL INPUT'!AB$81</f>
        <v>0</v>
      </c>
    </row>
    <row r="32" spans="1:10" ht="14.4" thickBot="1">
      <c r="C32" s="557" t="s">
        <v>480</v>
      </c>
      <c r="D32" s="559">
        <f>SUM(D27:D31)</f>
        <v>25757.403643999998</v>
      </c>
      <c r="E32" s="559">
        <f>SUM(E27:E31)</f>
        <v>341366</v>
      </c>
      <c r="F32" s="558">
        <f>D32/E32</f>
        <v>7.5453922312122473E-2</v>
      </c>
    </row>
    <row r="33" ht="13.8" thickTop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7" orientation="portrait" horizontalDpi="1200" verticalDpi="1200" r:id="rId3"/>
  <headerFooter alignWithMargins="0">
    <oddHeader>&amp;R12.2018 CBR
Summary</oddHeader>
    <oddFooter>&amp;RSummary Page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98"/>
  <sheetViews>
    <sheetView view="pageBreakPreview" zoomScaleNormal="100" zoomScaleSheetLayoutView="100" workbookViewId="0">
      <pane xSplit="5" ySplit="12" topLeftCell="V53" activePane="bottomRight" state="frozen"/>
      <selection activeCell="K25" sqref="K25"/>
      <selection pane="topRight" activeCell="K25" sqref="K25"/>
      <selection pane="bottomLeft" activeCell="K25" sqref="K25"/>
      <selection pane="bottomRight" activeCell="AE86" sqref="AE86"/>
    </sheetView>
  </sheetViews>
  <sheetFormatPr defaultColWidth="10.6640625" defaultRowHeight="12"/>
  <cols>
    <col min="1" max="1" width="5.6640625" style="86" customWidth="1"/>
    <col min="2" max="3" width="1.6640625" style="1" customWidth="1"/>
    <col min="4" max="4" width="30.33203125" style="1" customWidth="1"/>
    <col min="5" max="5" width="8.6640625" style="51" bestFit="1" customWidth="1"/>
    <col min="6" max="6" width="10.6640625" style="51" customWidth="1"/>
    <col min="7" max="7" width="10.6640625" style="95" customWidth="1"/>
    <col min="8" max="11" width="10.6640625" style="51" customWidth="1"/>
    <col min="12" max="13" width="10.6640625" style="95" customWidth="1"/>
    <col min="14" max="14" width="10.88671875" style="95" customWidth="1"/>
    <col min="15" max="15" width="8.6640625" style="51" customWidth="1"/>
    <col min="16" max="16" width="12.5546875" style="95" customWidth="1"/>
    <col min="17" max="17" width="9.6640625" style="51" customWidth="1"/>
    <col min="18" max="18" width="10.33203125" style="95" customWidth="1"/>
    <col min="19" max="19" width="14.44140625" style="51" customWidth="1"/>
    <col min="20" max="20" width="11.44140625" style="51" customWidth="1"/>
    <col min="21" max="21" width="16.88671875" style="95" customWidth="1"/>
    <col min="22" max="22" width="15.33203125" style="526" customWidth="1"/>
    <col min="23" max="23" width="12.5546875" style="487" customWidth="1"/>
    <col min="24" max="24" width="11.109375" style="284" customWidth="1"/>
    <col min="25" max="25" width="9.88671875" style="284" customWidth="1"/>
    <col min="26" max="26" width="16" style="1" customWidth="1"/>
    <col min="27" max="27" width="8.88671875" style="1" customWidth="1"/>
    <col min="28" max="16384" width="10.6640625" style="1"/>
  </cols>
  <sheetData>
    <row r="1" spans="1:29" ht="8.25" customHeight="1">
      <c r="F1" s="144"/>
      <c r="G1" s="142"/>
      <c r="H1" s="144"/>
      <c r="I1" s="144"/>
      <c r="J1" s="144"/>
      <c r="K1" s="144"/>
      <c r="L1" s="142"/>
      <c r="M1" s="142"/>
      <c r="N1" s="142"/>
      <c r="O1" s="144"/>
      <c r="P1" s="142"/>
      <c r="Q1" s="144"/>
      <c r="R1" s="142"/>
    </row>
    <row r="2" spans="1:29" ht="12.75" customHeight="1">
      <c r="A2" s="285" t="str">
        <f>'ROO INPUT'!A3:C3</f>
        <v>AVISTA UTILITIES</v>
      </c>
      <c r="F2" s="1"/>
      <c r="G2" s="93"/>
      <c r="H2" s="1"/>
      <c r="I2" s="1"/>
      <c r="J2" s="1"/>
      <c r="K2" s="1"/>
      <c r="L2" s="93"/>
      <c r="M2" s="93"/>
      <c r="N2" s="93"/>
      <c r="O2" s="1"/>
      <c r="P2" s="93"/>
      <c r="Q2" s="1"/>
      <c r="R2" s="93"/>
      <c r="S2" s="351"/>
      <c r="T2" s="351"/>
      <c r="U2" s="529"/>
      <c r="V2" s="530"/>
      <c r="W2" s="353"/>
    </row>
    <row r="3" spans="1:29" ht="15" customHeight="1">
      <c r="A3" s="285" t="s">
        <v>396</v>
      </c>
      <c r="F3" s="479" t="s">
        <v>410</v>
      </c>
      <c r="H3" s="487"/>
      <c r="I3" s="487"/>
      <c r="J3" s="487"/>
      <c r="K3" s="286"/>
      <c r="L3" s="90"/>
      <c r="M3" s="90"/>
      <c r="N3" s="90"/>
      <c r="O3" s="487"/>
      <c r="P3" s="90"/>
      <c r="Q3" s="487"/>
      <c r="R3" s="524"/>
      <c r="S3" s="353"/>
      <c r="T3" s="353"/>
      <c r="U3" s="530"/>
      <c r="V3" s="530"/>
      <c r="W3" s="495"/>
      <c r="X3" s="321"/>
      <c r="Y3" s="321"/>
    </row>
    <row r="4" spans="1:29" ht="13.2">
      <c r="A4" s="285" t="str">
        <f>'ROO INPUT'!A5:C5</f>
        <v>TWELVE MONTHS ENDED DECEMBER 31, 2018</v>
      </c>
      <c r="E4" s="288" t="s">
        <v>427</v>
      </c>
      <c r="F4" s="284"/>
      <c r="G4" s="96"/>
      <c r="H4" s="487"/>
      <c r="I4" s="487"/>
      <c r="J4" s="321"/>
      <c r="K4" s="488"/>
      <c r="L4" s="523"/>
      <c r="M4" s="526"/>
      <c r="N4" s="526"/>
      <c r="O4" s="321"/>
      <c r="P4" s="526"/>
      <c r="Q4" s="321"/>
      <c r="R4" s="527"/>
      <c r="S4" s="353"/>
      <c r="T4" s="353"/>
      <c r="U4" s="530"/>
      <c r="V4" s="536"/>
      <c r="W4" s="495"/>
      <c r="X4" s="321"/>
      <c r="Y4" s="326"/>
    </row>
    <row r="5" spans="1:29" s="289" customFormat="1" ht="14.25" customHeight="1">
      <c r="A5" s="285" t="str">
        <f>'ROO INPUT'!A6:C6</f>
        <v xml:space="preserve">(000'S OF DOLLARS)   </v>
      </c>
      <c r="B5" s="86"/>
      <c r="C5" s="86"/>
      <c r="D5" s="86"/>
      <c r="E5" s="378" t="s">
        <v>430</v>
      </c>
      <c r="F5" s="287"/>
      <c r="G5" s="512"/>
      <c r="H5" s="488"/>
      <c r="I5" s="488"/>
      <c r="J5" s="287"/>
      <c r="K5" s="488"/>
      <c r="L5" s="523"/>
      <c r="M5" s="512"/>
      <c r="N5" s="512"/>
      <c r="O5" s="287"/>
      <c r="P5" s="512"/>
      <c r="Q5" s="287"/>
      <c r="R5" s="527"/>
      <c r="S5" s="504"/>
      <c r="T5" s="505"/>
      <c r="U5" s="531"/>
      <c r="V5" s="537"/>
      <c r="W5" s="495"/>
      <c r="X5" s="287"/>
      <c r="Y5" s="506"/>
    </row>
    <row r="6" spans="1:29" s="292" customFormat="1" ht="3.75" customHeight="1">
      <c r="A6" s="291"/>
      <c r="D6" s="370"/>
      <c r="E6" s="370"/>
      <c r="F6" s="288"/>
      <c r="G6" s="101"/>
      <c r="H6" s="286"/>
      <c r="I6" s="286"/>
      <c r="J6" s="286"/>
      <c r="K6" s="494"/>
      <c r="L6" s="524"/>
      <c r="M6" s="524"/>
      <c r="N6" s="524"/>
      <c r="O6" s="286"/>
      <c r="P6" s="524"/>
      <c r="Q6" s="286"/>
      <c r="R6" s="528"/>
      <c r="S6" s="286"/>
      <c r="T6" s="286"/>
      <c r="U6" s="524"/>
      <c r="V6" s="538"/>
      <c r="W6" s="496"/>
      <c r="X6" s="286"/>
      <c r="Y6" s="290"/>
    </row>
    <row r="7" spans="1:29" s="292" customFormat="1" ht="12" customHeight="1">
      <c r="A7" s="293"/>
      <c r="B7" s="294"/>
      <c r="C7" s="295"/>
      <c r="D7" s="296"/>
      <c r="E7" s="297" t="s">
        <v>0</v>
      </c>
      <c r="F7" s="480" t="s">
        <v>1</v>
      </c>
      <c r="G7" s="513" t="s">
        <v>420</v>
      </c>
      <c r="H7" s="480" t="s">
        <v>391</v>
      </c>
      <c r="I7" s="490" t="s">
        <v>441</v>
      </c>
      <c r="J7" s="480" t="s">
        <v>2</v>
      </c>
      <c r="K7" s="480" t="s">
        <v>5</v>
      </c>
      <c r="L7" s="513" t="s">
        <v>101</v>
      </c>
      <c r="M7" s="513" t="s">
        <v>3</v>
      </c>
      <c r="N7" s="513" t="s">
        <v>4</v>
      </c>
      <c r="O7" s="480" t="s">
        <v>386</v>
      </c>
      <c r="P7" s="513" t="s">
        <v>6</v>
      </c>
      <c r="Q7" s="480" t="s">
        <v>5</v>
      </c>
      <c r="R7" s="513" t="s">
        <v>113</v>
      </c>
      <c r="S7" s="480" t="s">
        <v>397</v>
      </c>
      <c r="T7" s="497" t="s">
        <v>399</v>
      </c>
      <c r="U7" s="532" t="s">
        <v>425</v>
      </c>
      <c r="V7" s="513" t="s">
        <v>139</v>
      </c>
      <c r="W7" s="497" t="s">
        <v>5</v>
      </c>
      <c r="X7" s="280" t="s">
        <v>394</v>
      </c>
      <c r="Y7" s="280" t="s">
        <v>399</v>
      </c>
      <c r="Z7" s="280" t="s">
        <v>399</v>
      </c>
      <c r="AA7" s="280" t="s">
        <v>470</v>
      </c>
      <c r="AB7" s="280" t="s">
        <v>481</v>
      </c>
      <c r="AC7" s="280" t="s">
        <v>471</v>
      </c>
    </row>
    <row r="8" spans="1:29" s="292" customFormat="1">
      <c r="A8" s="298" t="s">
        <v>7</v>
      </c>
      <c r="B8" s="299"/>
      <c r="C8" s="300"/>
      <c r="D8" s="301"/>
      <c r="E8" s="357" t="s">
        <v>8</v>
      </c>
      <c r="F8" s="481" t="s">
        <v>9</v>
      </c>
      <c r="G8" s="514" t="s">
        <v>421</v>
      </c>
      <c r="H8" s="481" t="s">
        <v>116</v>
      </c>
      <c r="I8" s="491" t="s">
        <v>442</v>
      </c>
      <c r="J8" s="481" t="s">
        <v>10</v>
      </c>
      <c r="K8" s="481" t="s">
        <v>11</v>
      </c>
      <c r="L8" s="514" t="s">
        <v>12</v>
      </c>
      <c r="M8" s="514" t="s">
        <v>12</v>
      </c>
      <c r="N8" s="514" t="s">
        <v>424</v>
      </c>
      <c r="O8" s="481" t="s">
        <v>387</v>
      </c>
      <c r="P8" s="514" t="s">
        <v>14</v>
      </c>
      <c r="Q8" s="481" t="s">
        <v>114</v>
      </c>
      <c r="R8" s="514" t="s">
        <v>422</v>
      </c>
      <c r="S8" s="481" t="s">
        <v>398</v>
      </c>
      <c r="T8" s="498" t="s">
        <v>400</v>
      </c>
      <c r="U8" s="533" t="s">
        <v>426</v>
      </c>
      <c r="V8" s="539" t="s">
        <v>419</v>
      </c>
      <c r="W8" s="498" t="s">
        <v>13</v>
      </c>
      <c r="X8" s="333" t="s">
        <v>174</v>
      </c>
      <c r="Y8" s="333" t="s">
        <v>472</v>
      </c>
      <c r="Z8" s="333" t="s">
        <v>473</v>
      </c>
      <c r="AA8" s="333" t="s">
        <v>474</v>
      </c>
      <c r="AB8" s="333" t="s">
        <v>482</v>
      </c>
      <c r="AC8" s="333" t="s">
        <v>475</v>
      </c>
    </row>
    <row r="9" spans="1:29" s="292" customFormat="1" ht="11.4">
      <c r="A9" s="302" t="s">
        <v>15</v>
      </c>
      <c r="B9" s="303"/>
      <c r="C9" s="304"/>
      <c r="D9" s="305" t="s">
        <v>16</v>
      </c>
      <c r="E9" s="358" t="s">
        <v>17</v>
      </c>
      <c r="F9" s="482" t="s">
        <v>18</v>
      </c>
      <c r="G9" s="515" t="s">
        <v>202</v>
      </c>
      <c r="H9" s="482"/>
      <c r="I9" s="492" t="s">
        <v>18</v>
      </c>
      <c r="J9" s="482" t="s">
        <v>20</v>
      </c>
      <c r="K9" s="482" t="s">
        <v>21</v>
      </c>
      <c r="L9" s="515"/>
      <c r="M9" s="515"/>
      <c r="N9" s="515" t="s">
        <v>22</v>
      </c>
      <c r="O9" s="482" t="s">
        <v>12</v>
      </c>
      <c r="P9" s="515" t="s">
        <v>444</v>
      </c>
      <c r="Q9" s="482" t="s">
        <v>20</v>
      </c>
      <c r="R9" s="515" t="s">
        <v>423</v>
      </c>
      <c r="S9" s="482" t="s">
        <v>102</v>
      </c>
      <c r="T9" s="499" t="s">
        <v>401</v>
      </c>
      <c r="U9" s="534" t="s">
        <v>445</v>
      </c>
      <c r="V9" s="540" t="s">
        <v>12</v>
      </c>
      <c r="W9" s="499" t="s">
        <v>23</v>
      </c>
      <c r="X9" s="464" t="s">
        <v>469</v>
      </c>
      <c r="Y9" s="551" t="s">
        <v>19</v>
      </c>
      <c r="Z9" s="551" t="s">
        <v>476</v>
      </c>
      <c r="AA9" s="551" t="s">
        <v>478</v>
      </c>
      <c r="AB9" s="551" t="s">
        <v>483</v>
      </c>
      <c r="AC9" s="551" t="s">
        <v>174</v>
      </c>
    </row>
    <row r="10" spans="1:29" s="292" customFormat="1">
      <c r="A10" s="291"/>
      <c r="B10" s="306" t="s">
        <v>148</v>
      </c>
      <c r="E10" s="338">
        <v>1</v>
      </c>
      <c r="F10" s="338">
        <f>E10+0.01</f>
        <v>1.01</v>
      </c>
      <c r="G10" s="134">
        <f t="shared" ref="G10" si="0">F10+0.01</f>
        <v>1.02</v>
      </c>
      <c r="H10" s="489">
        <f>G10+0.01</f>
        <v>1.03</v>
      </c>
      <c r="I10" s="493">
        <f>H10+0.01</f>
        <v>1.04</v>
      </c>
      <c r="J10" s="489">
        <v>2.0099999999999998</v>
      </c>
      <c r="K10" s="489">
        <f>J10+0.01</f>
        <v>2.0199999999999996</v>
      </c>
      <c r="L10" s="525">
        <f t="shared" ref="L10:S10" si="1">K10+0.01</f>
        <v>2.0299999999999994</v>
      </c>
      <c r="M10" s="525">
        <f t="shared" si="1"/>
        <v>2.0399999999999991</v>
      </c>
      <c r="N10" s="525">
        <f t="shared" si="1"/>
        <v>2.0499999999999989</v>
      </c>
      <c r="O10" s="489">
        <f t="shared" si="1"/>
        <v>2.0599999999999987</v>
      </c>
      <c r="P10" s="525">
        <f t="shared" si="1"/>
        <v>2.0699999999999985</v>
      </c>
      <c r="Q10" s="489">
        <f t="shared" si="1"/>
        <v>2.0799999999999983</v>
      </c>
      <c r="R10" s="525">
        <f t="shared" si="1"/>
        <v>2.0899999999999981</v>
      </c>
      <c r="S10" s="307">
        <f t="shared" si="1"/>
        <v>2.0999999999999979</v>
      </c>
      <c r="T10" s="307">
        <f t="shared" ref="T10" si="2">S10+0.01</f>
        <v>2.1099999999999977</v>
      </c>
      <c r="U10" s="535">
        <f t="shared" ref="U10" si="3">T10+0.01</f>
        <v>2.1199999999999974</v>
      </c>
      <c r="V10" s="535">
        <f t="shared" ref="V10" si="4">U10+0.01</f>
        <v>2.1299999999999972</v>
      </c>
      <c r="W10" s="307">
        <f t="shared" ref="W10" si="5">V10+0.01</f>
        <v>2.139999999999997</v>
      </c>
      <c r="X10" s="286"/>
      <c r="Y10" s="552">
        <v>3</v>
      </c>
      <c r="Z10" s="552">
        <v>3.01</v>
      </c>
      <c r="AA10" s="552">
        <v>3.02</v>
      </c>
      <c r="AB10" s="552">
        <v>3.03</v>
      </c>
      <c r="AC10" s="493"/>
    </row>
    <row r="11" spans="1:29" s="292" customFormat="1">
      <c r="A11" s="291"/>
      <c r="B11" s="306" t="s">
        <v>149</v>
      </c>
      <c r="E11" s="288" t="s">
        <v>150</v>
      </c>
      <c r="F11" s="288" t="s">
        <v>151</v>
      </c>
      <c r="G11" s="101" t="s">
        <v>152</v>
      </c>
      <c r="H11" s="286" t="s">
        <v>392</v>
      </c>
      <c r="I11" s="493" t="s">
        <v>443</v>
      </c>
      <c r="J11" s="286" t="s">
        <v>153</v>
      </c>
      <c r="K11" s="286" t="s">
        <v>390</v>
      </c>
      <c r="L11" s="524" t="s">
        <v>154</v>
      </c>
      <c r="M11" s="524" t="s">
        <v>155</v>
      </c>
      <c r="N11" s="524" t="s">
        <v>156</v>
      </c>
      <c r="O11" s="286" t="s">
        <v>157</v>
      </c>
      <c r="P11" s="524" t="s">
        <v>159</v>
      </c>
      <c r="Q11" s="286" t="s">
        <v>384</v>
      </c>
      <c r="R11" s="524" t="s">
        <v>158</v>
      </c>
      <c r="S11" s="288" t="s">
        <v>412</v>
      </c>
      <c r="T11" s="288" t="s">
        <v>402</v>
      </c>
      <c r="U11" s="101" t="s">
        <v>160</v>
      </c>
      <c r="V11" s="524" t="s">
        <v>161</v>
      </c>
      <c r="W11" s="286" t="s">
        <v>162</v>
      </c>
      <c r="X11" s="286" t="s">
        <v>385</v>
      </c>
      <c r="Y11" s="290" t="s">
        <v>99</v>
      </c>
      <c r="Z11" s="292" t="s">
        <v>99</v>
      </c>
      <c r="AA11" s="292" t="s">
        <v>99</v>
      </c>
      <c r="AB11" s="292" t="s">
        <v>99</v>
      </c>
      <c r="AC11" s="286" t="s">
        <v>477</v>
      </c>
    </row>
    <row r="12" spans="1:29" ht="6" customHeight="1">
      <c r="H12" s="487"/>
      <c r="I12" s="487"/>
      <c r="J12" s="487"/>
      <c r="K12" s="487"/>
      <c r="L12" s="90"/>
      <c r="M12" s="90"/>
      <c r="N12" s="90"/>
      <c r="O12" s="487"/>
      <c r="P12" s="90"/>
      <c r="Q12" s="487"/>
      <c r="R12" s="90"/>
      <c r="V12" s="90"/>
      <c r="Y12" s="364"/>
      <c r="AC12" s="284"/>
    </row>
    <row r="13" spans="1:29">
      <c r="B13" s="1" t="s">
        <v>25</v>
      </c>
      <c r="V13" s="90"/>
      <c r="Y13" s="364"/>
      <c r="AC13" s="284"/>
    </row>
    <row r="14" spans="1:29" s="2" customFormat="1">
      <c r="A14" s="86">
        <v>1</v>
      </c>
      <c r="B14" s="2" t="s">
        <v>26</v>
      </c>
      <c r="E14" s="359">
        <f>'ROO INPUT'!$F15</f>
        <v>140625</v>
      </c>
      <c r="F14" s="483">
        <v>0</v>
      </c>
      <c r="G14" s="516">
        <v>0</v>
      </c>
      <c r="H14" s="483">
        <v>0</v>
      </c>
      <c r="I14" s="483">
        <v>0</v>
      </c>
      <c r="J14" s="483">
        <v>-5070</v>
      </c>
      <c r="K14" s="483">
        <v>0</v>
      </c>
      <c r="L14" s="516">
        <v>0</v>
      </c>
      <c r="M14" s="516">
        <v>0</v>
      </c>
      <c r="N14" s="516">
        <v>0</v>
      </c>
      <c r="O14" s="483">
        <v>0</v>
      </c>
      <c r="P14" s="516">
        <v>0</v>
      </c>
      <c r="Q14" s="483">
        <v>0</v>
      </c>
      <c r="R14" s="516">
        <v>0</v>
      </c>
      <c r="S14" s="483">
        <v>6259</v>
      </c>
      <c r="T14" s="483">
        <v>5056</v>
      </c>
      <c r="U14" s="516">
        <v>0</v>
      </c>
      <c r="V14" s="516">
        <v>0</v>
      </c>
      <c r="W14" s="483">
        <v>0</v>
      </c>
      <c r="X14" s="309">
        <f>SUM(E14:W14)</f>
        <v>146870</v>
      </c>
      <c r="Y14" s="516">
        <f>-S14</f>
        <v>-6259</v>
      </c>
      <c r="Z14" s="516">
        <v>0</v>
      </c>
      <c r="AA14" s="516">
        <v>0</v>
      </c>
      <c r="AB14" s="516">
        <v>0</v>
      </c>
      <c r="AC14" s="309">
        <f>SUM(X14:AB14)</f>
        <v>140611</v>
      </c>
    </row>
    <row r="15" spans="1:29">
      <c r="A15" s="86">
        <v>2</v>
      </c>
      <c r="B15" s="3" t="s">
        <v>27</v>
      </c>
      <c r="D15" s="3"/>
      <c r="E15" s="220">
        <f>'ROO INPUT'!$F16</f>
        <v>5088</v>
      </c>
      <c r="F15" s="484">
        <v>0</v>
      </c>
      <c r="G15" s="517">
        <v>0</v>
      </c>
      <c r="H15" s="484">
        <v>0</v>
      </c>
      <c r="I15" s="484">
        <v>0</v>
      </c>
      <c r="J15" s="484">
        <v>-128</v>
      </c>
      <c r="K15" s="484">
        <v>0</v>
      </c>
      <c r="L15" s="517">
        <v>0</v>
      </c>
      <c r="M15" s="517">
        <v>0</v>
      </c>
      <c r="N15" s="517">
        <v>0</v>
      </c>
      <c r="O15" s="484">
        <v>0</v>
      </c>
      <c r="P15" s="517">
        <v>0</v>
      </c>
      <c r="Q15" s="484">
        <v>0</v>
      </c>
      <c r="R15" s="517">
        <v>0</v>
      </c>
      <c r="S15" s="484"/>
      <c r="T15" s="484">
        <v>0</v>
      </c>
      <c r="U15" s="517">
        <v>0</v>
      </c>
      <c r="V15" s="517">
        <v>0</v>
      </c>
      <c r="W15" s="484">
        <v>0</v>
      </c>
      <c r="X15" s="310">
        <f>SUM(E15:W15)</f>
        <v>4960</v>
      </c>
      <c r="Y15" s="517">
        <f>-S15</f>
        <v>0</v>
      </c>
      <c r="Z15" s="517">
        <v>0</v>
      </c>
      <c r="AA15" s="517">
        <v>0</v>
      </c>
      <c r="AB15" s="517">
        <v>0</v>
      </c>
      <c r="AC15" s="310">
        <f>SUM(X15:AB15)</f>
        <v>4960</v>
      </c>
    </row>
    <row r="16" spans="1:29">
      <c r="A16" s="86">
        <v>3</v>
      </c>
      <c r="B16" s="3" t="s">
        <v>28</v>
      </c>
      <c r="D16" s="3"/>
      <c r="E16" s="221">
        <f>'ROO INPUT'!$F17</f>
        <v>50681</v>
      </c>
      <c r="F16" s="485">
        <v>0</v>
      </c>
      <c r="G16" s="518">
        <v>0</v>
      </c>
      <c r="H16" s="485">
        <v>0</v>
      </c>
      <c r="I16" s="485">
        <v>0</v>
      </c>
      <c r="J16" s="485">
        <v>0</v>
      </c>
      <c r="K16" s="485">
        <v>0</v>
      </c>
      <c r="L16" s="518">
        <v>0</v>
      </c>
      <c r="M16" s="518">
        <v>0</v>
      </c>
      <c r="N16" s="518">
        <v>0</v>
      </c>
      <c r="O16" s="485">
        <v>0</v>
      </c>
      <c r="P16" s="518">
        <v>0</v>
      </c>
      <c r="Q16" s="485">
        <v>0</v>
      </c>
      <c r="R16" s="518">
        <v>0</v>
      </c>
      <c r="S16" s="485">
        <v>-3321</v>
      </c>
      <c r="T16" s="485">
        <v>-51690</v>
      </c>
      <c r="U16" s="518">
        <v>114</v>
      </c>
      <c r="V16" s="518">
        <v>0</v>
      </c>
      <c r="W16" s="485">
        <v>0</v>
      </c>
      <c r="X16" s="311">
        <f>SUM(E16:W16)</f>
        <v>-4216</v>
      </c>
      <c r="Y16" s="517">
        <f>-S16</f>
        <v>3321</v>
      </c>
      <c r="Z16" s="518">
        <v>693</v>
      </c>
      <c r="AA16" s="518">
        <v>0</v>
      </c>
      <c r="AB16" s="518">
        <v>0</v>
      </c>
      <c r="AC16" s="311">
        <f>SUM(X16:AB16)</f>
        <v>-202</v>
      </c>
    </row>
    <row r="17" spans="1:29">
      <c r="A17" s="86">
        <v>4</v>
      </c>
      <c r="B17" s="1" t="s">
        <v>29</v>
      </c>
      <c r="C17" s="3"/>
      <c r="D17" s="3"/>
      <c r="E17" s="220">
        <f>SUM(E14:E16)</f>
        <v>196394</v>
      </c>
      <c r="F17" s="220">
        <f t="shared" ref="F17:O17" si="6">SUM(F14:F16)</f>
        <v>0</v>
      </c>
      <c r="G17" s="137">
        <f t="shared" si="6"/>
        <v>0</v>
      </c>
      <c r="H17" s="220">
        <f t="shared" si="6"/>
        <v>0</v>
      </c>
      <c r="I17" s="220">
        <f t="shared" ref="I17" si="7">SUM(I14:I16)</f>
        <v>0</v>
      </c>
      <c r="J17" s="220">
        <f t="shared" si="6"/>
        <v>-5198</v>
      </c>
      <c r="K17" s="220">
        <f>SUM(K14:K16)</f>
        <v>0</v>
      </c>
      <c r="L17" s="137">
        <f t="shared" si="6"/>
        <v>0</v>
      </c>
      <c r="M17" s="137">
        <f t="shared" si="6"/>
        <v>0</v>
      </c>
      <c r="N17" s="137">
        <f t="shared" si="6"/>
        <v>0</v>
      </c>
      <c r="O17" s="220">
        <f t="shared" si="6"/>
        <v>0</v>
      </c>
      <c r="P17" s="137">
        <f t="shared" ref="P17:Q17" si="8">SUM(P14:P16)</f>
        <v>0</v>
      </c>
      <c r="Q17" s="220">
        <f t="shared" si="8"/>
        <v>0</v>
      </c>
      <c r="R17" s="137">
        <f t="shared" ref="R17" si="9">SUM(R14:R16)</f>
        <v>0</v>
      </c>
      <c r="S17" s="220">
        <f>SUM(S14:S16)</f>
        <v>2938</v>
      </c>
      <c r="T17" s="220">
        <f>SUM(T14:T16)</f>
        <v>-46634</v>
      </c>
      <c r="U17" s="137">
        <f t="shared" ref="U17" si="10">SUM(U14:U16)</f>
        <v>114</v>
      </c>
      <c r="V17" s="139">
        <f>SUM(V14:V16)</f>
        <v>0</v>
      </c>
      <c r="W17" s="264">
        <f t="shared" ref="W17" si="11">SUM(W14:W16)</f>
        <v>0</v>
      </c>
      <c r="X17" s="310">
        <f>SUM(X14:X16)</f>
        <v>147614</v>
      </c>
      <c r="Y17" s="554">
        <f>SUM(Y14:Y16)</f>
        <v>-2938</v>
      </c>
      <c r="Z17" s="139">
        <f>SUM(Z14:Z16)</f>
        <v>693</v>
      </c>
      <c r="AA17" s="139">
        <f>SUM(AA14:AA16)</f>
        <v>0</v>
      </c>
      <c r="AB17" s="139">
        <f>SUM(AB14:AB16)</f>
        <v>0</v>
      </c>
      <c r="AC17" s="310">
        <f>SUM(AC14:AC16)</f>
        <v>145369</v>
      </c>
    </row>
    <row r="18" spans="1:29" ht="7.5" customHeight="1">
      <c r="C18" s="3"/>
      <c r="D18" s="3"/>
      <c r="E18" s="220"/>
      <c r="F18" s="484"/>
      <c r="G18" s="517"/>
      <c r="H18" s="484"/>
      <c r="I18" s="484"/>
      <c r="J18" s="484"/>
      <c r="K18" s="484"/>
      <c r="L18" s="517"/>
      <c r="M18" s="517"/>
      <c r="N18" s="517"/>
      <c r="O18" s="484"/>
      <c r="P18" s="517"/>
      <c r="Q18" s="484"/>
      <c r="R18" s="517"/>
      <c r="S18" s="484"/>
      <c r="T18" s="484"/>
      <c r="U18" s="517"/>
      <c r="V18" s="517"/>
      <c r="W18" s="484"/>
      <c r="X18" s="310"/>
      <c r="Y18" s="517"/>
      <c r="Z18" s="517"/>
      <c r="AA18" s="517"/>
      <c r="AB18" s="517"/>
      <c r="AC18" s="310"/>
    </row>
    <row r="19" spans="1:29">
      <c r="B19" s="1" t="s">
        <v>30</v>
      </c>
      <c r="C19" s="3"/>
      <c r="D19" s="3"/>
      <c r="E19" s="220"/>
      <c r="F19" s="484"/>
      <c r="G19" s="517"/>
      <c r="H19" s="484"/>
      <c r="I19" s="484"/>
      <c r="J19" s="484"/>
      <c r="K19" s="484"/>
      <c r="L19" s="517"/>
      <c r="M19" s="517"/>
      <c r="N19" s="517"/>
      <c r="O19" s="484"/>
      <c r="P19" s="517"/>
      <c r="Q19" s="484"/>
      <c r="R19" s="517"/>
      <c r="S19" s="484"/>
      <c r="T19" s="484"/>
      <c r="U19" s="517"/>
      <c r="V19" s="517"/>
      <c r="W19" s="484"/>
      <c r="X19" s="310"/>
      <c r="Y19" s="517"/>
      <c r="Z19" s="517"/>
      <c r="AA19" s="517"/>
      <c r="AB19" s="517"/>
      <c r="AC19" s="310"/>
    </row>
    <row r="20" spans="1:29">
      <c r="B20" s="3" t="s">
        <v>167</v>
      </c>
      <c r="D20" s="3"/>
      <c r="E20" s="220"/>
      <c r="F20" s="484"/>
      <c r="G20" s="517"/>
      <c r="H20" s="484"/>
      <c r="I20" s="484"/>
      <c r="J20" s="484"/>
      <c r="K20" s="484"/>
      <c r="L20" s="517"/>
      <c r="M20" s="517"/>
      <c r="N20" s="517"/>
      <c r="O20" s="484"/>
      <c r="P20" s="517"/>
      <c r="Q20" s="484"/>
      <c r="R20" s="517"/>
      <c r="S20" s="484"/>
      <c r="T20" s="484"/>
      <c r="U20" s="517"/>
      <c r="V20" s="517"/>
      <c r="W20" s="484"/>
      <c r="X20" s="310"/>
      <c r="Y20" s="517"/>
      <c r="Z20" s="517"/>
      <c r="AA20" s="517"/>
      <c r="AB20" s="517"/>
      <c r="AC20" s="310"/>
    </row>
    <row r="21" spans="1:29">
      <c r="A21" s="86">
        <v>5</v>
      </c>
      <c r="C21" s="3" t="s">
        <v>31</v>
      </c>
      <c r="D21" s="3"/>
      <c r="E21" s="220">
        <f>'ROO INPUT'!$F22</f>
        <v>90669</v>
      </c>
      <c r="F21" s="484">
        <v>0</v>
      </c>
      <c r="G21" s="517">
        <v>0</v>
      </c>
      <c r="H21" s="484">
        <v>0</v>
      </c>
      <c r="I21" s="484">
        <v>0</v>
      </c>
      <c r="J21" s="484">
        <v>0</v>
      </c>
      <c r="K21" s="484">
        <v>0</v>
      </c>
      <c r="L21" s="517">
        <v>0</v>
      </c>
      <c r="M21" s="517">
        <v>0</v>
      </c>
      <c r="N21" s="517">
        <v>0</v>
      </c>
      <c r="O21" s="484">
        <v>0</v>
      </c>
      <c r="P21" s="517">
        <v>0</v>
      </c>
      <c r="Q21" s="484">
        <v>0</v>
      </c>
      <c r="R21" s="517">
        <v>0</v>
      </c>
      <c r="S21" s="484">
        <v>2651</v>
      </c>
      <c r="T21" s="484">
        <v>-41801</v>
      </c>
      <c r="U21" s="517">
        <v>0</v>
      </c>
      <c r="V21" s="517">
        <v>0</v>
      </c>
      <c r="W21" s="484">
        <v>0</v>
      </c>
      <c r="X21" s="310">
        <f>SUM(E21:W21)</f>
        <v>51519</v>
      </c>
      <c r="Y21" s="517">
        <f t="shared" ref="Y21:Y23" si="12">-S21</f>
        <v>-2651</v>
      </c>
      <c r="Z21" s="517">
        <v>0</v>
      </c>
      <c r="AA21" s="517">
        <v>0</v>
      </c>
      <c r="AB21" s="517">
        <v>0</v>
      </c>
      <c r="AC21" s="310">
        <f>SUM(X21:AB21)</f>
        <v>48868</v>
      </c>
    </row>
    <row r="22" spans="1:29">
      <c r="A22" s="86">
        <v>6</v>
      </c>
      <c r="C22" s="3" t="s">
        <v>32</v>
      </c>
      <c r="D22" s="3"/>
      <c r="E22" s="220">
        <f>'ROO INPUT'!$F23</f>
        <v>955</v>
      </c>
      <c r="F22" s="484">
        <v>0</v>
      </c>
      <c r="G22" s="517">
        <v>0</v>
      </c>
      <c r="H22" s="484">
        <v>0</v>
      </c>
      <c r="I22" s="484">
        <v>0</v>
      </c>
      <c r="J22" s="484">
        <v>0</v>
      </c>
      <c r="K22" s="484">
        <v>0</v>
      </c>
      <c r="L22" s="517">
        <v>0</v>
      </c>
      <c r="M22" s="517">
        <v>0</v>
      </c>
      <c r="N22" s="517">
        <v>0</v>
      </c>
      <c r="O22" s="484">
        <v>0</v>
      </c>
      <c r="P22" s="517">
        <v>0</v>
      </c>
      <c r="Q22" s="484">
        <v>0</v>
      </c>
      <c r="R22" s="517">
        <v>0</v>
      </c>
      <c r="S22" s="484">
        <v>4</v>
      </c>
      <c r="T22" s="484">
        <v>0</v>
      </c>
      <c r="U22" s="517">
        <v>0</v>
      </c>
      <c r="V22" s="517">
        <v>0</v>
      </c>
      <c r="W22" s="484">
        <v>0</v>
      </c>
      <c r="X22" s="310">
        <f>SUM(E22:W22)</f>
        <v>959</v>
      </c>
      <c r="Y22" s="517">
        <f t="shared" si="12"/>
        <v>-4</v>
      </c>
      <c r="Z22" s="517">
        <v>0</v>
      </c>
      <c r="AA22" s="517">
        <v>0</v>
      </c>
      <c r="AB22" s="517">
        <v>0</v>
      </c>
      <c r="AC22" s="310">
        <f>SUM(X22:AB22)</f>
        <v>955</v>
      </c>
    </row>
    <row r="23" spans="1:29">
      <c r="A23" s="86">
        <v>7</v>
      </c>
      <c r="C23" s="3" t="s">
        <v>33</v>
      </c>
      <c r="D23" s="3"/>
      <c r="E23" s="221">
        <f>'ROO INPUT'!$F24</f>
        <v>-292</v>
      </c>
      <c r="F23" s="485">
        <v>0</v>
      </c>
      <c r="G23" s="518">
        <v>0</v>
      </c>
      <c r="H23" s="485">
        <v>0</v>
      </c>
      <c r="I23" s="485">
        <v>0</v>
      </c>
      <c r="J23" s="485">
        <v>0</v>
      </c>
      <c r="K23" s="485">
        <v>0</v>
      </c>
      <c r="L23" s="518">
        <v>0</v>
      </c>
      <c r="M23" s="518">
        <v>0</v>
      </c>
      <c r="N23" s="518">
        <v>0</v>
      </c>
      <c r="O23" s="485">
        <v>0</v>
      </c>
      <c r="P23" s="518">
        <v>0</v>
      </c>
      <c r="Q23" s="485">
        <v>0</v>
      </c>
      <c r="R23" s="518">
        <v>0</v>
      </c>
      <c r="S23" s="485">
        <v>0</v>
      </c>
      <c r="T23" s="485">
        <v>292</v>
      </c>
      <c r="U23" s="518">
        <v>0</v>
      </c>
      <c r="V23" s="518">
        <v>0</v>
      </c>
      <c r="W23" s="485">
        <v>0</v>
      </c>
      <c r="X23" s="311">
        <f>SUM(E23:W23)</f>
        <v>0</v>
      </c>
      <c r="Y23" s="517">
        <f t="shared" si="12"/>
        <v>0</v>
      </c>
      <c r="Z23" s="518">
        <v>0</v>
      </c>
      <c r="AA23" s="518">
        <v>0</v>
      </c>
      <c r="AB23" s="518">
        <v>0</v>
      </c>
      <c r="AC23" s="311">
        <f>SUM(X23:AB23)</f>
        <v>0</v>
      </c>
    </row>
    <row r="24" spans="1:29">
      <c r="A24" s="86">
        <v>8</v>
      </c>
      <c r="B24" s="3" t="s">
        <v>34</v>
      </c>
      <c r="C24" s="3"/>
      <c r="E24" s="264">
        <f>SUM(E21:E23)</f>
        <v>91332</v>
      </c>
      <c r="F24" s="264">
        <f t="shared" ref="F24:O24" si="13">SUM(F21:F23)</f>
        <v>0</v>
      </c>
      <c r="G24" s="139">
        <f t="shared" si="13"/>
        <v>0</v>
      </c>
      <c r="H24" s="264">
        <f t="shared" si="13"/>
        <v>0</v>
      </c>
      <c r="I24" s="264">
        <f t="shared" ref="I24" si="14">SUM(I21:I23)</f>
        <v>0</v>
      </c>
      <c r="J24" s="264">
        <f t="shared" si="13"/>
        <v>0</v>
      </c>
      <c r="K24" s="264">
        <f>SUM(K21:K23)</f>
        <v>0</v>
      </c>
      <c r="L24" s="139">
        <f t="shared" si="13"/>
        <v>0</v>
      </c>
      <c r="M24" s="139">
        <f t="shared" si="13"/>
        <v>0</v>
      </c>
      <c r="N24" s="139">
        <f t="shared" si="13"/>
        <v>0</v>
      </c>
      <c r="O24" s="264">
        <f t="shared" si="13"/>
        <v>0</v>
      </c>
      <c r="P24" s="139">
        <f t="shared" ref="P24:Q24" si="15">SUM(P21:P23)</f>
        <v>0</v>
      </c>
      <c r="Q24" s="264">
        <f t="shared" si="15"/>
        <v>0</v>
      </c>
      <c r="R24" s="139">
        <f>SUM(R21:R23)</f>
        <v>0</v>
      </c>
      <c r="S24" s="264">
        <f>SUM(S21:S23)</f>
        <v>2655</v>
      </c>
      <c r="T24" s="264">
        <f>SUM(T21:T23)</f>
        <v>-41509</v>
      </c>
      <c r="U24" s="139">
        <f t="shared" ref="U24" si="16">SUM(U21:U23)</f>
        <v>0</v>
      </c>
      <c r="V24" s="139">
        <f t="shared" ref="V24:X24" si="17">SUM(V21:V23)</f>
        <v>0</v>
      </c>
      <c r="W24" s="264">
        <f t="shared" si="17"/>
        <v>0</v>
      </c>
      <c r="X24" s="310">
        <f t="shared" si="17"/>
        <v>52478</v>
      </c>
      <c r="Y24" s="554">
        <f t="shared" ref="Y24:AA24" si="18">SUM(Y21:Y23)</f>
        <v>-2655</v>
      </c>
      <c r="Z24" s="139">
        <f t="shared" si="18"/>
        <v>0</v>
      </c>
      <c r="AA24" s="139">
        <f t="shared" si="18"/>
        <v>0</v>
      </c>
      <c r="AB24" s="139">
        <f t="shared" ref="AB24:AC24" si="19">SUM(AB21:AB23)</f>
        <v>0</v>
      </c>
      <c r="AC24" s="310">
        <f t="shared" si="19"/>
        <v>49823</v>
      </c>
    </row>
    <row r="25" spans="1:29" ht="9" customHeight="1">
      <c r="B25" s="3"/>
      <c r="C25" s="3"/>
      <c r="E25" s="220"/>
      <c r="F25" s="220"/>
      <c r="G25" s="137"/>
      <c r="H25" s="220"/>
      <c r="I25" s="220"/>
      <c r="J25" s="220"/>
      <c r="K25" s="220"/>
      <c r="L25" s="137"/>
      <c r="M25" s="137"/>
      <c r="N25" s="137"/>
      <c r="O25" s="220"/>
      <c r="P25" s="137"/>
      <c r="Q25" s="220"/>
      <c r="R25" s="137"/>
      <c r="S25" s="220"/>
      <c r="T25" s="220"/>
      <c r="U25" s="137"/>
      <c r="V25" s="139"/>
      <c r="W25" s="264"/>
      <c r="X25" s="310"/>
      <c r="Y25" s="139"/>
      <c r="Z25" s="139"/>
      <c r="AA25" s="139"/>
      <c r="AB25" s="139"/>
      <c r="AC25" s="310"/>
    </row>
    <row r="26" spans="1:29">
      <c r="B26" s="3" t="s">
        <v>35</v>
      </c>
      <c r="D26" s="3"/>
      <c r="E26" s="220"/>
      <c r="F26" s="484"/>
      <c r="G26" s="517"/>
      <c r="H26" s="484"/>
      <c r="I26" s="484"/>
      <c r="J26" s="484"/>
      <c r="K26" s="484"/>
      <c r="L26" s="517"/>
      <c r="M26" s="517"/>
      <c r="N26" s="517"/>
      <c r="O26" s="484"/>
      <c r="P26" s="517"/>
      <c r="Q26" s="484"/>
      <c r="R26" s="517"/>
      <c r="S26" s="484"/>
      <c r="T26" s="484"/>
      <c r="U26" s="517"/>
      <c r="V26" s="517"/>
      <c r="W26" s="484"/>
      <c r="X26" s="310"/>
      <c r="Y26" s="517"/>
      <c r="Z26" s="517"/>
      <c r="AA26" s="517"/>
      <c r="AB26" s="517"/>
      <c r="AC26" s="310"/>
    </row>
    <row r="27" spans="1:29">
      <c r="A27" s="86">
        <v>9</v>
      </c>
      <c r="C27" s="3" t="s">
        <v>36</v>
      </c>
      <c r="D27" s="3"/>
      <c r="E27" s="220">
        <f>'ROO INPUT'!$F28</f>
        <v>1532</v>
      </c>
      <c r="F27" s="484">
        <v>0</v>
      </c>
      <c r="G27" s="517">
        <v>0</v>
      </c>
      <c r="H27" s="484">
        <v>0</v>
      </c>
      <c r="I27" s="484">
        <v>0</v>
      </c>
      <c r="J27" s="484">
        <v>0</v>
      </c>
      <c r="K27" s="484">
        <v>0</v>
      </c>
      <c r="L27" s="517">
        <v>0</v>
      </c>
      <c r="M27" s="517">
        <v>0</v>
      </c>
      <c r="N27" s="517">
        <v>0</v>
      </c>
      <c r="O27" s="484">
        <v>0</v>
      </c>
      <c r="P27" s="517">
        <v>0</v>
      </c>
      <c r="Q27" s="484">
        <v>0</v>
      </c>
      <c r="R27" s="517">
        <v>0</v>
      </c>
      <c r="S27" s="484">
        <v>0</v>
      </c>
      <c r="T27" s="484">
        <v>0</v>
      </c>
      <c r="U27" s="517">
        <v>0</v>
      </c>
      <c r="V27" s="517">
        <v>0</v>
      </c>
      <c r="W27" s="484">
        <v>0</v>
      </c>
      <c r="X27" s="310">
        <f>SUM(E27:W27)</f>
        <v>1532</v>
      </c>
      <c r="Y27" s="517">
        <f t="shared" ref="Y27:Y29" si="20">-S27</f>
        <v>0</v>
      </c>
      <c r="Z27" s="517">
        <v>0</v>
      </c>
      <c r="AA27" s="517">
        <v>0</v>
      </c>
      <c r="AB27" s="517">
        <v>0</v>
      </c>
      <c r="AC27" s="310">
        <f>SUM(X27:AB27)</f>
        <v>1532</v>
      </c>
    </row>
    <row r="28" spans="1:29">
      <c r="A28" s="86">
        <v>10</v>
      </c>
      <c r="C28" s="3" t="s">
        <v>163</v>
      </c>
      <c r="D28" s="3"/>
      <c r="E28" s="220">
        <f>'ROO INPUT'!$F29</f>
        <v>627</v>
      </c>
      <c r="F28" s="484">
        <v>0</v>
      </c>
      <c r="G28" s="517">
        <v>0</v>
      </c>
      <c r="H28" s="484">
        <v>0</v>
      </c>
      <c r="I28" s="484">
        <v>0</v>
      </c>
      <c r="J28" s="484">
        <v>0</v>
      </c>
      <c r="K28" s="484">
        <v>0</v>
      </c>
      <c r="L28" s="517">
        <v>0</v>
      </c>
      <c r="M28" s="517">
        <v>0</v>
      </c>
      <c r="N28" s="517">
        <v>0</v>
      </c>
      <c r="O28" s="484">
        <v>0</v>
      </c>
      <c r="P28" s="517">
        <v>0</v>
      </c>
      <c r="Q28" s="484">
        <v>0</v>
      </c>
      <c r="R28" s="517">
        <v>0</v>
      </c>
      <c r="S28" s="484">
        <v>0</v>
      </c>
      <c r="T28" s="484">
        <v>0</v>
      </c>
      <c r="U28" s="517">
        <v>0</v>
      </c>
      <c r="V28" s="517">
        <v>0</v>
      </c>
      <c r="W28" s="484">
        <v>0</v>
      </c>
      <c r="X28" s="310">
        <f>SUM(E28:W28)</f>
        <v>627</v>
      </c>
      <c r="Y28" s="517">
        <f t="shared" si="20"/>
        <v>0</v>
      </c>
      <c r="Z28" s="517">
        <v>0</v>
      </c>
      <c r="AA28" s="517">
        <v>0</v>
      </c>
      <c r="AB28" s="517">
        <v>0</v>
      </c>
      <c r="AC28" s="310">
        <f>SUM(X28:AB28)</f>
        <v>627</v>
      </c>
    </row>
    <row r="29" spans="1:29">
      <c r="A29" s="86">
        <v>11</v>
      </c>
      <c r="C29" s="3" t="s">
        <v>20</v>
      </c>
      <c r="D29" s="3"/>
      <c r="E29" s="221">
        <f>'ROO INPUT'!$F30</f>
        <v>302</v>
      </c>
      <c r="F29" s="485">
        <v>0</v>
      </c>
      <c r="G29" s="518">
        <v>0</v>
      </c>
      <c r="H29" s="485">
        <v>0</v>
      </c>
      <c r="I29" s="485">
        <v>0</v>
      </c>
      <c r="J29" s="485">
        <v>0</v>
      </c>
      <c r="K29" s="485">
        <v>-78</v>
      </c>
      <c r="L29" s="518">
        <v>0</v>
      </c>
      <c r="M29" s="518">
        <v>0</v>
      </c>
      <c r="N29" s="518">
        <v>0</v>
      </c>
      <c r="O29" s="485">
        <v>0</v>
      </c>
      <c r="P29" s="518">
        <v>0</v>
      </c>
      <c r="Q29" s="485">
        <v>0</v>
      </c>
      <c r="R29" s="518">
        <v>0</v>
      </c>
      <c r="S29" s="485">
        <v>0</v>
      </c>
      <c r="T29" s="485">
        <v>0</v>
      </c>
      <c r="U29" s="518">
        <v>0</v>
      </c>
      <c r="V29" s="518">
        <v>0</v>
      </c>
      <c r="W29" s="485">
        <v>0</v>
      </c>
      <c r="X29" s="311">
        <f>SUM(E29:W29)</f>
        <v>224</v>
      </c>
      <c r="Y29" s="517">
        <f t="shared" si="20"/>
        <v>0</v>
      </c>
      <c r="Z29" s="518">
        <v>0</v>
      </c>
      <c r="AA29" s="518">
        <v>0</v>
      </c>
      <c r="AB29" s="518">
        <v>-78</v>
      </c>
      <c r="AC29" s="311">
        <f>SUM(X29:AB29)</f>
        <v>146</v>
      </c>
    </row>
    <row r="30" spans="1:29">
      <c r="A30" s="86">
        <v>12</v>
      </c>
      <c r="B30" s="3" t="s">
        <v>37</v>
      </c>
      <c r="C30" s="3"/>
      <c r="E30" s="220">
        <f t="shared" ref="E30:X30" si="21">SUM(E27:E29)</f>
        <v>2461</v>
      </c>
      <c r="F30" s="220">
        <f t="shared" si="21"/>
        <v>0</v>
      </c>
      <c r="G30" s="137">
        <f t="shared" si="21"/>
        <v>0</v>
      </c>
      <c r="H30" s="220">
        <f t="shared" si="21"/>
        <v>0</v>
      </c>
      <c r="I30" s="220">
        <f t="shared" ref="I30" si="22">SUM(I27:I29)</f>
        <v>0</v>
      </c>
      <c r="J30" s="264">
        <f t="shared" si="21"/>
        <v>0</v>
      </c>
      <c r="K30" s="264">
        <f>SUM(K27:K29)</f>
        <v>-78</v>
      </c>
      <c r="L30" s="137">
        <f t="shared" si="21"/>
        <v>0</v>
      </c>
      <c r="M30" s="137">
        <f t="shared" si="21"/>
        <v>0</v>
      </c>
      <c r="N30" s="137">
        <f t="shared" si="21"/>
        <v>0</v>
      </c>
      <c r="O30" s="220">
        <f t="shared" si="21"/>
        <v>0</v>
      </c>
      <c r="P30" s="137">
        <f t="shared" ref="P30:Q30" si="23">SUM(P27:P29)</f>
        <v>0</v>
      </c>
      <c r="Q30" s="220">
        <f t="shared" si="23"/>
        <v>0</v>
      </c>
      <c r="R30" s="137">
        <f>SUM(R27:R29)</f>
        <v>0</v>
      </c>
      <c r="S30" s="220">
        <f>SUM(S27:S29)</f>
        <v>0</v>
      </c>
      <c r="T30" s="220">
        <f>SUM(T27:T29)</f>
        <v>0</v>
      </c>
      <c r="U30" s="137">
        <f t="shared" ref="U30" si="24">SUM(U27:U29)</f>
        <v>0</v>
      </c>
      <c r="V30" s="139">
        <f>SUM(V27:V29)</f>
        <v>0</v>
      </c>
      <c r="W30" s="264">
        <f>SUM(W27:W29)</f>
        <v>0</v>
      </c>
      <c r="X30" s="310">
        <f t="shared" si="21"/>
        <v>2383</v>
      </c>
      <c r="Y30" s="554">
        <f>SUM(Y27:Y29)</f>
        <v>0</v>
      </c>
      <c r="Z30" s="139">
        <f>SUM(Z27:Z29)</f>
        <v>0</v>
      </c>
      <c r="AA30" s="139">
        <f>SUM(AA27:AA29)</f>
        <v>0</v>
      </c>
      <c r="AB30" s="139">
        <f>SUM(AB27:AB29)</f>
        <v>-78</v>
      </c>
      <c r="AC30" s="310">
        <f t="shared" ref="AC30" si="25">SUM(AC27:AC29)</f>
        <v>2305</v>
      </c>
    </row>
    <row r="31" spans="1:29" ht="9" customHeight="1">
      <c r="B31" s="3"/>
      <c r="C31" s="3"/>
      <c r="E31" s="220"/>
      <c r="F31" s="220"/>
      <c r="G31" s="137"/>
      <c r="H31" s="220"/>
      <c r="I31" s="220"/>
      <c r="J31" s="264"/>
      <c r="K31" s="264"/>
      <c r="L31" s="137"/>
      <c r="M31" s="137"/>
      <c r="N31" s="137"/>
      <c r="O31" s="220"/>
      <c r="P31" s="137"/>
      <c r="Q31" s="220"/>
      <c r="R31" s="137"/>
      <c r="S31" s="220"/>
      <c r="T31" s="220"/>
      <c r="U31" s="137"/>
      <c r="V31" s="139"/>
      <c r="W31" s="264"/>
      <c r="X31" s="310"/>
      <c r="Y31" s="139"/>
      <c r="Z31" s="139"/>
      <c r="AA31" s="139"/>
      <c r="AB31" s="139"/>
      <c r="AC31" s="310"/>
    </row>
    <row r="32" spans="1:29">
      <c r="B32" s="3" t="s">
        <v>38</v>
      </c>
      <c r="D32" s="3"/>
      <c r="E32" s="220"/>
      <c r="F32" s="484"/>
      <c r="G32" s="517"/>
      <c r="H32" s="484"/>
      <c r="I32" s="484"/>
      <c r="J32" s="484"/>
      <c r="K32" s="484"/>
      <c r="L32" s="517"/>
      <c r="M32" s="517"/>
      <c r="N32" s="517"/>
      <c r="O32" s="484"/>
      <c r="P32" s="517"/>
      <c r="Q32" s="484"/>
      <c r="R32" s="517"/>
      <c r="S32" s="484"/>
      <c r="T32" s="484"/>
      <c r="U32" s="517"/>
      <c r="V32" s="517"/>
      <c r="W32" s="484"/>
      <c r="X32" s="310"/>
      <c r="Y32" s="517"/>
      <c r="Z32" s="517"/>
      <c r="AA32" s="517"/>
      <c r="AB32" s="517"/>
      <c r="AC32" s="310"/>
    </row>
    <row r="33" spans="1:29">
      <c r="A33" s="86">
        <v>13</v>
      </c>
      <c r="C33" s="3" t="s">
        <v>36</v>
      </c>
      <c r="D33" s="3"/>
      <c r="E33" s="220">
        <f>'ROO INPUT'!$F34</f>
        <v>12316</v>
      </c>
      <c r="F33" s="484">
        <v>0</v>
      </c>
      <c r="G33" s="517">
        <v>0</v>
      </c>
      <c r="H33" s="484">
        <v>0</v>
      </c>
      <c r="I33" s="484">
        <v>0</v>
      </c>
      <c r="J33" s="484">
        <v>0</v>
      </c>
      <c r="K33" s="484">
        <v>0</v>
      </c>
      <c r="L33" s="517">
        <v>0</v>
      </c>
      <c r="M33" s="517">
        <v>0</v>
      </c>
      <c r="N33" s="517">
        <v>0</v>
      </c>
      <c r="O33" s="484">
        <v>0</v>
      </c>
      <c r="P33" s="517">
        <v>0</v>
      </c>
      <c r="Q33" s="484">
        <v>0</v>
      </c>
      <c r="R33" s="517">
        <v>0</v>
      </c>
      <c r="S33" s="484">
        <v>0</v>
      </c>
      <c r="T33" s="484">
        <v>0</v>
      </c>
      <c r="U33" s="517">
        <v>-8</v>
      </c>
      <c r="V33" s="517">
        <v>0</v>
      </c>
      <c r="W33" s="484">
        <v>0</v>
      </c>
      <c r="X33" s="310">
        <f>SUM(E33:W33)</f>
        <v>12308</v>
      </c>
      <c r="Y33" s="517">
        <f t="shared" ref="Y33:Y35" si="26">-S33</f>
        <v>0</v>
      </c>
      <c r="Z33" s="517">
        <v>0</v>
      </c>
      <c r="AA33" s="517">
        <v>0</v>
      </c>
      <c r="AB33" s="517">
        <v>0</v>
      </c>
      <c r="AC33" s="310">
        <f>SUM(X33:AB33)</f>
        <v>12308</v>
      </c>
    </row>
    <row r="34" spans="1:29">
      <c r="A34" s="86">
        <v>14</v>
      </c>
      <c r="C34" s="3" t="s">
        <v>163</v>
      </c>
      <c r="D34" s="3"/>
      <c r="E34" s="264">
        <f>'ROO INPUT'!$F35</f>
        <v>11642</v>
      </c>
      <c r="F34" s="484">
        <v>0</v>
      </c>
      <c r="G34" s="517">
        <v>0</v>
      </c>
      <c r="H34" s="484">
        <v>0</v>
      </c>
      <c r="I34" s="484">
        <v>0</v>
      </c>
      <c r="J34" s="484">
        <v>0</v>
      </c>
      <c r="K34" s="484">
        <v>0</v>
      </c>
      <c r="L34" s="517">
        <v>0</v>
      </c>
      <c r="M34" s="517">
        <v>0</v>
      </c>
      <c r="N34" s="517">
        <v>0</v>
      </c>
      <c r="O34" s="484">
        <v>0</v>
      </c>
      <c r="P34" s="517">
        <v>0</v>
      </c>
      <c r="Q34" s="484">
        <v>0</v>
      </c>
      <c r="R34" s="517">
        <v>-13</v>
      </c>
      <c r="S34" s="484">
        <v>0</v>
      </c>
      <c r="T34" s="484">
        <v>0</v>
      </c>
      <c r="U34" s="517">
        <v>0</v>
      </c>
      <c r="V34" s="517">
        <v>0</v>
      </c>
      <c r="W34" s="484">
        <v>0</v>
      </c>
      <c r="X34" s="310">
        <f>SUM(E34:W34)</f>
        <v>11629</v>
      </c>
      <c r="Y34" s="517">
        <f t="shared" si="26"/>
        <v>0</v>
      </c>
      <c r="Z34" s="517">
        <v>0</v>
      </c>
      <c r="AA34" s="517">
        <v>0</v>
      </c>
      <c r="AB34" s="517">
        <v>0</v>
      </c>
      <c r="AC34" s="310">
        <f>SUM(X34:AB34)</f>
        <v>11629</v>
      </c>
    </row>
    <row r="35" spans="1:29">
      <c r="A35" s="86">
        <v>15</v>
      </c>
      <c r="C35" s="3" t="s">
        <v>20</v>
      </c>
      <c r="D35" s="3"/>
      <c r="E35" s="221">
        <f>'ROO INPUT'!$F36</f>
        <v>14128</v>
      </c>
      <c r="F35" s="485">
        <v>0</v>
      </c>
      <c r="G35" s="518">
        <v>0</v>
      </c>
      <c r="H35" s="485">
        <v>0</v>
      </c>
      <c r="I35" s="485">
        <v>0</v>
      </c>
      <c r="J35" s="485">
        <v>-5184</v>
      </c>
      <c r="K35" s="485">
        <v>80</v>
      </c>
      <c r="L35" s="518">
        <v>0</v>
      </c>
      <c r="M35" s="518">
        <v>0</v>
      </c>
      <c r="N35" s="518">
        <v>0</v>
      </c>
      <c r="O35" s="485">
        <v>0</v>
      </c>
      <c r="P35" s="518">
        <v>0</v>
      </c>
      <c r="Q35" s="485">
        <v>0</v>
      </c>
      <c r="R35" s="518">
        <v>0</v>
      </c>
      <c r="S35" s="485">
        <f>ROUND((S$14+S$15)*CF!$E$19,0)</f>
        <v>240</v>
      </c>
      <c r="T35" s="485">
        <f>ROUND((T$14+T$15)*CF!$E$19,0)</f>
        <v>194</v>
      </c>
      <c r="U35" s="518">
        <v>0</v>
      </c>
      <c r="V35" s="518">
        <v>0</v>
      </c>
      <c r="W35" s="485">
        <v>0</v>
      </c>
      <c r="X35" s="311">
        <f>SUM(E35:W35)</f>
        <v>9458</v>
      </c>
      <c r="Y35" s="517">
        <f t="shared" si="26"/>
        <v>-240</v>
      </c>
      <c r="Z35" s="518">
        <v>0</v>
      </c>
      <c r="AA35" s="518">
        <v>0</v>
      </c>
      <c r="AB35" s="518">
        <v>80</v>
      </c>
      <c r="AC35" s="311">
        <f>SUM(X35:AB35)</f>
        <v>9298</v>
      </c>
    </row>
    <row r="36" spans="1:29" ht="12.9" customHeight="1">
      <c r="A36" s="86">
        <v>16</v>
      </c>
      <c r="B36" s="3" t="s">
        <v>39</v>
      </c>
      <c r="C36" s="3"/>
      <c r="E36" s="220">
        <f t="shared" ref="E36:O36" si="27">SUM(E33:E35)</f>
        <v>38086</v>
      </c>
      <c r="F36" s="220">
        <f t="shared" si="27"/>
        <v>0</v>
      </c>
      <c r="G36" s="137">
        <f t="shared" si="27"/>
        <v>0</v>
      </c>
      <c r="H36" s="220">
        <f t="shared" si="27"/>
        <v>0</v>
      </c>
      <c r="I36" s="220">
        <f t="shared" ref="I36" si="28">SUM(I33:I35)</f>
        <v>0</v>
      </c>
      <c r="J36" s="264">
        <f t="shared" si="27"/>
        <v>-5184</v>
      </c>
      <c r="K36" s="264">
        <f>SUM(K33:K35)</f>
        <v>80</v>
      </c>
      <c r="L36" s="137">
        <f t="shared" si="27"/>
        <v>0</v>
      </c>
      <c r="M36" s="137">
        <f t="shared" si="27"/>
        <v>0</v>
      </c>
      <c r="N36" s="137">
        <f t="shared" si="27"/>
        <v>0</v>
      </c>
      <c r="O36" s="220">
        <f t="shared" si="27"/>
        <v>0</v>
      </c>
      <c r="P36" s="137">
        <f t="shared" ref="P36:Q36" si="29">SUM(P33:P35)</f>
        <v>0</v>
      </c>
      <c r="Q36" s="220">
        <f t="shared" si="29"/>
        <v>0</v>
      </c>
      <c r="R36" s="137">
        <f t="shared" ref="R36:V36" si="30">SUM(R33:R35)</f>
        <v>-13</v>
      </c>
      <c r="S36" s="220">
        <f t="shared" si="30"/>
        <v>240</v>
      </c>
      <c r="T36" s="220">
        <f t="shared" si="30"/>
        <v>194</v>
      </c>
      <c r="U36" s="137">
        <f t="shared" si="30"/>
        <v>-8</v>
      </c>
      <c r="V36" s="139">
        <f t="shared" si="30"/>
        <v>0</v>
      </c>
      <c r="W36" s="264">
        <f t="shared" ref="W36" si="31">SUM(W33:W35)</f>
        <v>0</v>
      </c>
      <c r="X36" s="310">
        <f>SUM(X33:X35)</f>
        <v>33395</v>
      </c>
      <c r="Y36" s="554">
        <f t="shared" ref="Y36:Z36" si="32">SUM(Y33:Y35)</f>
        <v>-240</v>
      </c>
      <c r="Z36" s="139">
        <f t="shared" si="32"/>
        <v>0</v>
      </c>
      <c r="AA36" s="139">
        <f t="shared" ref="AA36:AB36" si="33">SUM(AA33:AA35)</f>
        <v>0</v>
      </c>
      <c r="AB36" s="139">
        <f t="shared" si="33"/>
        <v>80</v>
      </c>
      <c r="AC36" s="310">
        <f>SUM(AC33:AC35)</f>
        <v>33235</v>
      </c>
    </row>
    <row r="37" spans="1:29" ht="9.75" customHeight="1">
      <c r="C37" s="3"/>
      <c r="D37" s="3"/>
      <c r="E37" s="220"/>
      <c r="F37" s="220"/>
      <c r="G37" s="137"/>
      <c r="H37" s="220"/>
      <c r="I37" s="220"/>
      <c r="J37" s="264"/>
      <c r="K37" s="264"/>
      <c r="L37" s="137"/>
      <c r="M37" s="137"/>
      <c r="N37" s="137"/>
      <c r="O37" s="220"/>
      <c r="P37" s="137"/>
      <c r="Q37" s="220"/>
      <c r="R37" s="137"/>
      <c r="S37" s="220"/>
      <c r="T37" s="220"/>
      <c r="U37" s="137"/>
      <c r="V37" s="139"/>
      <c r="W37" s="264"/>
      <c r="X37" s="310"/>
      <c r="Y37" s="139"/>
      <c r="Z37" s="139"/>
      <c r="AA37" s="139"/>
      <c r="AB37" s="139"/>
      <c r="AC37" s="310"/>
    </row>
    <row r="38" spans="1:29" ht="12.9" customHeight="1">
      <c r="A38" s="86">
        <v>17</v>
      </c>
      <c r="B38" s="1" t="s">
        <v>40</v>
      </c>
      <c r="C38" s="3"/>
      <c r="D38" s="3"/>
      <c r="E38" s="220">
        <f>'ROO INPUT'!$F39</f>
        <v>7234</v>
      </c>
      <c r="F38" s="486">
        <v>0</v>
      </c>
      <c r="G38" s="519">
        <v>10</v>
      </c>
      <c r="H38" s="486">
        <v>0</v>
      </c>
      <c r="I38" s="486">
        <v>0</v>
      </c>
      <c r="J38" s="486">
        <v>0</v>
      </c>
      <c r="K38" s="486"/>
      <c r="L38" s="519">
        <v>-320</v>
      </c>
      <c r="M38" s="519">
        <v>0</v>
      </c>
      <c r="N38" s="519">
        <v>0</v>
      </c>
      <c r="O38" s="486">
        <v>0</v>
      </c>
      <c r="P38" s="519">
        <v>0</v>
      </c>
      <c r="Q38" s="486">
        <v>0</v>
      </c>
      <c r="R38" s="519">
        <v>0</v>
      </c>
      <c r="S38" s="484">
        <f>ROUND((S$14+S$15)*CF!$E$15,0)</f>
        <v>24</v>
      </c>
      <c r="T38" s="484">
        <f>ROUND((T$14+T$15)*CF!$E$15,0)</f>
        <v>19</v>
      </c>
      <c r="U38" s="517">
        <v>0</v>
      </c>
      <c r="V38" s="139">
        <v>0</v>
      </c>
      <c r="W38" s="484">
        <v>0</v>
      </c>
      <c r="X38" s="310">
        <f>SUM(E38:W38)</f>
        <v>6967</v>
      </c>
      <c r="Y38" s="517">
        <f t="shared" ref="Y38:Y40" si="34">-S38</f>
        <v>-24</v>
      </c>
      <c r="Z38" s="139">
        <v>0</v>
      </c>
      <c r="AA38" s="139">
        <v>0</v>
      </c>
      <c r="AB38" s="139">
        <v>0</v>
      </c>
      <c r="AC38" s="310">
        <f>SUM(X38:AB38)</f>
        <v>6943</v>
      </c>
    </row>
    <row r="39" spans="1:29">
      <c r="A39" s="86">
        <v>18</v>
      </c>
      <c r="B39" s="1" t="s">
        <v>41</v>
      </c>
      <c r="C39" s="3"/>
      <c r="D39" s="3"/>
      <c r="E39" s="220">
        <f>'ROO INPUT'!$F40</f>
        <v>8093</v>
      </c>
      <c r="F39" s="484">
        <v>0</v>
      </c>
      <c r="G39" s="517">
        <v>0</v>
      </c>
      <c r="H39" s="484">
        <v>0</v>
      </c>
      <c r="I39" s="484">
        <v>0</v>
      </c>
      <c r="J39" s="484">
        <v>0</v>
      </c>
      <c r="K39" s="484">
        <v>0</v>
      </c>
      <c r="L39" s="517">
        <v>0</v>
      </c>
      <c r="M39" s="517">
        <v>0</v>
      </c>
      <c r="N39" s="517">
        <v>0</v>
      </c>
      <c r="O39" s="484">
        <v>0</v>
      </c>
      <c r="P39" s="517">
        <v>0</v>
      </c>
      <c r="Q39" s="484">
        <v>0</v>
      </c>
      <c r="R39" s="517">
        <v>0</v>
      </c>
      <c r="S39" s="484">
        <v>0</v>
      </c>
      <c r="T39" s="484">
        <v>-6860</v>
      </c>
      <c r="U39" s="517">
        <v>-1</v>
      </c>
      <c r="V39" s="517">
        <v>0</v>
      </c>
      <c r="W39" s="484">
        <v>0</v>
      </c>
      <c r="X39" s="310">
        <f>SUM(E39:W39)</f>
        <v>1232</v>
      </c>
      <c r="Y39" s="517">
        <f t="shared" si="34"/>
        <v>0</v>
      </c>
      <c r="Z39" s="517">
        <v>0</v>
      </c>
      <c r="AA39" s="517">
        <v>0</v>
      </c>
      <c r="AB39" s="517">
        <v>0</v>
      </c>
      <c r="AC39" s="310">
        <f>SUM(X39:AB39)</f>
        <v>1232</v>
      </c>
    </row>
    <row r="40" spans="1:29">
      <c r="A40" s="86">
        <v>19</v>
      </c>
      <c r="B40" s="1" t="s">
        <v>42</v>
      </c>
      <c r="C40" s="3"/>
      <c r="D40" s="3"/>
      <c r="E40" s="220">
        <f>'ROO INPUT'!$F41</f>
        <v>0</v>
      </c>
      <c r="F40" s="484">
        <v>0</v>
      </c>
      <c r="G40" s="517">
        <v>0</v>
      </c>
      <c r="H40" s="484">
        <v>0</v>
      </c>
      <c r="I40" s="484">
        <v>0</v>
      </c>
      <c r="J40" s="484">
        <v>0</v>
      </c>
      <c r="K40" s="484">
        <v>0</v>
      </c>
      <c r="L40" s="517">
        <v>0</v>
      </c>
      <c r="M40" s="517">
        <v>0</v>
      </c>
      <c r="N40" s="517">
        <v>0</v>
      </c>
      <c r="O40" s="484">
        <v>0</v>
      </c>
      <c r="P40" s="517">
        <v>0</v>
      </c>
      <c r="Q40" s="484">
        <v>0</v>
      </c>
      <c r="R40" s="517">
        <v>0</v>
      </c>
      <c r="S40" s="484">
        <v>0</v>
      </c>
      <c r="T40" s="484">
        <v>0</v>
      </c>
      <c r="U40" s="517">
        <v>0</v>
      </c>
      <c r="V40" s="517">
        <v>0</v>
      </c>
      <c r="W40" s="484">
        <v>0</v>
      </c>
      <c r="X40" s="310">
        <f>SUM(E40:W40)</f>
        <v>0</v>
      </c>
      <c r="Y40" s="517">
        <f t="shared" si="34"/>
        <v>0</v>
      </c>
      <c r="Z40" s="517">
        <v>0</v>
      </c>
      <c r="AA40" s="517">
        <v>0</v>
      </c>
      <c r="AB40" s="517">
        <v>0</v>
      </c>
      <c r="AC40" s="310">
        <f>SUM(X40:AB40)</f>
        <v>0</v>
      </c>
    </row>
    <row r="41" spans="1:29" ht="7.5" customHeight="1">
      <c r="C41" s="3"/>
      <c r="D41" s="3"/>
      <c r="E41" s="220"/>
      <c r="F41" s="484"/>
      <c r="G41" s="517"/>
      <c r="H41" s="484"/>
      <c r="I41" s="484"/>
      <c r="J41" s="484"/>
      <c r="K41" s="484"/>
      <c r="L41" s="517"/>
      <c r="M41" s="517"/>
      <c r="N41" s="517"/>
      <c r="O41" s="484"/>
      <c r="P41" s="517"/>
      <c r="Q41" s="484"/>
      <c r="R41" s="517"/>
      <c r="S41" s="484"/>
      <c r="T41" s="484"/>
      <c r="U41" s="517"/>
      <c r="V41" s="517"/>
      <c r="W41" s="484"/>
      <c r="X41" s="310"/>
      <c r="Y41" s="517"/>
      <c r="Z41" s="517"/>
      <c r="AA41" s="517"/>
      <c r="AB41" s="517"/>
      <c r="AC41" s="310"/>
    </row>
    <row r="42" spans="1:29">
      <c r="B42" s="1" t="s">
        <v>43</v>
      </c>
      <c r="C42" s="3"/>
      <c r="D42" s="3"/>
      <c r="E42" s="220"/>
      <c r="F42" s="484"/>
      <c r="G42" s="517"/>
      <c r="H42" s="484"/>
      <c r="I42" s="484"/>
      <c r="J42" s="484"/>
      <c r="K42" s="484"/>
      <c r="L42" s="517"/>
      <c r="M42" s="517"/>
      <c r="N42" s="517"/>
      <c r="O42" s="484"/>
      <c r="P42" s="517"/>
      <c r="Q42" s="484"/>
      <c r="R42" s="517"/>
      <c r="S42" s="484"/>
      <c r="T42" s="484"/>
      <c r="U42" s="517"/>
      <c r="V42" s="517"/>
      <c r="W42" s="484"/>
      <c r="X42" s="310">
        <f>SUM(E42:W42)</f>
        <v>0</v>
      </c>
      <c r="Y42" s="517">
        <f t="shared" ref="Y42:Y46" si="35">-S42</f>
        <v>0</v>
      </c>
      <c r="Z42" s="517"/>
      <c r="AA42" s="517"/>
      <c r="AB42" s="517"/>
      <c r="AC42" s="310">
        <f>SUM(X42:AB42)</f>
        <v>0</v>
      </c>
    </row>
    <row r="43" spans="1:29">
      <c r="A43" s="86">
        <v>20</v>
      </c>
      <c r="C43" s="3" t="s">
        <v>36</v>
      </c>
      <c r="D43" s="3"/>
      <c r="E43" s="220">
        <f>'ROO INPUT'!$F44</f>
        <v>15045</v>
      </c>
      <c r="F43" s="484">
        <v>0</v>
      </c>
      <c r="G43" s="517">
        <v>0</v>
      </c>
      <c r="H43" s="484">
        <v>0</v>
      </c>
      <c r="I43" s="484">
        <v>0</v>
      </c>
      <c r="J43" s="484">
        <v>0</v>
      </c>
      <c r="K43" s="484">
        <v>0</v>
      </c>
      <c r="L43" s="517">
        <v>0</v>
      </c>
      <c r="M43" s="517">
        <v>-50</v>
      </c>
      <c r="N43" s="517">
        <v>54</v>
      </c>
      <c r="O43" s="484">
        <v>0</v>
      </c>
      <c r="P43" s="517">
        <v>-17</v>
      </c>
      <c r="Q43" s="484">
        <v>0</v>
      </c>
      <c r="R43" s="517">
        <v>0</v>
      </c>
      <c r="S43" s="484">
        <f>ROUND((S$14+S$15)*CF!$E$17,0)</f>
        <v>13</v>
      </c>
      <c r="T43" s="484">
        <f>ROUND((T$14+T$15)*CF!$E$17,0)</f>
        <v>10</v>
      </c>
      <c r="U43" s="517">
        <v>-371</v>
      </c>
      <c r="V43" s="517">
        <v>-72</v>
      </c>
      <c r="W43" s="484">
        <v>0</v>
      </c>
      <c r="X43" s="310">
        <f>SUM(E43:W43)</f>
        <v>14612</v>
      </c>
      <c r="Y43" s="517">
        <f t="shared" si="35"/>
        <v>-13</v>
      </c>
      <c r="Z43" s="517">
        <v>0</v>
      </c>
      <c r="AA43" s="517">
        <v>0</v>
      </c>
      <c r="AB43" s="517">
        <v>0</v>
      </c>
      <c r="AC43" s="310">
        <f>SUM(X43:AB43)</f>
        <v>14599</v>
      </c>
    </row>
    <row r="44" spans="1:29">
      <c r="A44" s="86">
        <v>21</v>
      </c>
      <c r="C44" s="3" t="s">
        <v>163</v>
      </c>
      <c r="D44" s="3"/>
      <c r="E44" s="220">
        <f>'ROO INPUT'!$F45</f>
        <v>8492</v>
      </c>
      <c r="F44" s="484">
        <v>0</v>
      </c>
      <c r="G44" s="517">
        <v>0</v>
      </c>
      <c r="H44" s="484">
        <v>0</v>
      </c>
      <c r="I44" s="484">
        <v>0</v>
      </c>
      <c r="J44" s="484">
        <v>0</v>
      </c>
      <c r="K44" s="484">
        <v>0</v>
      </c>
      <c r="L44" s="517">
        <v>0</v>
      </c>
      <c r="M44" s="517">
        <v>0</v>
      </c>
      <c r="N44" s="517">
        <v>0</v>
      </c>
      <c r="O44" s="484">
        <v>0</v>
      </c>
      <c r="P44" s="517">
        <v>0</v>
      </c>
      <c r="Q44" s="484">
        <v>0</v>
      </c>
      <c r="R44" s="517">
        <v>0</v>
      </c>
      <c r="S44" s="484"/>
      <c r="T44" s="484"/>
      <c r="U44" s="517">
        <v>0</v>
      </c>
      <c r="V44" s="517">
        <v>0</v>
      </c>
      <c r="W44" s="484">
        <v>0</v>
      </c>
      <c r="X44" s="310">
        <f>SUM(E44:W44)</f>
        <v>8492</v>
      </c>
      <c r="Y44" s="517">
        <f t="shared" si="35"/>
        <v>0</v>
      </c>
      <c r="Z44" s="517">
        <v>0</v>
      </c>
      <c r="AA44" s="517">
        <v>0</v>
      </c>
      <c r="AB44" s="517">
        <v>0</v>
      </c>
      <c r="AC44" s="310">
        <f>SUM(X44:AB44)</f>
        <v>8492</v>
      </c>
    </row>
    <row r="45" spans="1:29">
      <c r="A45" s="86">
        <v>22</v>
      </c>
      <c r="C45" s="327" t="s">
        <v>373</v>
      </c>
      <c r="D45" s="3"/>
      <c r="E45" s="220">
        <f>'ROO INPUT'!$F46</f>
        <v>-1559</v>
      </c>
      <c r="F45" s="484"/>
      <c r="G45" s="517"/>
      <c r="H45" s="484"/>
      <c r="I45" s="484"/>
      <c r="J45" s="484"/>
      <c r="K45" s="484"/>
      <c r="L45" s="517"/>
      <c r="M45" s="517"/>
      <c r="N45" s="517"/>
      <c r="O45" s="484"/>
      <c r="P45" s="517"/>
      <c r="Q45" s="484"/>
      <c r="R45" s="517"/>
      <c r="S45" s="484">
        <v>0</v>
      </c>
      <c r="T45" s="484">
        <v>1083</v>
      </c>
      <c r="U45" s="517">
        <v>0</v>
      </c>
      <c r="V45" s="517">
        <v>0</v>
      </c>
      <c r="W45" s="484">
        <v>0</v>
      </c>
      <c r="X45" s="310">
        <f>SUM(E45:W45)</f>
        <v>-476</v>
      </c>
      <c r="Y45" s="517">
        <f t="shared" si="35"/>
        <v>0</v>
      </c>
      <c r="Z45" s="517">
        <v>0</v>
      </c>
      <c r="AA45" s="517">
        <v>0</v>
      </c>
      <c r="AB45" s="517">
        <v>0</v>
      </c>
      <c r="AC45" s="310">
        <f>SUM(X45:AB45)</f>
        <v>-476</v>
      </c>
    </row>
    <row r="46" spans="1:29">
      <c r="A46" s="86">
        <v>23</v>
      </c>
      <c r="C46" s="3" t="s">
        <v>20</v>
      </c>
      <c r="D46" s="3"/>
      <c r="E46" s="221">
        <f>'ROO INPUT'!$F47</f>
        <v>0</v>
      </c>
      <c r="F46" s="485">
        <v>0</v>
      </c>
      <c r="G46" s="518">
        <v>0</v>
      </c>
      <c r="H46" s="485">
        <v>0</v>
      </c>
      <c r="I46" s="485">
        <v>0</v>
      </c>
      <c r="J46" s="485">
        <v>0</v>
      </c>
      <c r="K46" s="485">
        <v>0</v>
      </c>
      <c r="L46" s="518">
        <v>0</v>
      </c>
      <c r="M46" s="518">
        <v>0</v>
      </c>
      <c r="N46" s="518">
        <v>0</v>
      </c>
      <c r="O46" s="485">
        <v>0</v>
      </c>
      <c r="P46" s="518">
        <v>0</v>
      </c>
      <c r="Q46" s="485">
        <v>0</v>
      </c>
      <c r="R46" s="518">
        <v>0</v>
      </c>
      <c r="S46" s="485">
        <v>0</v>
      </c>
      <c r="T46" s="485">
        <v>0</v>
      </c>
      <c r="U46" s="518">
        <v>0</v>
      </c>
      <c r="V46" s="518">
        <v>0</v>
      </c>
      <c r="W46" s="485">
        <v>0</v>
      </c>
      <c r="X46" s="311">
        <f>SUM(E46:W46)</f>
        <v>0</v>
      </c>
      <c r="Y46" s="517">
        <f t="shared" si="35"/>
        <v>0</v>
      </c>
      <c r="Z46" s="518">
        <v>0</v>
      </c>
      <c r="AA46" s="518">
        <v>0</v>
      </c>
      <c r="AB46" s="518">
        <v>0</v>
      </c>
      <c r="AC46" s="311">
        <f>SUM(X46:AB46)</f>
        <v>0</v>
      </c>
    </row>
    <row r="47" spans="1:29">
      <c r="A47" s="86">
        <v>24</v>
      </c>
      <c r="B47" s="3" t="s">
        <v>44</v>
      </c>
      <c r="C47" s="3"/>
      <c r="E47" s="221">
        <f>SUM(E43:E46)</f>
        <v>21978</v>
      </c>
      <c r="F47" s="221">
        <f t="shared" ref="F47:O47" si="36">SUM(F43:F46)</f>
        <v>0</v>
      </c>
      <c r="G47" s="138">
        <f t="shared" si="36"/>
        <v>0</v>
      </c>
      <c r="H47" s="221">
        <f t="shared" si="36"/>
        <v>0</v>
      </c>
      <c r="I47" s="221">
        <f t="shared" ref="I47" si="37">SUM(I43:I46)</f>
        <v>0</v>
      </c>
      <c r="J47" s="221">
        <f t="shared" si="36"/>
        <v>0</v>
      </c>
      <c r="K47" s="221">
        <f>SUM(K43:K46)</f>
        <v>0</v>
      </c>
      <c r="L47" s="138">
        <f t="shared" si="36"/>
        <v>0</v>
      </c>
      <c r="M47" s="138">
        <f t="shared" si="36"/>
        <v>-50</v>
      </c>
      <c r="N47" s="138">
        <f t="shared" si="36"/>
        <v>54</v>
      </c>
      <c r="O47" s="221">
        <f t="shared" si="36"/>
        <v>0</v>
      </c>
      <c r="P47" s="138">
        <f t="shared" ref="P47:Q47" si="38">SUM(P43:P46)</f>
        <v>-17</v>
      </c>
      <c r="Q47" s="221">
        <f t="shared" si="38"/>
        <v>0</v>
      </c>
      <c r="R47" s="138">
        <f t="shared" ref="R47:U47" si="39">SUM(R43:R46)</f>
        <v>0</v>
      </c>
      <c r="S47" s="221">
        <f t="shared" si="39"/>
        <v>13</v>
      </c>
      <c r="T47" s="221">
        <f t="shared" si="39"/>
        <v>1093</v>
      </c>
      <c r="U47" s="138">
        <f t="shared" si="39"/>
        <v>-371</v>
      </c>
      <c r="V47" s="541">
        <f>SUM(V43:V46)</f>
        <v>-72</v>
      </c>
      <c r="W47" s="222">
        <f>SUM(W43:W46)</f>
        <v>0</v>
      </c>
      <c r="X47" s="311">
        <f t="shared" ref="X47" si="40">SUM(X43:X46)</f>
        <v>22628</v>
      </c>
      <c r="Y47" s="547">
        <f>SUM(Y43:Y46)</f>
        <v>-13</v>
      </c>
      <c r="Z47" s="541">
        <f>SUM(Z43:Z46)</f>
        <v>0</v>
      </c>
      <c r="AA47" s="541">
        <f>SUM(AA43:AA46)</f>
        <v>0</v>
      </c>
      <c r="AB47" s="541">
        <f>SUM(AB43:AB46)</f>
        <v>0</v>
      </c>
      <c r="AC47" s="311">
        <f t="shared" ref="AC47" si="41">SUM(AC43:AC46)</f>
        <v>22615</v>
      </c>
    </row>
    <row r="48" spans="1:29" ht="19.5" customHeight="1">
      <c r="A48" s="86">
        <v>25</v>
      </c>
      <c r="B48" s="1" t="s">
        <v>45</v>
      </c>
      <c r="C48" s="3"/>
      <c r="D48" s="3"/>
      <c r="E48" s="221">
        <f t="shared" ref="E48:X48" si="42">E20+E24+E30+E36+E38+E39+E40+E47</f>
        <v>169184</v>
      </c>
      <c r="F48" s="221">
        <f t="shared" si="42"/>
        <v>0</v>
      </c>
      <c r="G48" s="138">
        <f t="shared" si="42"/>
        <v>10</v>
      </c>
      <c r="H48" s="221">
        <f t="shared" si="42"/>
        <v>0</v>
      </c>
      <c r="I48" s="221">
        <f t="shared" ref="I48" si="43">I20+I24+I30+I36+I38+I39+I40+I47</f>
        <v>0</v>
      </c>
      <c r="J48" s="221">
        <f t="shared" si="42"/>
        <v>-5184</v>
      </c>
      <c r="K48" s="221">
        <f>K20+K24+K30+K36+K38+K39+K40+K47</f>
        <v>2</v>
      </c>
      <c r="L48" s="138">
        <f t="shared" si="42"/>
        <v>-320</v>
      </c>
      <c r="M48" s="138">
        <f t="shared" si="42"/>
        <v>-50</v>
      </c>
      <c r="N48" s="138">
        <f t="shared" si="42"/>
        <v>54</v>
      </c>
      <c r="O48" s="221">
        <f t="shared" si="42"/>
        <v>0</v>
      </c>
      <c r="P48" s="138">
        <f t="shared" si="42"/>
        <v>-17</v>
      </c>
      <c r="Q48" s="221">
        <f t="shared" si="42"/>
        <v>0</v>
      </c>
      <c r="R48" s="138">
        <f t="shared" ref="R48:U48" si="44">R20+R24+R30+R36+R38+R39+R40+R47</f>
        <v>-13</v>
      </c>
      <c r="S48" s="221">
        <f t="shared" si="44"/>
        <v>2932</v>
      </c>
      <c r="T48" s="221">
        <f t="shared" si="44"/>
        <v>-47063</v>
      </c>
      <c r="U48" s="138">
        <f t="shared" si="44"/>
        <v>-380</v>
      </c>
      <c r="V48" s="541">
        <f>V20+V24+V30+V36+V38+V39+V40+V47</f>
        <v>-72</v>
      </c>
      <c r="W48" s="222">
        <f>W20+W24+W30+W36+W38+W39+W40+W47</f>
        <v>0</v>
      </c>
      <c r="X48" s="311">
        <f t="shared" si="42"/>
        <v>119083</v>
      </c>
      <c r="Y48" s="541">
        <f>Y20+Y24+Y30+Y36+Y38+Y39+Y40+Y47</f>
        <v>-2932</v>
      </c>
      <c r="Z48" s="541">
        <f>Z20+Z24+Z30+Z36+Z38+Z39+Z40+Z47</f>
        <v>0</v>
      </c>
      <c r="AA48" s="541">
        <f>AA20+AA24+AA30+AA36+AA38+AA39+AA40+AA47</f>
        <v>0</v>
      </c>
      <c r="AB48" s="541">
        <f>AB20+AB24+AB30+AB36+AB38+AB39+AB40+AB47</f>
        <v>2</v>
      </c>
      <c r="AC48" s="311">
        <f t="shared" ref="AC48" si="45">AC20+AC24+AC30+AC36+AC38+AC39+AC40+AC47</f>
        <v>116153</v>
      </c>
    </row>
    <row r="49" spans="1:29" ht="9" customHeight="1">
      <c r="C49" s="3"/>
      <c r="D49" s="3"/>
      <c r="E49" s="220"/>
      <c r="F49" s="220"/>
      <c r="G49" s="137"/>
      <c r="H49" s="220"/>
      <c r="I49" s="220"/>
      <c r="J49" s="220"/>
      <c r="K49" s="220"/>
      <c r="L49" s="137"/>
      <c r="M49" s="137"/>
      <c r="N49" s="137"/>
      <c r="O49" s="220"/>
      <c r="P49" s="137"/>
      <c r="Q49" s="220"/>
      <c r="R49" s="137"/>
      <c r="S49" s="220"/>
      <c r="T49" s="220"/>
      <c r="U49" s="137"/>
      <c r="V49" s="139"/>
      <c r="W49" s="264"/>
      <c r="X49" s="310"/>
      <c r="Y49" s="139"/>
      <c r="Z49" s="139"/>
      <c r="AA49" s="139"/>
      <c r="AB49" s="139"/>
      <c r="AC49" s="310"/>
    </row>
    <row r="50" spans="1:29" ht="12.9" customHeight="1">
      <c r="A50" s="86">
        <v>26</v>
      </c>
      <c r="B50" s="1" t="s">
        <v>46</v>
      </c>
      <c r="C50" s="3"/>
      <c r="D50" s="3"/>
      <c r="E50" s="220">
        <f t="shared" ref="E50:Q50" si="46">E17-E48</f>
        <v>27210</v>
      </c>
      <c r="F50" s="220">
        <f t="shared" si="46"/>
        <v>0</v>
      </c>
      <c r="G50" s="137">
        <f t="shared" si="46"/>
        <v>-10</v>
      </c>
      <c r="H50" s="220">
        <f t="shared" si="46"/>
        <v>0</v>
      </c>
      <c r="I50" s="220">
        <f t="shared" ref="I50" si="47">I17-I48</f>
        <v>0</v>
      </c>
      <c r="J50" s="220">
        <f t="shared" si="46"/>
        <v>-14</v>
      </c>
      <c r="K50" s="220">
        <f>K17-K48</f>
        <v>-2</v>
      </c>
      <c r="L50" s="137">
        <f t="shared" si="46"/>
        <v>320</v>
      </c>
      <c r="M50" s="137">
        <f t="shared" si="46"/>
        <v>50</v>
      </c>
      <c r="N50" s="137">
        <f t="shared" si="46"/>
        <v>-54</v>
      </c>
      <c r="O50" s="220">
        <f t="shared" si="46"/>
        <v>0</v>
      </c>
      <c r="P50" s="137">
        <f t="shared" si="46"/>
        <v>17</v>
      </c>
      <c r="Q50" s="220">
        <f t="shared" si="46"/>
        <v>0</v>
      </c>
      <c r="R50" s="137">
        <f t="shared" ref="R50:U50" si="48">R17-R48</f>
        <v>13</v>
      </c>
      <c r="S50" s="220">
        <f t="shared" si="48"/>
        <v>6</v>
      </c>
      <c r="T50" s="220">
        <f t="shared" si="48"/>
        <v>429</v>
      </c>
      <c r="U50" s="137">
        <f t="shared" si="48"/>
        <v>494</v>
      </c>
      <c r="V50" s="139">
        <f>V17-V48</f>
        <v>72</v>
      </c>
      <c r="W50" s="264">
        <f>W17-W48</f>
        <v>0</v>
      </c>
      <c r="X50" s="310">
        <f>SUM(E50:W50)</f>
        <v>28531</v>
      </c>
      <c r="Y50" s="139">
        <f>Y17-Y48</f>
        <v>-6</v>
      </c>
      <c r="Z50" s="139">
        <f>Z17-Z48</f>
        <v>693</v>
      </c>
      <c r="AA50" s="139">
        <f>AA17-AA48</f>
        <v>0</v>
      </c>
      <c r="AB50" s="139">
        <f>AB17-AB48</f>
        <v>-2</v>
      </c>
      <c r="AC50" s="310">
        <f>SUM(X50:AB50)</f>
        <v>29216</v>
      </c>
    </row>
    <row r="51" spans="1:29" ht="6" customHeight="1">
      <c r="C51" s="3"/>
      <c r="D51" s="3"/>
      <c r="E51" s="220"/>
      <c r="F51" s="220"/>
      <c r="G51" s="137"/>
      <c r="H51" s="220"/>
      <c r="I51" s="220"/>
      <c r="J51" s="220"/>
      <c r="K51" s="220"/>
      <c r="L51" s="137"/>
      <c r="M51" s="137"/>
      <c r="N51" s="137"/>
      <c r="O51" s="220"/>
      <c r="P51" s="137"/>
      <c r="Q51" s="220"/>
      <c r="R51" s="137"/>
      <c r="S51" s="220"/>
      <c r="T51" s="220"/>
      <c r="U51" s="137"/>
      <c r="V51" s="139"/>
      <c r="W51" s="264"/>
      <c r="X51" s="310"/>
      <c r="Y51" s="139"/>
      <c r="Z51" s="139"/>
      <c r="AA51" s="139"/>
      <c r="AB51" s="139"/>
      <c r="AC51" s="310"/>
    </row>
    <row r="52" spans="1:29" ht="12.9" customHeight="1">
      <c r="B52" s="1" t="s">
        <v>47</v>
      </c>
      <c r="C52" s="3"/>
      <c r="D52" s="3"/>
      <c r="E52" s="220"/>
      <c r="F52" s="484"/>
      <c r="G52" s="517"/>
      <c r="H52" s="484"/>
      <c r="I52" s="484"/>
      <c r="J52" s="484"/>
      <c r="K52" s="484"/>
      <c r="L52" s="517"/>
      <c r="M52" s="517"/>
      <c r="N52" s="517"/>
      <c r="O52" s="484"/>
      <c r="P52" s="517"/>
      <c r="Q52" s="484"/>
      <c r="R52" s="517"/>
      <c r="S52" s="484"/>
      <c r="T52" s="484"/>
      <c r="U52" s="517"/>
      <c r="V52" s="517"/>
      <c r="W52" s="484"/>
      <c r="X52" s="310"/>
      <c r="Y52" s="517"/>
      <c r="Z52" s="517"/>
      <c r="AA52" s="517"/>
      <c r="AB52" s="517"/>
      <c r="AC52" s="310"/>
    </row>
    <row r="53" spans="1:29">
      <c r="A53" s="86">
        <v>27</v>
      </c>
      <c r="B53" s="3" t="s">
        <v>48</v>
      </c>
      <c r="D53" s="3"/>
      <c r="E53" s="220">
        <f>'ROO INPUT'!$F54</f>
        <v>2557</v>
      </c>
      <c r="F53" s="484">
        <f t="shared" ref="F53:N53" si="49">F50*0.21</f>
        <v>0</v>
      </c>
      <c r="G53" s="517">
        <f t="shared" si="49"/>
        <v>-2.1</v>
      </c>
      <c r="H53" s="484">
        <f t="shared" si="49"/>
        <v>0</v>
      </c>
      <c r="I53" s="484">
        <f t="shared" si="49"/>
        <v>0</v>
      </c>
      <c r="J53" s="484">
        <f t="shared" si="49"/>
        <v>-2.94</v>
      </c>
      <c r="K53" s="484">
        <f t="shared" si="49"/>
        <v>-0.42</v>
      </c>
      <c r="L53" s="517">
        <f t="shared" si="49"/>
        <v>67.2</v>
      </c>
      <c r="M53" s="517">
        <f t="shared" si="49"/>
        <v>10.5</v>
      </c>
      <c r="N53" s="517">
        <f t="shared" si="49"/>
        <v>-11.34</v>
      </c>
      <c r="O53" s="484">
        <v>0</v>
      </c>
      <c r="P53" s="517">
        <f t="shared" ref="P53:V53" si="50">P50*0.21</f>
        <v>3.57</v>
      </c>
      <c r="Q53" s="484">
        <f t="shared" si="50"/>
        <v>0</v>
      </c>
      <c r="R53" s="517">
        <f t="shared" si="50"/>
        <v>2.73</v>
      </c>
      <c r="S53" s="484">
        <f t="shared" si="50"/>
        <v>1.26</v>
      </c>
      <c r="T53" s="484">
        <f t="shared" si="50"/>
        <v>90.09</v>
      </c>
      <c r="U53" s="517">
        <f t="shared" si="50"/>
        <v>103.74</v>
      </c>
      <c r="V53" s="517">
        <f t="shared" si="50"/>
        <v>15.12</v>
      </c>
      <c r="W53" s="484">
        <f>'DEBT CALC'!E43</f>
        <v>59</v>
      </c>
      <c r="X53" s="310">
        <f>SUM(E53:W53)</f>
        <v>2893.41</v>
      </c>
      <c r="Y53" s="517">
        <f t="shared" ref="Y53:Z53" si="51">Y50*0.21</f>
        <v>-1.26</v>
      </c>
      <c r="Z53" s="517">
        <f t="shared" si="51"/>
        <v>145.53</v>
      </c>
      <c r="AA53" s="517">
        <f t="shared" ref="AA53:AB53" si="52">AA50*0.21</f>
        <v>0</v>
      </c>
      <c r="AB53" s="517">
        <f t="shared" si="52"/>
        <v>-0.42</v>
      </c>
      <c r="AC53" s="310">
        <f>SUM(X53:AB53)</f>
        <v>3037.2599999999998</v>
      </c>
    </row>
    <row r="54" spans="1:29">
      <c r="A54" s="86">
        <v>28</v>
      </c>
      <c r="B54" s="3" t="s">
        <v>147</v>
      </c>
      <c r="D54" s="3"/>
      <c r="E54" s="220">
        <f>'ROO INPUT'!$F55</f>
        <v>0</v>
      </c>
      <c r="F54" s="484">
        <f>(F81*'RR SUMMARY'!$P$12)*-0.21</f>
        <v>7.4109209999999983</v>
      </c>
      <c r="G54" s="517">
        <f>(G81*'RR SUMMARY'!$P$12)*-0.21</f>
        <v>4.1600999999999999E-2</v>
      </c>
      <c r="H54" s="484">
        <f>(H81*'RR SUMMARY'!$P$12)*-0.21</f>
        <v>0</v>
      </c>
      <c r="I54" s="484">
        <f>(I81*'RR SUMMARY'!$P$12)*-0.21</f>
        <v>35.883833999999993</v>
      </c>
      <c r="J54" s="484">
        <f>(J81*'RR SUMMARY'!$P$12)*-0.21</f>
        <v>0</v>
      </c>
      <c r="K54" s="484">
        <f>(K81*'RR SUMMARY'!$P$12)*-0.21</f>
        <v>0</v>
      </c>
      <c r="L54" s="517">
        <f>(L81*'RR SUMMARY'!$P$12)*-0.21</f>
        <v>0</v>
      </c>
      <c r="M54" s="517">
        <f>(M81*'RR SUMMARY'!$P$12)*-0.21</f>
        <v>0</v>
      </c>
      <c r="N54" s="517">
        <f>(N81*'RR SUMMARY'!$P$12)*-0.21</f>
        <v>0</v>
      </c>
      <c r="O54" s="484"/>
      <c r="P54" s="517">
        <f>(P81*'RR SUMMARY'!$P$12)*-0.21</f>
        <v>0</v>
      </c>
      <c r="Q54" s="484">
        <f>(Q81*'RR SUMMARY'!$P$12)*-0.21</f>
        <v>0</v>
      </c>
      <c r="R54" s="517">
        <f>(R81*'RR SUMMARY'!$P$12)*-0.21</f>
        <v>0</v>
      </c>
      <c r="S54" s="484">
        <f>(S81*'RR SUMMARY'!$P$12)*-0.21</f>
        <v>0</v>
      </c>
      <c r="T54" s="484">
        <f>(T81*'RR SUMMARY'!$P$12)*-0.21</f>
        <v>0</v>
      </c>
      <c r="U54" s="517">
        <f>(U81*'RR SUMMARY'!$P$12)*-0.21</f>
        <v>0</v>
      </c>
      <c r="V54" s="517">
        <f>(V81*'RR SUMMARY'!$P$12)*-0.21</f>
        <v>0</v>
      </c>
      <c r="W54" s="484"/>
      <c r="X54" s="310">
        <f>SUM(E54:W54)</f>
        <v>43.336355999999995</v>
      </c>
      <c r="Y54" s="517">
        <f>(Y81*'RR SUMMARY'!$P$12)*-0.21</f>
        <v>0</v>
      </c>
      <c r="Z54" s="517">
        <f>(Z81*'RR SUMMARY'!$P$12)*-0.21</f>
        <v>0</v>
      </c>
      <c r="AA54" s="517">
        <f>(AA81*'RR SUMMARY'!$P$12)*-0.21</f>
        <v>0</v>
      </c>
      <c r="AB54" s="517">
        <f>(AB81*'RR SUMMARY'!$P$12)*-0.21</f>
        <v>0</v>
      </c>
      <c r="AC54" s="310">
        <f>SUM(X54:AB54)</f>
        <v>43.336355999999995</v>
      </c>
    </row>
    <row r="55" spans="1:29">
      <c r="A55" s="86">
        <v>29</v>
      </c>
      <c r="B55" s="3" t="s">
        <v>49</v>
      </c>
      <c r="D55" s="3"/>
      <c r="E55" s="220">
        <f>'ROO INPUT'!$F56</f>
        <v>54</v>
      </c>
      <c r="F55" s="484">
        <v>0</v>
      </c>
      <c r="G55" s="517">
        <v>0</v>
      </c>
      <c r="H55" s="484">
        <v>0</v>
      </c>
      <c r="I55" s="484">
        <v>0</v>
      </c>
      <c r="J55" s="484">
        <v>0</v>
      </c>
      <c r="K55" s="484">
        <v>0</v>
      </c>
      <c r="L55" s="517">
        <v>0</v>
      </c>
      <c r="M55" s="517">
        <v>0</v>
      </c>
      <c r="N55" s="517">
        <v>0</v>
      </c>
      <c r="O55" s="484">
        <v>0</v>
      </c>
      <c r="P55" s="517">
        <v>0</v>
      </c>
      <c r="Q55" s="484">
        <v>0</v>
      </c>
      <c r="R55" s="517">
        <v>0</v>
      </c>
      <c r="S55" s="484">
        <v>0</v>
      </c>
      <c r="T55" s="484">
        <v>339</v>
      </c>
      <c r="U55" s="517">
        <v>0</v>
      </c>
      <c r="V55" s="517">
        <v>0</v>
      </c>
      <c r="W55" s="484">
        <v>0</v>
      </c>
      <c r="X55" s="310">
        <f>SUM(E55:W55)</f>
        <v>393</v>
      </c>
      <c r="Y55" s="517">
        <v>0</v>
      </c>
      <c r="Z55" s="517">
        <v>0</v>
      </c>
      <c r="AA55" s="517">
        <v>0</v>
      </c>
      <c r="AB55" s="517">
        <v>0</v>
      </c>
      <c r="AC55" s="310">
        <f>SUM(X55:AB55)</f>
        <v>393</v>
      </c>
    </row>
    <row r="56" spans="1:29">
      <c r="A56" s="86">
        <v>30</v>
      </c>
      <c r="B56" s="3" t="s">
        <v>50</v>
      </c>
      <c r="D56" s="3"/>
      <c r="E56" s="221">
        <f>'ROO INPUT'!$F57</f>
        <v>-15</v>
      </c>
      <c r="F56" s="485"/>
      <c r="G56" s="518"/>
      <c r="H56" s="485"/>
      <c r="I56" s="485"/>
      <c r="J56" s="485">
        <v>0</v>
      </c>
      <c r="K56" s="485">
        <v>0</v>
      </c>
      <c r="L56" s="518">
        <v>0</v>
      </c>
      <c r="M56" s="518">
        <v>0</v>
      </c>
      <c r="N56" s="518">
        <v>0</v>
      </c>
      <c r="O56" s="485">
        <v>0</v>
      </c>
      <c r="P56" s="518">
        <v>0</v>
      </c>
      <c r="Q56" s="485">
        <v>0</v>
      </c>
      <c r="R56" s="518">
        <v>0</v>
      </c>
      <c r="S56" s="485">
        <v>0</v>
      </c>
      <c r="T56" s="485">
        <v>0</v>
      </c>
      <c r="U56" s="518">
        <v>0</v>
      </c>
      <c r="V56" s="518">
        <v>0</v>
      </c>
      <c r="W56" s="485">
        <v>0</v>
      </c>
      <c r="X56" s="311">
        <f>SUM(E56:W56)</f>
        <v>-15</v>
      </c>
      <c r="Y56" s="518">
        <v>0</v>
      </c>
      <c r="Z56" s="518">
        <v>0</v>
      </c>
      <c r="AA56" s="518">
        <v>0</v>
      </c>
      <c r="AB56" s="518">
        <v>0</v>
      </c>
      <c r="AC56" s="311">
        <f>SUM(X56:AB56)</f>
        <v>-15</v>
      </c>
    </row>
    <row r="57" spans="1:29" ht="9.75" customHeight="1">
      <c r="E57" s="220"/>
      <c r="F57" s="220"/>
      <c r="G57" s="137"/>
      <c r="H57" s="220"/>
      <c r="I57" s="220"/>
      <c r="J57" s="220"/>
      <c r="K57" s="220"/>
      <c r="L57" s="137"/>
      <c r="M57" s="137"/>
      <c r="N57" s="137"/>
      <c r="O57" s="220"/>
      <c r="P57" s="137"/>
      <c r="Q57" s="220"/>
      <c r="R57" s="137"/>
      <c r="S57" s="220"/>
      <c r="T57" s="220"/>
      <c r="U57" s="137"/>
      <c r="V57" s="139"/>
      <c r="W57" s="264"/>
      <c r="X57" s="310"/>
      <c r="Y57" s="139"/>
      <c r="Z57" s="139"/>
      <c r="AA57" s="139"/>
      <c r="AB57" s="139"/>
      <c r="AC57" s="310"/>
    </row>
    <row r="58" spans="1:29" s="2" customFormat="1" ht="12.6" thickBot="1">
      <c r="A58" s="86">
        <v>31</v>
      </c>
      <c r="B58" s="2" t="s">
        <v>51</v>
      </c>
      <c r="E58" s="339">
        <f>E50-SUM(E53:E56)</f>
        <v>24614</v>
      </c>
      <c r="F58" s="339">
        <f t="shared" ref="F58:P58" si="53">F50-SUM(F53:F56)</f>
        <v>-7.4109209999999983</v>
      </c>
      <c r="G58" s="256">
        <f>G50-SUM(G53:G56)</f>
        <v>-7.9416010000000004</v>
      </c>
      <c r="H58" s="339">
        <f t="shared" si="53"/>
        <v>0</v>
      </c>
      <c r="I58" s="339">
        <f t="shared" ref="I58" si="54">I50-SUM(I53:I56)</f>
        <v>-35.883833999999993</v>
      </c>
      <c r="J58" s="339">
        <f t="shared" si="53"/>
        <v>-11.06</v>
      </c>
      <c r="K58" s="339">
        <f>K50-SUM(K53:K56)</f>
        <v>-1.58</v>
      </c>
      <c r="L58" s="256">
        <f t="shared" si="53"/>
        <v>252.8</v>
      </c>
      <c r="M58" s="256">
        <f t="shared" si="53"/>
        <v>39.5</v>
      </c>
      <c r="N58" s="256">
        <f t="shared" si="53"/>
        <v>-42.66</v>
      </c>
      <c r="O58" s="339">
        <f t="shared" si="53"/>
        <v>0</v>
      </c>
      <c r="P58" s="256">
        <f t="shared" si="53"/>
        <v>13.43</v>
      </c>
      <c r="Q58" s="339">
        <f t="shared" ref="Q58:S58" si="55">Q50-SUM(Q53:Q56)</f>
        <v>0</v>
      </c>
      <c r="R58" s="256">
        <f t="shared" si="55"/>
        <v>10.27</v>
      </c>
      <c r="S58" s="339">
        <f t="shared" si="55"/>
        <v>4.74</v>
      </c>
      <c r="T58" s="339">
        <f t="shared" ref="T58" si="56">T50-SUM(T53:T56)</f>
        <v>-9.0000000000031832E-2</v>
      </c>
      <c r="U58" s="256">
        <f>U50-SUM(U53:U56)</f>
        <v>390.26</v>
      </c>
      <c r="V58" s="542">
        <f>V50-SUM(V53:V56)</f>
        <v>56.88</v>
      </c>
      <c r="W58" s="500">
        <f t="shared" ref="W58" si="57">W50-SUM(W53:W56)</f>
        <v>-59</v>
      </c>
      <c r="X58" s="313">
        <f>X50-SUM(X53:X56)+X57</f>
        <v>25216.253644</v>
      </c>
      <c r="Y58" s="542">
        <f>Y50-SUM(Y53:Y56)</f>
        <v>-4.74</v>
      </c>
      <c r="Z58" s="542">
        <f>Z50-SUM(Z53:Z56)</f>
        <v>547.47</v>
      </c>
      <c r="AA58" s="542">
        <f>AA50-SUM(AA53:AA56)</f>
        <v>0</v>
      </c>
      <c r="AB58" s="542">
        <f>AB50-SUM(AB53:AB56)</f>
        <v>-1.58</v>
      </c>
      <c r="AC58" s="313">
        <f>AC50-SUM(AC53:AC56)+AC57</f>
        <v>25757.403644000002</v>
      </c>
    </row>
    <row r="59" spans="1:29" ht="6" customHeight="1" thickTop="1">
      <c r="E59" s="220"/>
      <c r="F59" s="220"/>
      <c r="G59" s="137"/>
      <c r="H59" s="220"/>
      <c r="I59" s="220"/>
      <c r="J59" s="220"/>
      <c r="K59" s="220"/>
      <c r="L59" s="137"/>
      <c r="M59" s="137"/>
      <c r="N59" s="137"/>
      <c r="O59" s="220"/>
      <c r="P59" s="137"/>
      <c r="Q59" s="220"/>
      <c r="R59" s="137"/>
      <c r="S59" s="220"/>
      <c r="T59" s="220"/>
      <c r="U59" s="137"/>
      <c r="V59" s="543"/>
      <c r="W59" s="264"/>
      <c r="X59" s="310"/>
      <c r="Y59" s="543"/>
      <c r="Z59" s="543"/>
      <c r="AA59" s="543"/>
      <c r="AB59" s="543"/>
      <c r="AC59" s="310"/>
    </row>
    <row r="60" spans="1:29">
      <c r="B60" s="1" t="s">
        <v>92</v>
      </c>
      <c r="E60" s="220"/>
      <c r="F60" s="220"/>
      <c r="G60" s="137"/>
      <c r="H60" s="220"/>
      <c r="I60" s="220"/>
      <c r="J60" s="220"/>
      <c r="K60" s="220"/>
      <c r="L60" s="137"/>
      <c r="M60" s="137"/>
      <c r="N60" s="137"/>
      <c r="O60" s="220"/>
      <c r="P60" s="137"/>
      <c r="Q60" s="220"/>
      <c r="R60" s="137"/>
      <c r="S60" s="220"/>
      <c r="T60" s="220"/>
      <c r="U60" s="137"/>
      <c r="V60" s="543"/>
      <c r="W60" s="264"/>
      <c r="X60" s="310"/>
      <c r="Y60" s="543"/>
      <c r="Z60" s="543"/>
      <c r="AA60" s="543"/>
      <c r="AB60" s="543"/>
      <c r="AC60" s="310"/>
    </row>
    <row r="61" spans="1:29">
      <c r="B61" s="1" t="s">
        <v>93</v>
      </c>
      <c r="E61" s="220"/>
      <c r="F61" s="484"/>
      <c r="G61" s="517"/>
      <c r="H61" s="484"/>
      <c r="I61" s="484"/>
      <c r="J61" s="484"/>
      <c r="K61" s="484"/>
      <c r="L61" s="517"/>
      <c r="M61" s="517"/>
      <c r="N61" s="517"/>
      <c r="O61" s="484"/>
      <c r="P61" s="517"/>
      <c r="Q61" s="484"/>
      <c r="R61" s="517"/>
      <c r="S61" s="484"/>
      <c r="T61" s="484"/>
      <c r="U61" s="517"/>
      <c r="V61" s="544"/>
      <c r="W61" s="484"/>
      <c r="X61" s="310"/>
      <c r="Y61" s="544"/>
      <c r="Z61" s="544"/>
      <c r="AA61" s="544"/>
      <c r="AB61" s="544"/>
      <c r="AC61" s="310"/>
    </row>
    <row r="62" spans="1:29">
      <c r="A62" s="86">
        <v>32</v>
      </c>
      <c r="B62" s="3"/>
      <c r="C62" s="3" t="s">
        <v>35</v>
      </c>
      <c r="D62" s="3"/>
      <c r="E62" s="359">
        <f>'ROO INPUT'!$F63</f>
        <v>28442</v>
      </c>
      <c r="F62" s="483">
        <v>0</v>
      </c>
      <c r="G62" s="516">
        <v>0</v>
      </c>
      <c r="H62" s="483">
        <v>0</v>
      </c>
      <c r="I62" s="483">
        <v>0</v>
      </c>
      <c r="J62" s="483">
        <v>0</v>
      </c>
      <c r="K62" s="483">
        <v>0</v>
      </c>
      <c r="L62" s="516">
        <v>0</v>
      </c>
      <c r="M62" s="516">
        <v>0</v>
      </c>
      <c r="N62" s="516">
        <v>0</v>
      </c>
      <c r="O62" s="483">
        <v>0</v>
      </c>
      <c r="P62" s="516">
        <v>0</v>
      </c>
      <c r="Q62" s="483">
        <v>0</v>
      </c>
      <c r="R62" s="516">
        <v>0</v>
      </c>
      <c r="S62" s="483">
        <v>0</v>
      </c>
      <c r="T62" s="483">
        <v>0</v>
      </c>
      <c r="U62" s="516">
        <v>0</v>
      </c>
      <c r="V62" s="545">
        <v>0</v>
      </c>
      <c r="W62" s="483">
        <v>0</v>
      </c>
      <c r="X62" s="309">
        <f>SUM(E62:W62)</f>
        <v>28442</v>
      </c>
      <c r="Y62" s="545">
        <v>0</v>
      </c>
      <c r="Z62" s="545">
        <v>0</v>
      </c>
      <c r="AA62" s="545">
        <v>0</v>
      </c>
      <c r="AB62" s="545">
        <v>0</v>
      </c>
      <c r="AC62" s="309">
        <f>SUM(X62:AB62)</f>
        <v>28442</v>
      </c>
    </row>
    <row r="63" spans="1:29">
      <c r="A63" s="86">
        <v>33</v>
      </c>
      <c r="B63" s="3"/>
      <c r="C63" s="3" t="s">
        <v>52</v>
      </c>
      <c r="D63" s="3"/>
      <c r="E63" s="220">
        <f>'ROO INPUT'!$F64</f>
        <v>462636</v>
      </c>
      <c r="F63" s="484">
        <v>0</v>
      </c>
      <c r="G63" s="517">
        <v>0</v>
      </c>
      <c r="H63" s="484">
        <v>0</v>
      </c>
      <c r="I63" s="484">
        <v>-7041</v>
      </c>
      <c r="J63" s="484">
        <v>0</v>
      </c>
      <c r="K63" s="484">
        <v>0</v>
      </c>
      <c r="L63" s="517">
        <v>0</v>
      </c>
      <c r="M63" s="517">
        <v>0</v>
      </c>
      <c r="N63" s="517">
        <v>0</v>
      </c>
      <c r="O63" s="484">
        <v>0</v>
      </c>
      <c r="P63" s="517">
        <v>0</v>
      </c>
      <c r="Q63" s="484">
        <v>0</v>
      </c>
      <c r="R63" s="517">
        <v>0</v>
      </c>
      <c r="S63" s="484">
        <v>0</v>
      </c>
      <c r="T63" s="484">
        <v>0</v>
      </c>
      <c r="U63" s="517">
        <v>0</v>
      </c>
      <c r="V63" s="544">
        <v>0</v>
      </c>
      <c r="W63" s="484">
        <v>0</v>
      </c>
      <c r="X63" s="310">
        <f>SUM(E63:W63)</f>
        <v>455595</v>
      </c>
      <c r="Y63" s="544">
        <v>0</v>
      </c>
      <c r="Z63" s="544">
        <v>0</v>
      </c>
      <c r="AA63" s="544">
        <v>0</v>
      </c>
      <c r="AB63" s="544">
        <v>0</v>
      </c>
      <c r="AC63" s="310">
        <f>SUM(X63:AB63)</f>
        <v>455595</v>
      </c>
    </row>
    <row r="64" spans="1:29">
      <c r="A64" s="86">
        <v>34</v>
      </c>
      <c r="B64" s="3"/>
      <c r="C64" s="3" t="s">
        <v>53</v>
      </c>
      <c r="D64" s="3"/>
      <c r="E64" s="221">
        <f>'ROO INPUT'!$F65</f>
        <v>114053</v>
      </c>
      <c r="F64" s="485">
        <v>0</v>
      </c>
      <c r="G64" s="518">
        <v>0</v>
      </c>
      <c r="H64" s="485">
        <v>0</v>
      </c>
      <c r="I64" s="485">
        <v>0</v>
      </c>
      <c r="J64" s="485">
        <v>0</v>
      </c>
      <c r="K64" s="485">
        <v>0</v>
      </c>
      <c r="L64" s="518">
        <v>0</v>
      </c>
      <c r="M64" s="518">
        <v>0</v>
      </c>
      <c r="N64" s="518">
        <v>0</v>
      </c>
      <c r="O64" s="485">
        <v>0</v>
      </c>
      <c r="P64" s="518">
        <v>0</v>
      </c>
      <c r="Q64" s="485">
        <v>0</v>
      </c>
      <c r="R64" s="518">
        <v>0</v>
      </c>
      <c r="S64" s="485">
        <v>0</v>
      </c>
      <c r="T64" s="485">
        <v>0</v>
      </c>
      <c r="U64" s="518">
        <v>0</v>
      </c>
      <c r="V64" s="546">
        <v>0</v>
      </c>
      <c r="W64" s="485">
        <v>0</v>
      </c>
      <c r="X64" s="311">
        <f>SUM(E64:W64)</f>
        <v>114053</v>
      </c>
      <c r="Y64" s="546">
        <v>0</v>
      </c>
      <c r="Z64" s="546">
        <v>0</v>
      </c>
      <c r="AA64" s="546">
        <v>0</v>
      </c>
      <c r="AB64" s="546">
        <v>0</v>
      </c>
      <c r="AC64" s="311">
        <f>SUM(X64:AB64)</f>
        <v>114053</v>
      </c>
    </row>
    <row r="65" spans="1:29" ht="15.75" customHeight="1">
      <c r="A65" s="86">
        <v>35</v>
      </c>
      <c r="B65" s="3" t="s">
        <v>54</v>
      </c>
      <c r="C65" s="3"/>
      <c r="E65" s="220">
        <f>SUM(E62:E64)</f>
        <v>605131</v>
      </c>
      <c r="F65" s="220">
        <f t="shared" ref="F65:O65" si="58">SUM(F62:F64)</f>
        <v>0</v>
      </c>
      <c r="G65" s="137">
        <f t="shared" si="58"/>
        <v>0</v>
      </c>
      <c r="H65" s="220">
        <f t="shared" si="58"/>
        <v>0</v>
      </c>
      <c r="I65" s="220">
        <f t="shared" ref="I65" si="59">SUM(I62:I64)</f>
        <v>-7041</v>
      </c>
      <c r="J65" s="220">
        <f t="shared" si="58"/>
        <v>0</v>
      </c>
      <c r="K65" s="220">
        <f>SUM(K62:K64)</f>
        <v>0</v>
      </c>
      <c r="L65" s="137">
        <f t="shared" si="58"/>
        <v>0</v>
      </c>
      <c r="M65" s="137">
        <f t="shared" si="58"/>
        <v>0</v>
      </c>
      <c r="N65" s="137">
        <f t="shared" si="58"/>
        <v>0</v>
      </c>
      <c r="O65" s="220">
        <f t="shared" si="58"/>
        <v>0</v>
      </c>
      <c r="P65" s="137">
        <f t="shared" ref="P65:Y65" si="60">SUM(P62:P64)</f>
        <v>0</v>
      </c>
      <c r="Q65" s="220">
        <f t="shared" si="60"/>
        <v>0</v>
      </c>
      <c r="R65" s="137">
        <f t="shared" ref="R65:V65" si="61">SUM(R62:R64)</f>
        <v>0</v>
      </c>
      <c r="S65" s="220">
        <f t="shared" si="61"/>
        <v>0</v>
      </c>
      <c r="T65" s="220">
        <f t="shared" si="61"/>
        <v>0</v>
      </c>
      <c r="U65" s="137">
        <f t="shared" si="61"/>
        <v>0</v>
      </c>
      <c r="V65" s="139">
        <f t="shared" si="61"/>
        <v>0</v>
      </c>
      <c r="W65" s="264">
        <f t="shared" ref="W65" si="62">SUM(W62:W64)</f>
        <v>0</v>
      </c>
      <c r="X65" s="310">
        <f t="shared" si="60"/>
        <v>598090</v>
      </c>
      <c r="Y65" s="139">
        <f t="shared" si="60"/>
        <v>0</v>
      </c>
      <c r="Z65" s="139">
        <f t="shared" ref="Z65:AC65" si="63">SUM(Z62:Z64)</f>
        <v>0</v>
      </c>
      <c r="AA65" s="139">
        <f t="shared" ref="AA65" si="64">SUM(AA62:AA64)</f>
        <v>0</v>
      </c>
      <c r="AB65" s="139">
        <f t="shared" si="63"/>
        <v>0</v>
      </c>
      <c r="AC65" s="310">
        <f t="shared" si="63"/>
        <v>598090</v>
      </c>
    </row>
    <row r="66" spans="1:29" ht="3.75" customHeight="1">
      <c r="B66" s="3"/>
      <c r="C66" s="3"/>
      <c r="E66" s="220"/>
      <c r="F66" s="220"/>
      <c r="G66" s="137"/>
      <c r="H66" s="220"/>
      <c r="I66" s="220"/>
      <c r="J66" s="220"/>
      <c r="K66" s="220"/>
      <c r="L66" s="137"/>
      <c r="M66" s="137"/>
      <c r="N66" s="137"/>
      <c r="O66" s="220"/>
      <c r="P66" s="137"/>
      <c r="Q66" s="220"/>
      <c r="R66" s="137"/>
      <c r="S66" s="220"/>
      <c r="T66" s="220"/>
      <c r="U66" s="137"/>
      <c r="V66" s="139"/>
      <c r="W66" s="264"/>
      <c r="X66" s="310"/>
      <c r="Y66" s="139"/>
      <c r="Z66" s="139"/>
      <c r="AA66" s="139"/>
      <c r="AB66" s="139"/>
      <c r="AC66" s="310"/>
    </row>
    <row r="67" spans="1:29">
      <c r="B67" s="3" t="s">
        <v>165</v>
      </c>
      <c r="C67" s="3"/>
      <c r="D67" s="3"/>
      <c r="E67" s="220"/>
      <c r="F67" s="484"/>
      <c r="G67" s="517"/>
      <c r="H67" s="484"/>
      <c r="I67" s="484"/>
      <c r="J67" s="484"/>
      <c r="K67" s="484"/>
      <c r="L67" s="517"/>
      <c r="M67" s="517"/>
      <c r="N67" s="517"/>
      <c r="O67" s="484"/>
      <c r="P67" s="517"/>
      <c r="Q67" s="484"/>
      <c r="R67" s="517"/>
      <c r="S67" s="484"/>
      <c r="T67" s="484"/>
      <c r="U67" s="517"/>
      <c r="V67" s="517"/>
      <c r="W67" s="484"/>
      <c r="X67" s="310"/>
      <c r="Y67" s="517"/>
      <c r="Z67" s="517"/>
      <c r="AA67" s="517"/>
      <c r="AB67" s="517"/>
      <c r="AC67" s="310"/>
    </row>
    <row r="68" spans="1:29">
      <c r="A68" s="86">
        <v>36</v>
      </c>
      <c r="B68" s="3"/>
      <c r="C68" s="3" t="s">
        <v>35</v>
      </c>
      <c r="D68" s="3"/>
      <c r="E68" s="220">
        <f>'ROO INPUT'!$F69</f>
        <v>-11051</v>
      </c>
      <c r="F68" s="484">
        <v>0</v>
      </c>
      <c r="G68" s="517">
        <v>0</v>
      </c>
      <c r="H68" s="484">
        <v>0</v>
      </c>
      <c r="I68" s="484">
        <v>0</v>
      </c>
      <c r="J68" s="484">
        <v>0</v>
      </c>
      <c r="K68" s="484">
        <v>0</v>
      </c>
      <c r="L68" s="517">
        <v>0</v>
      </c>
      <c r="M68" s="517">
        <v>0</v>
      </c>
      <c r="N68" s="517">
        <v>0</v>
      </c>
      <c r="O68" s="484">
        <v>0</v>
      </c>
      <c r="P68" s="517">
        <v>0</v>
      </c>
      <c r="Q68" s="484">
        <v>0</v>
      </c>
      <c r="R68" s="517">
        <v>0</v>
      </c>
      <c r="S68" s="484">
        <v>0</v>
      </c>
      <c r="T68" s="484">
        <v>0</v>
      </c>
      <c r="U68" s="517">
        <v>0</v>
      </c>
      <c r="V68" s="517">
        <v>0</v>
      </c>
      <c r="W68" s="484">
        <v>0</v>
      </c>
      <c r="X68" s="310">
        <f>SUM(E68:W68)</f>
        <v>-11051</v>
      </c>
      <c r="Y68" s="517">
        <v>0</v>
      </c>
      <c r="Z68" s="517">
        <v>0</v>
      </c>
      <c r="AA68" s="517">
        <v>0</v>
      </c>
      <c r="AB68" s="517">
        <v>0</v>
      </c>
      <c r="AC68" s="310">
        <f>SUM(X68:AB68)</f>
        <v>-11051</v>
      </c>
    </row>
    <row r="69" spans="1:29">
      <c r="A69" s="86">
        <v>37</v>
      </c>
      <c r="B69" s="3"/>
      <c r="C69" s="3" t="s">
        <v>52</v>
      </c>
      <c r="D69" s="3"/>
      <c r="E69" s="220">
        <f>'ROO INPUT'!$F70</f>
        <v>-145402</v>
      </c>
      <c r="F69" s="484">
        <v>0</v>
      </c>
      <c r="G69" s="517">
        <v>0</v>
      </c>
      <c r="H69" s="484">
        <v>0</v>
      </c>
      <c r="I69" s="484">
        <v>433</v>
      </c>
      <c r="J69" s="484">
        <v>0</v>
      </c>
      <c r="K69" s="484">
        <v>0</v>
      </c>
      <c r="L69" s="517">
        <v>0</v>
      </c>
      <c r="M69" s="517">
        <v>0</v>
      </c>
      <c r="N69" s="517">
        <v>0</v>
      </c>
      <c r="O69" s="484">
        <v>0</v>
      </c>
      <c r="P69" s="517">
        <v>0</v>
      </c>
      <c r="Q69" s="484">
        <v>0</v>
      </c>
      <c r="R69" s="517">
        <v>0</v>
      </c>
      <c r="S69" s="484">
        <v>0</v>
      </c>
      <c r="T69" s="484">
        <v>0</v>
      </c>
      <c r="U69" s="517">
        <v>0</v>
      </c>
      <c r="V69" s="517">
        <v>0</v>
      </c>
      <c r="W69" s="484">
        <v>0</v>
      </c>
      <c r="X69" s="310">
        <f>SUM(E69:W69)</f>
        <v>-144969</v>
      </c>
      <c r="Y69" s="517">
        <v>0</v>
      </c>
      <c r="Z69" s="517">
        <v>0</v>
      </c>
      <c r="AA69" s="517">
        <v>0</v>
      </c>
      <c r="AB69" s="517">
        <v>0</v>
      </c>
      <c r="AC69" s="310">
        <f>SUM(X69:AB69)</f>
        <v>-144969</v>
      </c>
    </row>
    <row r="70" spans="1:29">
      <c r="A70" s="86">
        <v>38</v>
      </c>
      <c r="B70" s="3"/>
      <c r="C70" s="3" t="s">
        <v>53</v>
      </c>
      <c r="D70" s="3"/>
      <c r="E70" s="220">
        <f>'ROO INPUT'!$F71</f>
        <v>-32354</v>
      </c>
      <c r="F70" s="484">
        <v>0</v>
      </c>
      <c r="G70" s="517">
        <v>0</v>
      </c>
      <c r="H70" s="484">
        <v>0</v>
      </c>
      <c r="I70" s="484">
        <v>0</v>
      </c>
      <c r="J70" s="484">
        <v>0</v>
      </c>
      <c r="K70" s="484">
        <v>0</v>
      </c>
      <c r="L70" s="517">
        <v>0</v>
      </c>
      <c r="M70" s="517">
        <v>0</v>
      </c>
      <c r="N70" s="517">
        <v>0</v>
      </c>
      <c r="O70" s="484">
        <v>0</v>
      </c>
      <c r="P70" s="517">
        <v>0</v>
      </c>
      <c r="Q70" s="484">
        <v>0</v>
      </c>
      <c r="R70" s="517">
        <v>0</v>
      </c>
      <c r="S70" s="484">
        <v>0</v>
      </c>
      <c r="T70" s="484">
        <v>0</v>
      </c>
      <c r="U70" s="517">
        <v>0</v>
      </c>
      <c r="V70" s="517">
        <v>0</v>
      </c>
      <c r="W70" s="484">
        <v>0</v>
      </c>
      <c r="X70" s="310">
        <f>SUM(E70:W70)</f>
        <v>-32354</v>
      </c>
      <c r="Y70" s="517">
        <v>0</v>
      </c>
      <c r="Z70" s="517">
        <v>0</v>
      </c>
      <c r="AA70" s="517">
        <v>0</v>
      </c>
      <c r="AB70" s="517">
        <v>0</v>
      </c>
      <c r="AC70" s="310">
        <f>SUM(X70:AB70)</f>
        <v>-32354</v>
      </c>
    </row>
    <row r="71" spans="1:29">
      <c r="A71" s="86">
        <v>39</v>
      </c>
      <c r="B71" s="3" t="s">
        <v>377</v>
      </c>
      <c r="C71" s="3"/>
      <c r="E71" s="223">
        <f>SUM(E68:E70)</f>
        <v>-188807</v>
      </c>
      <c r="F71" s="223">
        <f t="shared" ref="F71:O71" si="65">SUM(F68:F70)</f>
        <v>0</v>
      </c>
      <c r="G71" s="140">
        <f t="shared" si="65"/>
        <v>0</v>
      </c>
      <c r="H71" s="223">
        <f t="shared" si="65"/>
        <v>0</v>
      </c>
      <c r="I71" s="223">
        <f t="shared" ref="I71" si="66">SUM(I68:I70)</f>
        <v>433</v>
      </c>
      <c r="J71" s="223">
        <f t="shared" si="65"/>
        <v>0</v>
      </c>
      <c r="K71" s="223">
        <f>SUM(K68:K70)</f>
        <v>0</v>
      </c>
      <c r="L71" s="140">
        <f t="shared" si="65"/>
        <v>0</v>
      </c>
      <c r="M71" s="140">
        <f t="shared" si="65"/>
        <v>0</v>
      </c>
      <c r="N71" s="140">
        <f t="shared" si="65"/>
        <v>0</v>
      </c>
      <c r="O71" s="223">
        <f t="shared" si="65"/>
        <v>0</v>
      </c>
      <c r="P71" s="140">
        <f t="shared" ref="P71:Q71" si="67">SUM(P68:P70)</f>
        <v>0</v>
      </c>
      <c r="Q71" s="223">
        <f t="shared" si="67"/>
        <v>0</v>
      </c>
      <c r="R71" s="140">
        <f t="shared" ref="R71:U71" si="68">SUM(R68:R70)</f>
        <v>0</v>
      </c>
      <c r="S71" s="223">
        <f t="shared" si="68"/>
        <v>0</v>
      </c>
      <c r="T71" s="223">
        <f t="shared" si="68"/>
        <v>0</v>
      </c>
      <c r="U71" s="140">
        <f t="shared" si="68"/>
        <v>0</v>
      </c>
      <c r="V71" s="547">
        <f t="shared" ref="V71" si="69">SUM(V68:V70)</f>
        <v>0</v>
      </c>
      <c r="W71" s="501">
        <f>SUM(W68:W70)</f>
        <v>0</v>
      </c>
      <c r="X71" s="314">
        <f t="shared" ref="X71:Y71" si="70">SUM(X68:X70)</f>
        <v>-188374</v>
      </c>
      <c r="Y71" s="547">
        <f t="shared" si="70"/>
        <v>0</v>
      </c>
      <c r="Z71" s="547">
        <f t="shared" ref="Z71:AC71" si="71">SUM(Z68:Z70)</f>
        <v>0</v>
      </c>
      <c r="AA71" s="547">
        <f t="shared" ref="AA71" si="72">SUM(AA68:AA70)</f>
        <v>0</v>
      </c>
      <c r="AB71" s="547">
        <f t="shared" si="71"/>
        <v>0</v>
      </c>
      <c r="AC71" s="314">
        <f t="shared" si="71"/>
        <v>-188374</v>
      </c>
    </row>
    <row r="72" spans="1:29">
      <c r="A72" s="86">
        <v>40</v>
      </c>
      <c r="B72" s="3" t="s">
        <v>142</v>
      </c>
      <c r="C72" s="3"/>
      <c r="D72" s="3"/>
      <c r="E72" s="224">
        <f>E65+E71</f>
        <v>416324</v>
      </c>
      <c r="F72" s="224">
        <f t="shared" ref="F72:X72" si="73">F65+F71</f>
        <v>0</v>
      </c>
      <c r="G72" s="141">
        <f t="shared" si="73"/>
        <v>0</v>
      </c>
      <c r="H72" s="224">
        <f t="shared" si="73"/>
        <v>0</v>
      </c>
      <c r="I72" s="224">
        <f t="shared" ref="I72" si="74">I65+I71</f>
        <v>-6608</v>
      </c>
      <c r="J72" s="224">
        <f t="shared" si="73"/>
        <v>0</v>
      </c>
      <c r="K72" s="224">
        <f t="shared" si="73"/>
        <v>0</v>
      </c>
      <c r="L72" s="141">
        <f t="shared" si="73"/>
        <v>0</v>
      </c>
      <c r="M72" s="141">
        <f t="shared" si="73"/>
        <v>0</v>
      </c>
      <c r="N72" s="141">
        <f t="shared" si="73"/>
        <v>0</v>
      </c>
      <c r="O72" s="224">
        <f t="shared" si="73"/>
        <v>0</v>
      </c>
      <c r="P72" s="141">
        <f t="shared" si="73"/>
        <v>0</v>
      </c>
      <c r="Q72" s="224">
        <f t="shared" si="73"/>
        <v>0</v>
      </c>
      <c r="R72" s="141">
        <f t="shared" si="73"/>
        <v>0</v>
      </c>
      <c r="S72" s="224">
        <f t="shared" si="73"/>
        <v>0</v>
      </c>
      <c r="T72" s="224">
        <f t="shared" ref="T72" si="75">T65+T71</f>
        <v>0</v>
      </c>
      <c r="U72" s="141">
        <f>U65+U71</f>
        <v>0</v>
      </c>
      <c r="V72" s="548">
        <f>V65+V71</f>
        <v>0</v>
      </c>
      <c r="W72" s="502">
        <f>W65+W71</f>
        <v>0</v>
      </c>
      <c r="X72" s="315">
        <f t="shared" si="73"/>
        <v>409716</v>
      </c>
      <c r="Y72" s="548">
        <f>Y65+Y71</f>
        <v>0</v>
      </c>
      <c r="Z72" s="548">
        <f>Z65+Z71</f>
        <v>0</v>
      </c>
      <c r="AA72" s="548">
        <f>AA65+AA71</f>
        <v>0</v>
      </c>
      <c r="AB72" s="548">
        <f>AB65+AB71</f>
        <v>0</v>
      </c>
      <c r="AC72" s="315">
        <f t="shared" ref="AC72" si="76">AC65+AC71</f>
        <v>409716</v>
      </c>
    </row>
    <row r="73" spans="1:29" s="312" customFormat="1" ht="13.5" customHeight="1">
      <c r="A73" s="4">
        <v>41</v>
      </c>
      <c r="B73" s="5" t="s">
        <v>98</v>
      </c>
      <c r="C73" s="5"/>
      <c r="D73" s="5"/>
      <c r="E73" s="221">
        <f>'ROO INPUT'!$F74</f>
        <v>-88908</v>
      </c>
      <c r="F73" s="485">
        <v>-1247</v>
      </c>
      <c r="G73" s="518">
        <v>0</v>
      </c>
      <c r="H73" s="485">
        <v>0</v>
      </c>
      <c r="I73" s="485">
        <v>570</v>
      </c>
      <c r="J73" s="485">
        <v>0</v>
      </c>
      <c r="K73" s="485">
        <v>0</v>
      </c>
      <c r="L73" s="518">
        <v>0</v>
      </c>
      <c r="M73" s="518">
        <v>0</v>
      </c>
      <c r="N73" s="518">
        <v>0</v>
      </c>
      <c r="O73" s="485">
        <v>0</v>
      </c>
      <c r="P73" s="518">
        <v>0</v>
      </c>
      <c r="Q73" s="485">
        <v>0</v>
      </c>
      <c r="R73" s="518">
        <v>0</v>
      </c>
      <c r="S73" s="485">
        <v>0</v>
      </c>
      <c r="T73" s="485">
        <v>0</v>
      </c>
      <c r="U73" s="518">
        <v>0</v>
      </c>
      <c r="V73" s="518">
        <v>0</v>
      </c>
      <c r="W73" s="485">
        <v>0</v>
      </c>
      <c r="X73" s="311">
        <f>SUM(E73:W73)</f>
        <v>-89585</v>
      </c>
      <c r="Y73" s="518">
        <v>0</v>
      </c>
      <c r="Z73" s="518">
        <v>0</v>
      </c>
      <c r="AA73" s="518">
        <v>0</v>
      </c>
      <c r="AB73" s="518">
        <v>0</v>
      </c>
      <c r="AC73" s="311">
        <f>SUM(X73:AB73)</f>
        <v>-89585</v>
      </c>
    </row>
    <row r="74" spans="1:29" s="312" customFormat="1" ht="18.899999999999999" customHeight="1">
      <c r="A74" s="4">
        <v>42</v>
      </c>
      <c r="B74" s="5" t="s">
        <v>166</v>
      </c>
      <c r="C74" s="5"/>
      <c r="D74" s="5"/>
      <c r="E74" s="224">
        <f>E72+E73</f>
        <v>327416</v>
      </c>
      <c r="F74" s="224">
        <f>F72+F73</f>
        <v>-1247</v>
      </c>
      <c r="G74" s="141">
        <f t="shared" ref="G74:Q74" si="77">G72+G73</f>
        <v>0</v>
      </c>
      <c r="H74" s="224">
        <f t="shared" si="77"/>
        <v>0</v>
      </c>
      <c r="I74" s="224">
        <f t="shared" ref="I74" si="78">I72+I73</f>
        <v>-6038</v>
      </c>
      <c r="J74" s="224">
        <f t="shared" si="77"/>
        <v>0</v>
      </c>
      <c r="K74" s="224">
        <f>K72+K73</f>
        <v>0</v>
      </c>
      <c r="L74" s="141">
        <f t="shared" si="77"/>
        <v>0</v>
      </c>
      <c r="M74" s="141">
        <f t="shared" si="77"/>
        <v>0</v>
      </c>
      <c r="N74" s="141">
        <f t="shared" si="77"/>
        <v>0</v>
      </c>
      <c r="O74" s="224">
        <f t="shared" si="77"/>
        <v>0</v>
      </c>
      <c r="P74" s="141">
        <f t="shared" si="77"/>
        <v>0</v>
      </c>
      <c r="Q74" s="224">
        <f t="shared" si="77"/>
        <v>0</v>
      </c>
      <c r="R74" s="141">
        <f t="shared" ref="R74:X74" si="79">R72+R73</f>
        <v>0</v>
      </c>
      <c r="S74" s="224">
        <f t="shared" si="79"/>
        <v>0</v>
      </c>
      <c r="T74" s="224">
        <f t="shared" si="79"/>
        <v>0</v>
      </c>
      <c r="U74" s="141">
        <f t="shared" si="79"/>
        <v>0</v>
      </c>
      <c r="V74" s="548">
        <f>V72+V73</f>
        <v>0</v>
      </c>
      <c r="W74" s="502">
        <f>W72+W73</f>
        <v>0</v>
      </c>
      <c r="X74" s="315">
        <f t="shared" si="79"/>
        <v>320131</v>
      </c>
      <c r="Y74" s="548">
        <f>Y72+Y73</f>
        <v>0</v>
      </c>
      <c r="Z74" s="548">
        <f>Z72+Z73</f>
        <v>0</v>
      </c>
      <c r="AA74" s="548">
        <f>AA72+AA73</f>
        <v>0</v>
      </c>
      <c r="AB74" s="548">
        <f>AB72+AB73</f>
        <v>0</v>
      </c>
      <c r="AC74" s="315">
        <f t="shared" ref="AC74" si="80">AC72+AC73</f>
        <v>320131</v>
      </c>
    </row>
    <row r="75" spans="1:29">
      <c r="A75" s="86">
        <v>43</v>
      </c>
      <c r="B75" s="3" t="s">
        <v>56</v>
      </c>
      <c r="C75" s="3"/>
      <c r="D75" s="3"/>
      <c r="E75" s="220">
        <f>'ROO INPUT'!$F76</f>
        <v>8355</v>
      </c>
      <c r="F75" s="484">
        <v>0</v>
      </c>
      <c r="G75" s="517">
        <v>0</v>
      </c>
      <c r="H75" s="484">
        <v>0</v>
      </c>
      <c r="I75" s="484">
        <v>0</v>
      </c>
      <c r="J75" s="484">
        <v>0</v>
      </c>
      <c r="K75" s="484">
        <v>0</v>
      </c>
      <c r="L75" s="517">
        <v>0</v>
      </c>
      <c r="M75" s="517">
        <v>0</v>
      </c>
      <c r="N75" s="517">
        <v>0</v>
      </c>
      <c r="O75" s="484">
        <v>0</v>
      </c>
      <c r="P75" s="517">
        <v>0</v>
      </c>
      <c r="Q75" s="484">
        <v>0</v>
      </c>
      <c r="R75" s="517">
        <v>0</v>
      </c>
      <c r="S75" s="484">
        <v>0</v>
      </c>
      <c r="T75" s="484">
        <v>0</v>
      </c>
      <c r="U75" s="517">
        <v>0</v>
      </c>
      <c r="V75" s="517">
        <v>0</v>
      </c>
      <c r="W75" s="484">
        <v>0</v>
      </c>
      <c r="X75" s="310">
        <f>SUM(E75:W75)</f>
        <v>8355</v>
      </c>
      <c r="Y75" s="517">
        <v>0</v>
      </c>
      <c r="Z75" s="517">
        <v>0</v>
      </c>
      <c r="AA75" s="517">
        <v>0</v>
      </c>
      <c r="AB75" s="517">
        <v>0</v>
      </c>
      <c r="AC75" s="310">
        <f>SUM(X75:AB75)</f>
        <v>8355</v>
      </c>
    </row>
    <row r="76" spans="1:29" s="312" customFormat="1">
      <c r="A76" s="4">
        <v>44</v>
      </c>
      <c r="B76" s="5" t="s">
        <v>57</v>
      </c>
      <c r="C76" s="5"/>
      <c r="D76" s="5"/>
      <c r="E76" s="220">
        <f>'ROO INPUT'!$F77</f>
        <v>0</v>
      </c>
      <c r="F76" s="486">
        <v>0</v>
      </c>
      <c r="G76" s="519">
        <v>0</v>
      </c>
      <c r="H76" s="486">
        <v>0</v>
      </c>
      <c r="I76" s="486">
        <v>0</v>
      </c>
      <c r="J76" s="486">
        <v>0</v>
      </c>
      <c r="K76" s="486">
        <v>0</v>
      </c>
      <c r="L76" s="519">
        <v>0</v>
      </c>
      <c r="M76" s="519">
        <v>0</v>
      </c>
      <c r="N76" s="519">
        <v>0</v>
      </c>
      <c r="O76" s="486">
        <v>0</v>
      </c>
      <c r="P76" s="519">
        <v>0</v>
      </c>
      <c r="Q76" s="486">
        <v>0</v>
      </c>
      <c r="R76" s="519">
        <v>0</v>
      </c>
      <c r="S76" s="486">
        <v>0</v>
      </c>
      <c r="T76" s="486">
        <v>0</v>
      </c>
      <c r="U76" s="519">
        <v>0</v>
      </c>
      <c r="V76" s="519">
        <v>0</v>
      </c>
      <c r="W76" s="486">
        <v>0</v>
      </c>
      <c r="X76" s="315">
        <f>SUM(E76:W76)</f>
        <v>0</v>
      </c>
      <c r="Y76" s="519">
        <v>0</v>
      </c>
      <c r="Z76" s="519">
        <v>0</v>
      </c>
      <c r="AA76" s="519">
        <v>0</v>
      </c>
      <c r="AB76" s="519">
        <v>0</v>
      </c>
      <c r="AC76" s="315">
        <f>SUM(X76:AB76)</f>
        <v>0</v>
      </c>
    </row>
    <row r="77" spans="1:29" s="312" customFormat="1">
      <c r="A77" s="4">
        <v>45</v>
      </c>
      <c r="B77" s="5" t="s">
        <v>378</v>
      </c>
      <c r="C77" s="5"/>
      <c r="D77" s="5"/>
      <c r="E77" s="220">
        <f>'ROO INPUT'!$F78</f>
        <v>5338</v>
      </c>
      <c r="F77" s="486"/>
      <c r="G77" s="519">
        <v>-7</v>
      </c>
      <c r="H77" s="486"/>
      <c r="I77" s="486"/>
      <c r="J77" s="486"/>
      <c r="K77" s="486"/>
      <c r="L77" s="519"/>
      <c r="M77" s="519"/>
      <c r="N77" s="519"/>
      <c r="O77" s="486"/>
      <c r="P77" s="519"/>
      <c r="Q77" s="486"/>
      <c r="R77" s="519"/>
      <c r="S77" s="486"/>
      <c r="T77" s="486"/>
      <c r="U77" s="519"/>
      <c r="V77" s="519"/>
      <c r="W77" s="486"/>
      <c r="X77" s="315">
        <f>SUM(E77:W77)</f>
        <v>5331</v>
      </c>
      <c r="Y77" s="519"/>
      <c r="Z77" s="519"/>
      <c r="AA77" s="519"/>
      <c r="AB77" s="519"/>
      <c r="AC77" s="315">
        <f>SUM(X77:AB77)</f>
        <v>5331</v>
      </c>
    </row>
    <row r="78" spans="1:29">
      <c r="A78" s="86">
        <v>46</v>
      </c>
      <c r="B78" s="3" t="s">
        <v>143</v>
      </c>
      <c r="C78" s="3"/>
      <c r="D78" s="3"/>
      <c r="E78" s="221">
        <f>'ROO INPUT'!$F79</f>
        <v>7549</v>
      </c>
      <c r="F78" s="485">
        <v>0</v>
      </c>
      <c r="G78" s="518">
        <v>0</v>
      </c>
      <c r="H78" s="485">
        <v>0</v>
      </c>
      <c r="I78" s="485">
        <v>0</v>
      </c>
      <c r="J78" s="485">
        <v>0</v>
      </c>
      <c r="K78" s="485">
        <v>0</v>
      </c>
      <c r="L78" s="518">
        <v>0</v>
      </c>
      <c r="M78" s="518">
        <v>0</v>
      </c>
      <c r="N78" s="518">
        <v>0</v>
      </c>
      <c r="O78" s="485">
        <v>0</v>
      </c>
      <c r="P78" s="518">
        <v>0</v>
      </c>
      <c r="Q78" s="485">
        <v>0</v>
      </c>
      <c r="R78" s="518">
        <v>0</v>
      </c>
      <c r="S78" s="485">
        <v>0</v>
      </c>
      <c r="T78" s="485">
        <v>0</v>
      </c>
      <c r="U78" s="518">
        <v>0</v>
      </c>
      <c r="V78" s="518">
        <v>0</v>
      </c>
      <c r="W78" s="485">
        <v>0</v>
      </c>
      <c r="X78" s="311">
        <f>SUM(E78:W78)</f>
        <v>7549</v>
      </c>
      <c r="Y78" s="518">
        <v>0</v>
      </c>
      <c r="Z78" s="518">
        <v>0</v>
      </c>
      <c r="AA78" s="518">
        <v>0</v>
      </c>
      <c r="AB78" s="518">
        <v>0</v>
      </c>
      <c r="AC78" s="311">
        <f>SUM(X78:AB78)</f>
        <v>7549</v>
      </c>
    </row>
    <row r="79" spans="1:29" ht="7.5" customHeight="1">
      <c r="Y79" s="526"/>
      <c r="Z79" s="526"/>
      <c r="AA79" s="526"/>
      <c r="AB79" s="526"/>
      <c r="AC79" s="284"/>
    </row>
    <row r="80" spans="1:29" ht="6.75" customHeight="1">
      <c r="E80" s="220"/>
      <c r="F80" s="220"/>
      <c r="G80" s="137"/>
      <c r="H80" s="220"/>
      <c r="I80" s="220"/>
      <c r="J80" s="220"/>
      <c r="K80" s="220"/>
      <c r="L80" s="137"/>
      <c r="M80" s="137"/>
      <c r="N80" s="137"/>
      <c r="O80" s="220"/>
      <c r="P80" s="137"/>
      <c r="Q80" s="220"/>
      <c r="R80" s="137"/>
      <c r="S80" s="220"/>
      <c r="T80" s="220"/>
      <c r="U80" s="137"/>
      <c r="V80" s="139"/>
      <c r="W80" s="264"/>
      <c r="X80" s="310"/>
      <c r="Y80" s="139"/>
      <c r="Z80" s="139"/>
      <c r="AA80" s="139"/>
      <c r="AB80" s="139"/>
      <c r="AC80" s="310"/>
    </row>
    <row r="81" spans="1:29" s="316" customFormat="1" thickBot="1">
      <c r="A81" s="291">
        <v>47</v>
      </c>
      <c r="B81" s="316" t="s">
        <v>58</v>
      </c>
      <c r="E81" s="313">
        <f>E74+E75+E76+E78+E77</f>
        <v>348658</v>
      </c>
      <c r="F81" s="313">
        <f t="shared" ref="F81:X81" si="81">F74+F75+F76+F78+F77</f>
        <v>-1247</v>
      </c>
      <c r="G81" s="257">
        <f>G74+G75+G76+G78+G77</f>
        <v>-7</v>
      </c>
      <c r="H81" s="313">
        <f t="shared" si="81"/>
        <v>0</v>
      </c>
      <c r="I81" s="313">
        <f t="shared" ref="I81" si="82">I74+I75+I76+I78+I77</f>
        <v>-6038</v>
      </c>
      <c r="J81" s="313">
        <f t="shared" si="81"/>
        <v>0</v>
      </c>
      <c r="K81" s="313">
        <f>K74+K75+K76+K78+K77</f>
        <v>0</v>
      </c>
      <c r="L81" s="257">
        <f t="shared" si="81"/>
        <v>0</v>
      </c>
      <c r="M81" s="257">
        <f t="shared" si="81"/>
        <v>0</v>
      </c>
      <c r="N81" s="257">
        <f t="shared" si="81"/>
        <v>0</v>
      </c>
      <c r="O81" s="313">
        <f t="shared" si="81"/>
        <v>0</v>
      </c>
      <c r="P81" s="257">
        <f t="shared" si="81"/>
        <v>0</v>
      </c>
      <c r="Q81" s="313">
        <f t="shared" si="81"/>
        <v>0</v>
      </c>
      <c r="R81" s="257">
        <f t="shared" ref="R81:U81" si="83">R74+R75+R76+R78+R77</f>
        <v>0</v>
      </c>
      <c r="S81" s="313">
        <f t="shared" si="83"/>
        <v>0</v>
      </c>
      <c r="T81" s="313">
        <f t="shared" si="83"/>
        <v>0</v>
      </c>
      <c r="U81" s="257">
        <f t="shared" si="83"/>
        <v>0</v>
      </c>
      <c r="V81" s="549">
        <f>V74+V75+V76+V78+V77</f>
        <v>0</v>
      </c>
      <c r="W81" s="503">
        <f>W74+W75+W76+W78+W77</f>
        <v>0</v>
      </c>
      <c r="X81" s="313">
        <f t="shared" si="81"/>
        <v>341366</v>
      </c>
      <c r="Y81" s="549">
        <f>Y74+Y75+Y76+Y78+Y77</f>
        <v>0</v>
      </c>
      <c r="Z81" s="549">
        <f>Z74+Z75+Z76+Z78+Z77</f>
        <v>0</v>
      </c>
      <c r="AA81" s="549">
        <f>AA74+AA75+AA76+AA78+AA77</f>
        <v>0</v>
      </c>
      <c r="AB81" s="549">
        <f>AB74+AB75+AB76+AB78+AB77</f>
        <v>0</v>
      </c>
      <c r="AC81" s="313">
        <f t="shared" ref="AC81" si="84">AC74+AC75+AC76+AC78+AC77</f>
        <v>341366</v>
      </c>
    </row>
    <row r="82" spans="1:29" ht="12.6" thickTop="1">
      <c r="A82" s="86">
        <v>48</v>
      </c>
      <c r="B82" s="1" t="s">
        <v>403</v>
      </c>
      <c r="E82" s="6">
        <f>ROUND(E58/E81,4)</f>
        <v>7.0599999999999996E-2</v>
      </c>
      <c r="F82" s="220"/>
      <c r="G82" s="137"/>
      <c r="H82" s="220"/>
      <c r="I82" s="220"/>
      <c r="J82" s="220"/>
      <c r="K82" s="220"/>
      <c r="L82" s="137"/>
      <c r="M82" s="137"/>
      <c r="N82" s="137"/>
      <c r="O82" s="220"/>
      <c r="P82" s="137"/>
      <c r="Q82" s="220"/>
      <c r="R82" s="137"/>
      <c r="S82" s="220"/>
      <c r="T82" s="220"/>
      <c r="U82" s="137"/>
      <c r="V82" s="543"/>
      <c r="W82" s="264"/>
      <c r="X82" s="325"/>
      <c r="Y82" s="543"/>
      <c r="Z82" s="543"/>
      <c r="AA82" s="543"/>
      <c r="AB82" s="543"/>
      <c r="AC82" s="325"/>
    </row>
    <row r="83" spans="1:29">
      <c r="A83" s="86">
        <v>50</v>
      </c>
      <c r="B83" s="1" t="s">
        <v>140</v>
      </c>
      <c r="E83" s="51">
        <f>E89</f>
        <v>1248.3233084100791</v>
      </c>
      <c r="F83" s="51">
        <f t="shared" ref="F83:X83" si="85">F89</f>
        <v>-111.2331834229882</v>
      </c>
      <c r="G83" s="95">
        <f t="shared" si="85"/>
        <v>9.837536649901077</v>
      </c>
      <c r="H83" s="51">
        <f t="shared" si="85"/>
        <v>0</v>
      </c>
      <c r="I83" s="51">
        <f t="shared" ref="I83" si="86">I89</f>
        <v>-538.59339335044342</v>
      </c>
      <c r="J83" s="51">
        <f t="shared" si="85"/>
        <v>14.646717466674085</v>
      </c>
      <c r="K83" s="51">
        <f t="shared" ref="K83" si="87">K89</f>
        <v>2.0923882095248691</v>
      </c>
      <c r="L83" s="95">
        <f t="shared" si="85"/>
        <v>-334.78211352397909</v>
      </c>
      <c r="M83" s="95">
        <f t="shared" si="85"/>
        <v>-52.30970523812173</v>
      </c>
      <c r="N83" s="95">
        <f t="shared" si="85"/>
        <v>56.494481657171463</v>
      </c>
      <c r="O83" s="51">
        <f t="shared" si="85"/>
        <v>0</v>
      </c>
      <c r="P83" s="95">
        <f t="shared" si="85"/>
        <v>-17.785299780961388</v>
      </c>
      <c r="Q83" s="51">
        <f t="shared" si="85"/>
        <v>0</v>
      </c>
      <c r="R83" s="95">
        <f t="shared" ref="R83:U83" si="88">R89</f>
        <v>-13.600523361911648</v>
      </c>
      <c r="S83" s="51">
        <f t="shared" si="88"/>
        <v>-6.2771646285746074</v>
      </c>
      <c r="T83" s="51">
        <f t="shared" si="88"/>
        <v>0.11918667016285116</v>
      </c>
      <c r="U83" s="95">
        <f t="shared" si="88"/>
        <v>-516.81988775264267</v>
      </c>
      <c r="V83" s="90">
        <f>V89</f>
        <v>-75.325975542895293</v>
      </c>
      <c r="W83" s="487">
        <f>W89</f>
        <v>78.133483773397003</v>
      </c>
      <c r="X83" s="51">
        <f t="shared" si="85"/>
        <v>-257.08014376560794</v>
      </c>
      <c r="Y83" s="90">
        <f>Y89</f>
        <v>6.2771646285746074</v>
      </c>
      <c r="Z83" s="90">
        <f>Z89</f>
        <v>-725.01251460036713</v>
      </c>
      <c r="AA83" s="90">
        <f>AA89</f>
        <v>0</v>
      </c>
      <c r="AB83" s="90">
        <f>AB89</f>
        <v>2.0923882095248691</v>
      </c>
      <c r="AC83" s="51">
        <f t="shared" ref="AC83" si="89">AC89</f>
        <v>-973.72310552787758</v>
      </c>
    </row>
    <row r="84" spans="1:29" s="318" customFormat="1">
      <c r="A84" s="254"/>
      <c r="E84" s="264"/>
      <c r="F84" s="264"/>
      <c r="G84" s="139"/>
      <c r="H84" s="264"/>
      <c r="I84" s="264"/>
      <c r="J84" s="264"/>
      <c r="K84" s="264"/>
      <c r="L84" s="139"/>
      <c r="M84" s="139"/>
      <c r="N84" s="139"/>
      <c r="O84" s="264"/>
      <c r="P84" s="139"/>
      <c r="Q84" s="264"/>
      <c r="R84" s="139"/>
      <c r="S84" s="264"/>
      <c r="T84" s="264"/>
      <c r="U84" s="139"/>
      <c r="V84" s="553"/>
      <c r="W84" s="553"/>
      <c r="X84" s="553"/>
      <c r="Y84" s="553"/>
      <c r="Z84" s="553"/>
      <c r="AA84" s="553"/>
      <c r="AB84" s="553"/>
      <c r="AC84" s="553"/>
    </row>
    <row r="85" spans="1:29" s="318" customFormat="1" ht="21.6" customHeight="1">
      <c r="A85" s="254"/>
      <c r="E85" s="462"/>
      <c r="F85" s="264"/>
      <c r="G85" s="139"/>
      <c r="H85" s="264"/>
      <c r="I85" s="264"/>
      <c r="J85" s="264"/>
      <c r="K85" s="264"/>
      <c r="L85" s="139"/>
      <c r="M85" s="139"/>
      <c r="N85" s="139"/>
      <c r="O85" s="264"/>
      <c r="P85" s="139"/>
      <c r="Q85" s="264"/>
      <c r="R85" s="139"/>
      <c r="S85" s="264"/>
      <c r="T85" s="264"/>
      <c r="U85" s="139"/>
      <c r="V85" s="543"/>
      <c r="W85" s="264"/>
      <c r="X85" s="320"/>
      <c r="Y85" s="543"/>
      <c r="Z85" s="543"/>
      <c r="AA85" s="543"/>
      <c r="AB85" s="543"/>
      <c r="AC85" s="320"/>
    </row>
    <row r="86" spans="1:29" s="318" customFormat="1" ht="16.5" customHeight="1">
      <c r="A86" s="317"/>
      <c r="D86" s="319" t="s">
        <v>383</v>
      </c>
      <c r="E86" s="340">
        <f>'RR SUMMARY'!N15</f>
        <v>7.3300000000000004E-2</v>
      </c>
      <c r="F86" s="264"/>
      <c r="G86" s="139"/>
      <c r="H86" s="264"/>
      <c r="I86" s="264"/>
      <c r="J86" s="264"/>
      <c r="K86" s="264"/>
      <c r="L86" s="139"/>
      <c r="M86" s="139"/>
      <c r="N86" s="139"/>
      <c r="O86" s="264"/>
      <c r="P86" s="139"/>
      <c r="Q86" s="264"/>
      <c r="R86" s="139"/>
      <c r="S86" s="264"/>
      <c r="T86" s="264"/>
      <c r="U86" s="139"/>
      <c r="V86" s="543"/>
      <c r="W86" s="264"/>
      <c r="X86" s="320"/>
      <c r="Y86" s="543"/>
      <c r="Z86" s="543"/>
      <c r="AA86" s="543"/>
      <c r="AB86" s="543"/>
      <c r="AC86" s="320"/>
    </row>
    <row r="87" spans="1:29" s="318" customFormat="1" ht="17.25" customHeight="1">
      <c r="A87" s="254"/>
      <c r="D87" s="319" t="s">
        <v>428</v>
      </c>
      <c r="E87" s="367">
        <f>CF!E27</f>
        <v>0.75511799999999996</v>
      </c>
      <c r="F87" s="264"/>
      <c r="G87" s="139"/>
      <c r="H87" s="264"/>
      <c r="I87" s="264"/>
      <c r="J87" s="264"/>
      <c r="K87" s="264"/>
      <c r="L87" s="139"/>
      <c r="M87" s="139"/>
      <c r="N87" s="139"/>
      <c r="O87" s="264"/>
      <c r="P87" s="139"/>
      <c r="Q87" s="264"/>
      <c r="R87" s="139"/>
      <c r="S87" s="264"/>
      <c r="T87" s="264"/>
      <c r="U87" s="139"/>
      <c r="V87" s="543"/>
      <c r="W87" s="264"/>
      <c r="X87" s="320"/>
      <c r="Y87" s="543"/>
      <c r="Z87" s="543"/>
      <c r="AA87" s="543"/>
      <c r="AB87" s="543"/>
      <c r="AC87" s="320"/>
    </row>
    <row r="88" spans="1:29" s="318" customFormat="1" ht="29.25" customHeight="1">
      <c r="A88" s="254"/>
      <c r="D88" s="319" t="s">
        <v>138</v>
      </c>
      <c r="E88" s="144">
        <f t="shared" ref="E88:X88" si="90">E81*$E$86-E58</f>
        <v>942.63140000000203</v>
      </c>
      <c r="F88" s="144">
        <f t="shared" si="90"/>
        <v>-83.994179000000003</v>
      </c>
      <c r="G88" s="142">
        <f t="shared" si="90"/>
        <v>7.4285010000000007</v>
      </c>
      <c r="H88" s="144">
        <f t="shared" si="90"/>
        <v>0</v>
      </c>
      <c r="I88" s="144">
        <f t="shared" si="90"/>
        <v>-406.70156600000007</v>
      </c>
      <c r="J88" s="144">
        <f t="shared" si="90"/>
        <v>11.06</v>
      </c>
      <c r="K88" s="144">
        <f t="shared" si="90"/>
        <v>1.58</v>
      </c>
      <c r="L88" s="142">
        <f t="shared" si="90"/>
        <v>-252.8</v>
      </c>
      <c r="M88" s="142">
        <f t="shared" si="90"/>
        <v>-39.5</v>
      </c>
      <c r="N88" s="142">
        <f t="shared" si="90"/>
        <v>42.66</v>
      </c>
      <c r="O88" s="144">
        <f t="shared" si="90"/>
        <v>0</v>
      </c>
      <c r="P88" s="142">
        <f t="shared" si="90"/>
        <v>-13.43</v>
      </c>
      <c r="Q88" s="144">
        <f t="shared" si="90"/>
        <v>0</v>
      </c>
      <c r="R88" s="142">
        <f t="shared" si="90"/>
        <v>-10.27</v>
      </c>
      <c r="S88" s="144">
        <f t="shared" si="90"/>
        <v>-4.74</v>
      </c>
      <c r="T88" s="144">
        <f t="shared" si="90"/>
        <v>9.0000000000031832E-2</v>
      </c>
      <c r="U88" s="142">
        <f t="shared" si="90"/>
        <v>-390.26</v>
      </c>
      <c r="V88" s="142">
        <f t="shared" si="90"/>
        <v>-56.88</v>
      </c>
      <c r="W88" s="144">
        <f t="shared" si="90"/>
        <v>59</v>
      </c>
      <c r="X88" s="144">
        <f t="shared" si="90"/>
        <v>-194.12584399999832</v>
      </c>
      <c r="Y88" s="142">
        <f t="shared" ref="Y88:AA88" si="91">Y81*$E$86-Y58</f>
        <v>4.74</v>
      </c>
      <c r="Z88" s="142">
        <f t="shared" si="91"/>
        <v>-547.47</v>
      </c>
      <c r="AA88" s="142">
        <f t="shared" si="91"/>
        <v>0</v>
      </c>
      <c r="AB88" s="142">
        <f t="shared" ref="AB88:AC88" si="92">AB81*$E$86-AB58</f>
        <v>1.58</v>
      </c>
      <c r="AC88" s="144">
        <f t="shared" si="92"/>
        <v>-735.27584399999978</v>
      </c>
    </row>
    <row r="89" spans="1:29" s="318" customFormat="1">
      <c r="A89" s="254"/>
      <c r="D89" s="319" t="s">
        <v>429</v>
      </c>
      <c r="E89" s="144">
        <f>E88/$E$87</f>
        <v>1248.3233084100791</v>
      </c>
      <c r="F89" s="144">
        <f>F88/$E$87</f>
        <v>-111.2331834229882</v>
      </c>
      <c r="G89" s="142">
        <f>G88/$E$87</f>
        <v>9.837536649901077</v>
      </c>
      <c r="H89" s="144">
        <f>H88/$E$87</f>
        <v>0</v>
      </c>
      <c r="I89" s="144">
        <f>I88/$E$87</f>
        <v>-538.59339335044342</v>
      </c>
      <c r="J89" s="144">
        <f t="shared" ref="J89:Q89" si="93">J88/$E$87</f>
        <v>14.646717466674085</v>
      </c>
      <c r="K89" s="144">
        <f>K88/$E$87</f>
        <v>2.0923882095248691</v>
      </c>
      <c r="L89" s="142">
        <f t="shared" si="93"/>
        <v>-334.78211352397909</v>
      </c>
      <c r="M89" s="142">
        <f t="shared" si="93"/>
        <v>-52.30970523812173</v>
      </c>
      <c r="N89" s="142">
        <f t="shared" si="93"/>
        <v>56.494481657171463</v>
      </c>
      <c r="O89" s="144">
        <f t="shared" si="93"/>
        <v>0</v>
      </c>
      <c r="P89" s="142">
        <f t="shared" si="93"/>
        <v>-17.785299780961388</v>
      </c>
      <c r="Q89" s="144">
        <f t="shared" si="93"/>
        <v>0</v>
      </c>
      <c r="R89" s="142">
        <f t="shared" ref="R89:S89" si="94">R88/$E$87</f>
        <v>-13.600523361911648</v>
      </c>
      <c r="S89" s="144">
        <f t="shared" si="94"/>
        <v>-6.2771646285746074</v>
      </c>
      <c r="T89" s="144">
        <f t="shared" ref="T89" si="95">T88/$E$87</f>
        <v>0.11918667016285116</v>
      </c>
      <c r="U89" s="142">
        <f>U88/$E$87</f>
        <v>-516.81988775264267</v>
      </c>
      <c r="V89" s="142">
        <f>V88/$E$87</f>
        <v>-75.325975542895293</v>
      </c>
      <c r="W89" s="144">
        <f>W88/$E$87</f>
        <v>78.133483773397003</v>
      </c>
      <c r="X89" s="144">
        <f t="shared" ref="X89" si="96">X88/$E$87</f>
        <v>-257.08014376560794</v>
      </c>
      <c r="Y89" s="142">
        <f>Y88/$E$87</f>
        <v>6.2771646285746074</v>
      </c>
      <c r="Z89" s="142">
        <f>Z88/$E$87</f>
        <v>-725.01251460036713</v>
      </c>
      <c r="AA89" s="142">
        <f>AA88/$E$87</f>
        <v>0</v>
      </c>
      <c r="AB89" s="142">
        <f>AB88/$E$87</f>
        <v>2.0923882095248691</v>
      </c>
      <c r="AC89" s="144">
        <f t="shared" ref="AC89" si="97">AC88/$E$87</f>
        <v>-973.72310552787758</v>
      </c>
    </row>
    <row r="90" spans="1:29" s="318" customFormat="1">
      <c r="A90" s="254"/>
      <c r="E90" s="337"/>
      <c r="F90" s="337"/>
      <c r="G90" s="91"/>
      <c r="H90" s="337"/>
      <c r="I90" s="337"/>
      <c r="J90" s="337"/>
      <c r="K90" s="337"/>
      <c r="L90" s="91"/>
      <c r="M90" s="91"/>
      <c r="N90" s="91"/>
      <c r="O90" s="337"/>
      <c r="P90" s="91"/>
      <c r="Q90" s="337"/>
      <c r="R90" s="91"/>
      <c r="S90" s="337"/>
      <c r="T90" s="337"/>
      <c r="U90" s="91"/>
      <c r="V90" s="91"/>
      <c r="W90" s="337"/>
      <c r="X90" s="321"/>
      <c r="Y90" s="321"/>
    </row>
    <row r="91" spans="1:29" s="318" customFormat="1">
      <c r="A91" s="254"/>
      <c r="D91" s="319"/>
      <c r="E91" s="337"/>
      <c r="F91" s="337"/>
      <c r="G91" s="91"/>
      <c r="H91" s="337"/>
      <c r="I91" s="337"/>
      <c r="J91" s="337"/>
      <c r="K91" s="337"/>
      <c r="L91" s="91"/>
      <c r="M91" s="91"/>
      <c r="N91" s="91"/>
      <c r="O91" s="337"/>
      <c r="P91" s="91"/>
      <c r="Q91" s="337"/>
      <c r="R91" s="91"/>
      <c r="S91" s="337"/>
      <c r="T91" s="337"/>
      <c r="U91" s="91"/>
      <c r="V91" s="91"/>
      <c r="W91" s="337"/>
      <c r="X91" s="321"/>
      <c r="Y91" s="321"/>
    </row>
    <row r="92" spans="1:29" s="365" customFormat="1">
      <c r="A92" s="363"/>
      <c r="D92" s="362"/>
      <c r="E92" s="361"/>
      <c r="F92" s="361"/>
      <c r="G92" s="520"/>
      <c r="H92" s="361"/>
      <c r="I92" s="361"/>
      <c r="J92" s="361"/>
      <c r="K92" s="361"/>
      <c r="L92" s="520"/>
      <c r="M92" s="520"/>
      <c r="N92" s="520"/>
      <c r="O92" s="361"/>
      <c r="P92" s="520"/>
      <c r="Q92" s="361"/>
      <c r="R92" s="520"/>
      <c r="S92" s="361"/>
      <c r="T92" s="361"/>
      <c r="U92" s="520"/>
      <c r="V92" s="520"/>
      <c r="W92" s="361"/>
      <c r="X92" s="326"/>
      <c r="Y92" s="326"/>
    </row>
    <row r="93" spans="1:29" s="365" customFormat="1">
      <c r="A93" s="363"/>
      <c r="D93" s="366"/>
      <c r="E93" s="361"/>
      <c r="F93" s="361"/>
      <c r="G93" s="520"/>
      <c r="H93" s="361"/>
      <c r="I93" s="361"/>
      <c r="J93" s="361"/>
      <c r="K93" s="361"/>
      <c r="L93" s="520"/>
      <c r="M93" s="520"/>
      <c r="N93" s="520"/>
      <c r="O93" s="361"/>
      <c r="P93" s="520"/>
      <c r="Q93" s="361"/>
      <c r="R93" s="520"/>
      <c r="S93" s="361"/>
      <c r="T93" s="361"/>
      <c r="U93" s="520"/>
      <c r="V93" s="520"/>
      <c r="W93" s="361"/>
      <c r="X93" s="326"/>
      <c r="Y93" s="326"/>
    </row>
    <row r="94" spans="1:29" s="365" customFormat="1">
      <c r="A94" s="363"/>
      <c r="E94" s="308"/>
      <c r="F94" s="308"/>
      <c r="G94" s="521"/>
      <c r="H94" s="308"/>
      <c r="I94" s="308"/>
      <c r="J94" s="308"/>
      <c r="K94" s="308"/>
      <c r="L94" s="521"/>
      <c r="M94" s="521"/>
      <c r="N94" s="521"/>
      <c r="O94" s="308"/>
      <c r="P94" s="521"/>
      <c r="Q94" s="308"/>
      <c r="R94" s="521"/>
      <c r="S94" s="308"/>
      <c r="T94" s="308"/>
      <c r="U94" s="521"/>
      <c r="V94" s="550"/>
      <c r="W94" s="308"/>
      <c r="X94" s="326"/>
      <c r="Y94" s="326"/>
    </row>
    <row r="95" spans="1:29" s="365" customFormat="1">
      <c r="A95" s="363"/>
      <c r="E95" s="308"/>
      <c r="F95" s="308"/>
      <c r="G95" s="521"/>
      <c r="H95" s="308"/>
      <c r="I95" s="308"/>
      <c r="J95" s="308"/>
      <c r="K95" s="308"/>
      <c r="L95" s="521"/>
      <c r="M95" s="521"/>
      <c r="N95" s="521"/>
      <c r="O95" s="308"/>
      <c r="P95" s="521"/>
      <c r="Q95" s="308"/>
      <c r="R95" s="521"/>
      <c r="S95" s="308"/>
      <c r="T95" s="308"/>
      <c r="U95" s="521"/>
      <c r="V95" s="550"/>
      <c r="W95" s="308"/>
      <c r="X95" s="326"/>
      <c r="Y95" s="326"/>
    </row>
    <row r="96" spans="1:29" s="312" customFormat="1">
      <c r="A96" s="4"/>
      <c r="E96" s="360"/>
      <c r="F96" s="360"/>
      <c r="G96" s="522"/>
      <c r="H96" s="360"/>
      <c r="I96" s="360"/>
      <c r="J96" s="360"/>
      <c r="K96" s="360"/>
      <c r="L96" s="522"/>
      <c r="M96" s="522"/>
      <c r="N96" s="522"/>
      <c r="O96" s="360"/>
      <c r="P96" s="522"/>
      <c r="Q96" s="360"/>
      <c r="R96" s="522"/>
      <c r="S96" s="360"/>
      <c r="T96" s="360"/>
      <c r="U96" s="522"/>
      <c r="V96" s="550"/>
      <c r="W96" s="308"/>
      <c r="X96" s="364"/>
      <c r="Y96" s="364"/>
    </row>
    <row r="97" spans="1:25" s="312" customFormat="1">
      <c r="A97" s="4"/>
      <c r="E97" s="360"/>
      <c r="F97" s="360"/>
      <c r="G97" s="522"/>
      <c r="H97" s="360"/>
      <c r="I97" s="360"/>
      <c r="J97" s="360"/>
      <c r="K97" s="360"/>
      <c r="L97" s="522"/>
      <c r="M97" s="522"/>
      <c r="N97" s="522"/>
      <c r="O97" s="360"/>
      <c r="P97" s="522"/>
      <c r="Q97" s="360"/>
      <c r="R97" s="522"/>
      <c r="S97" s="360"/>
      <c r="T97" s="360"/>
      <c r="U97" s="522"/>
      <c r="V97" s="550"/>
      <c r="W97" s="308"/>
      <c r="X97" s="364"/>
      <c r="Y97" s="364"/>
    </row>
    <row r="98" spans="1:25" s="312" customFormat="1">
      <c r="A98" s="4"/>
      <c r="E98" s="360"/>
      <c r="F98" s="360"/>
      <c r="G98" s="522"/>
      <c r="H98" s="360"/>
      <c r="I98" s="360"/>
      <c r="J98" s="360"/>
      <c r="K98" s="360"/>
      <c r="L98" s="522"/>
      <c r="M98" s="522"/>
      <c r="N98" s="522"/>
      <c r="O98" s="360"/>
      <c r="P98" s="522"/>
      <c r="Q98" s="360"/>
      <c r="R98" s="522"/>
      <c r="S98" s="360"/>
      <c r="T98" s="360"/>
      <c r="U98" s="522"/>
      <c r="V98" s="550"/>
      <c r="W98" s="308"/>
      <c r="X98" s="364"/>
      <c r="Y98" s="364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97" bottom="0.84" header="0.5" footer="0.5"/>
  <pageSetup scale="70" firstPageNumber="4" fitToWidth="5" orientation="portrait" r:id="rId3"/>
  <headerFooter scaleWithDoc="0" alignWithMargins="0">
    <oddHeader>&amp;R12.2018 CBR</oddHeader>
    <oddFooter>&amp;RPage &amp;P of &amp;N</oddFooter>
  </headerFooter>
  <colBreaks count="2" manualBreakCount="2">
    <brk id="13" min="1" max="81" man="1"/>
    <brk id="21" min="1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J65"/>
  <sheetViews>
    <sheetView view="pageBreakPreview" topLeftCell="I1" zoomScaleNormal="100" zoomScaleSheetLayoutView="100" workbookViewId="0">
      <selection activeCell="Q22" sqref="Q22"/>
    </sheetView>
  </sheetViews>
  <sheetFormatPr defaultColWidth="9.109375" defaultRowHeight="15.6"/>
  <cols>
    <col min="1" max="1" width="7.33203125" style="383" hidden="1" customWidth="1"/>
    <col min="2" max="2" width="1.44140625" style="383" hidden="1" customWidth="1"/>
    <col min="3" max="3" width="49.44140625" style="383" hidden="1" customWidth="1"/>
    <col min="4" max="4" width="1.109375" style="383" hidden="1" customWidth="1"/>
    <col min="5" max="5" width="0.5546875" style="383" hidden="1" customWidth="1"/>
    <col min="6" max="6" width="20.5546875" style="383" hidden="1" customWidth="1"/>
    <col min="7" max="7" width="8.33203125" style="383" hidden="1" customWidth="1"/>
    <col min="8" max="8" width="14.5546875" style="383" hidden="1" customWidth="1"/>
    <col min="9" max="9" width="4.88671875" style="383" customWidth="1"/>
    <col min="10" max="10" width="6.88671875" style="383" customWidth="1"/>
    <col min="11" max="11" width="14.109375" style="383" customWidth="1"/>
    <col min="12" max="12" width="12.88671875" style="383" customWidth="1"/>
    <col min="13" max="13" width="15.109375" style="439" customWidth="1"/>
    <col min="14" max="14" width="14.109375" style="383" customWidth="1"/>
    <col min="15" max="15" width="5.5546875" style="383" customWidth="1"/>
    <col min="16" max="16" width="12.5546875" style="383" customWidth="1"/>
    <col min="17" max="17" width="14" style="383" customWidth="1"/>
    <col min="18" max="18" width="9.33203125" style="384" customWidth="1"/>
    <col min="19" max="16384" width="9.109375" style="384"/>
  </cols>
  <sheetData>
    <row r="1" spans="1:36">
      <c r="A1" s="564" t="s">
        <v>100</v>
      </c>
      <c r="B1" s="564"/>
      <c r="C1" s="564"/>
      <c r="D1" s="564"/>
      <c r="E1" s="564"/>
      <c r="F1" s="564"/>
      <c r="G1" s="381"/>
      <c r="H1" s="381"/>
      <c r="I1" s="381"/>
      <c r="J1" s="565" t="s">
        <v>100</v>
      </c>
      <c r="K1" s="566"/>
      <c r="L1" s="566"/>
      <c r="M1" s="566"/>
      <c r="N1" s="567"/>
      <c r="O1" s="510"/>
      <c r="P1" s="385"/>
      <c r="Q1" s="381"/>
      <c r="R1" s="383"/>
    </row>
    <row r="2" spans="1:36">
      <c r="A2" s="564" t="s">
        <v>437</v>
      </c>
      <c r="B2" s="564"/>
      <c r="C2" s="564"/>
      <c r="D2" s="564"/>
      <c r="E2" s="564"/>
      <c r="F2" s="564"/>
      <c r="G2" s="381"/>
      <c r="H2" s="381"/>
      <c r="I2" s="381"/>
      <c r="J2" s="568" t="s">
        <v>465</v>
      </c>
      <c r="K2" s="569"/>
      <c r="L2" s="569"/>
      <c r="M2" s="569"/>
      <c r="N2" s="570"/>
      <c r="O2" s="510"/>
      <c r="P2" s="386"/>
      <c r="Q2" s="385"/>
      <c r="R2" s="383"/>
    </row>
    <row r="3" spans="1:36">
      <c r="A3" s="564" t="s">
        <v>396</v>
      </c>
      <c r="B3" s="564"/>
      <c r="C3" s="564"/>
      <c r="D3" s="564"/>
      <c r="E3" s="564"/>
      <c r="F3" s="564"/>
      <c r="G3" s="386"/>
      <c r="H3" s="386"/>
      <c r="I3" s="386"/>
      <c r="J3" s="568" t="s">
        <v>396</v>
      </c>
      <c r="K3" s="569"/>
      <c r="L3" s="569"/>
      <c r="M3" s="569"/>
      <c r="N3" s="570"/>
      <c r="O3" s="510"/>
      <c r="P3" s="386"/>
      <c r="Q3" s="381"/>
      <c r="R3" s="383"/>
    </row>
    <row r="4" spans="1:36">
      <c r="A4" s="580" t="e">
        <f>#REF!</f>
        <v>#REF!</v>
      </c>
      <c r="B4" s="580"/>
      <c r="C4" s="580"/>
      <c r="D4" s="580"/>
      <c r="E4" s="580"/>
      <c r="F4" s="580"/>
      <c r="G4" s="387"/>
      <c r="H4" s="387"/>
      <c r="I4" s="387"/>
      <c r="J4" s="573" t="s">
        <v>466</v>
      </c>
      <c r="K4" s="574"/>
      <c r="L4" s="574"/>
      <c r="M4" s="574"/>
      <c r="N4" s="575"/>
      <c r="O4" s="510"/>
      <c r="P4" s="392"/>
      <c r="Q4" s="472"/>
    </row>
    <row r="5" spans="1:36" ht="16.2" thickBot="1">
      <c r="A5" s="385"/>
      <c r="B5" s="385"/>
      <c r="C5" s="385"/>
      <c r="D5" s="385"/>
      <c r="E5" s="385"/>
      <c r="F5" s="388" t="s">
        <v>433</v>
      </c>
      <c r="G5" s="388"/>
      <c r="H5" s="388"/>
      <c r="I5" s="388"/>
      <c r="J5" s="415"/>
      <c r="K5" s="73"/>
      <c r="L5" s="73"/>
      <c r="M5" s="73"/>
      <c r="N5" s="341"/>
      <c r="O5" s="510"/>
      <c r="P5" s="392"/>
      <c r="Q5" s="72"/>
      <c r="T5" s="389"/>
      <c r="U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</row>
    <row r="6" spans="1:36">
      <c r="C6" s="390"/>
      <c r="D6" s="390"/>
      <c r="F6" s="388" t="s">
        <v>434</v>
      </c>
      <c r="G6" s="388"/>
      <c r="H6" s="388"/>
      <c r="I6" s="388"/>
      <c r="J6" s="369" t="s">
        <v>439</v>
      </c>
      <c r="K6" s="416"/>
      <c r="L6" s="416"/>
      <c r="M6" s="416"/>
      <c r="N6" s="417"/>
      <c r="O6" s="510"/>
      <c r="P6" s="73"/>
      <c r="Q6" s="130"/>
    </row>
    <row r="7" spans="1:36">
      <c r="F7" s="507">
        <v>43891</v>
      </c>
      <c r="G7" s="73"/>
      <c r="H7" s="73"/>
      <c r="I7" s="414"/>
      <c r="J7" s="418"/>
      <c r="K7" s="419"/>
      <c r="L7" s="420"/>
      <c r="M7" s="421"/>
      <c r="N7" s="422"/>
      <c r="O7" s="510"/>
      <c r="P7" s="73"/>
      <c r="Q7" s="131"/>
    </row>
    <row r="8" spans="1:36" ht="15.75" customHeight="1">
      <c r="A8" s="391" t="s">
        <v>115</v>
      </c>
      <c r="B8" s="386"/>
      <c r="C8" s="576" t="s">
        <v>61</v>
      </c>
      <c r="D8" s="577"/>
      <c r="E8" s="392"/>
      <c r="F8" s="388" t="s">
        <v>435</v>
      </c>
      <c r="G8" s="393"/>
      <c r="H8" s="393"/>
      <c r="I8" s="393"/>
      <c r="J8" s="418"/>
      <c r="K8" s="423"/>
      <c r="L8" s="420" t="s">
        <v>116</v>
      </c>
      <c r="M8" s="420"/>
      <c r="N8" s="422" t="s">
        <v>117</v>
      </c>
      <c r="O8" s="510"/>
      <c r="P8" s="73"/>
      <c r="Q8" s="131"/>
    </row>
    <row r="9" spans="1:36">
      <c r="A9" s="394" t="s">
        <v>15</v>
      </c>
      <c r="B9" s="386"/>
      <c r="C9" s="578"/>
      <c r="D9" s="579"/>
      <c r="E9" s="392"/>
      <c r="F9" s="508" t="s">
        <v>436</v>
      </c>
      <c r="G9" s="393"/>
      <c r="H9" s="393"/>
      <c r="I9" s="393"/>
      <c r="J9" s="418"/>
      <c r="K9" s="424" t="s">
        <v>118</v>
      </c>
      <c r="L9" s="424" t="s">
        <v>119</v>
      </c>
      <c r="M9" s="424" t="s">
        <v>120</v>
      </c>
      <c r="N9" s="425" t="s">
        <v>120</v>
      </c>
      <c r="O9" s="510"/>
      <c r="P9" s="426"/>
      <c r="Q9" s="131"/>
    </row>
    <row r="10" spans="1:36">
      <c r="E10" s="395"/>
      <c r="G10" s="72"/>
      <c r="H10" s="72"/>
      <c r="I10" s="72"/>
      <c r="J10" s="418"/>
      <c r="K10" s="419"/>
      <c r="L10" s="419"/>
      <c r="M10" s="421"/>
      <c r="N10" s="427"/>
      <c r="O10" s="510"/>
      <c r="P10" s="571" t="s">
        <v>446</v>
      </c>
      <c r="Q10" s="131"/>
    </row>
    <row r="11" spans="1:36">
      <c r="A11" s="396">
        <v>1</v>
      </c>
      <c r="C11" s="383" t="s">
        <v>127</v>
      </c>
      <c r="F11" s="397" t="e">
        <f>'ADJ DETAIL INPUT'!#REF!</f>
        <v>#REF!</v>
      </c>
      <c r="G11" s="397"/>
      <c r="H11" s="397"/>
      <c r="I11" s="397"/>
      <c r="J11" s="418"/>
      <c r="K11" s="423" t="s">
        <v>13</v>
      </c>
      <c r="L11" s="430">
        <f>100%-L13</f>
        <v>0.52649999999999997</v>
      </c>
      <c r="M11" s="129">
        <v>5.3800000000000001E-2</v>
      </c>
      <c r="N11" s="429">
        <f>ROUND(L11*M11,4)</f>
        <v>2.8299999999999999E-2</v>
      </c>
      <c r="O11" s="510"/>
      <c r="P11" s="572"/>
      <c r="Q11" s="131"/>
      <c r="R11" s="389"/>
    </row>
    <row r="12" spans="1:36">
      <c r="A12" s="396"/>
      <c r="F12" s="398"/>
      <c r="G12" s="398"/>
      <c r="H12" s="398"/>
      <c r="I12" s="398"/>
      <c r="J12" s="418"/>
      <c r="K12" s="423"/>
      <c r="L12" s="428"/>
      <c r="M12" s="430"/>
      <c r="N12" s="429"/>
      <c r="O12" s="510"/>
      <c r="P12" s="471">
        <f>N11+N12</f>
        <v>2.8299999999999999E-2</v>
      </c>
      <c r="Q12" s="132"/>
    </row>
    <row r="13" spans="1:36">
      <c r="A13" s="396">
        <v>2</v>
      </c>
      <c r="C13" s="383" t="s">
        <v>121</v>
      </c>
      <c r="F13" s="399">
        <f>N15</f>
        <v>7.3300000000000004E-2</v>
      </c>
      <c r="G13" s="400"/>
      <c r="H13" s="400"/>
      <c r="I13" s="400"/>
      <c r="J13" s="418"/>
      <c r="K13" s="423" t="s">
        <v>438</v>
      </c>
      <c r="L13" s="430">
        <v>0.47349999999999998</v>
      </c>
      <c r="M13" s="430">
        <v>9.5000000000000001E-2</v>
      </c>
      <c r="N13" s="429">
        <f>ROUND(L13*M13,4)</f>
        <v>4.4999999999999998E-2</v>
      </c>
      <c r="O13" s="510"/>
      <c r="Q13" s="384"/>
    </row>
    <row r="14" spans="1:36">
      <c r="A14" s="396"/>
      <c r="F14" s="401"/>
      <c r="G14" s="401"/>
      <c r="H14" s="401"/>
      <c r="I14" s="401"/>
      <c r="J14" s="418"/>
      <c r="K14" s="423"/>
      <c r="L14" s="430"/>
      <c r="M14" s="431"/>
      <c r="N14" s="429"/>
      <c r="O14" s="510"/>
      <c r="Q14" s="131"/>
      <c r="R14" s="389"/>
    </row>
    <row r="15" spans="1:36" ht="16.2" thickBot="1">
      <c r="A15" s="396">
        <v>3</v>
      </c>
      <c r="C15" s="383" t="s">
        <v>122</v>
      </c>
      <c r="F15" s="398" t="e">
        <f>ROUND(F11*F13,0)</f>
        <v>#REF!</v>
      </c>
      <c r="G15" s="398"/>
      <c r="H15" s="398"/>
      <c r="I15" s="398"/>
      <c r="J15" s="418"/>
      <c r="K15" s="423" t="s">
        <v>24</v>
      </c>
      <c r="L15" s="432">
        <f>SUM(L11:L13)</f>
        <v>1</v>
      </c>
      <c r="M15" s="431"/>
      <c r="N15" s="433">
        <f>SUM(N11:N13)</f>
        <v>7.3300000000000004E-2</v>
      </c>
      <c r="O15" s="510"/>
      <c r="P15" s="130"/>
      <c r="Q15" s="131"/>
    </row>
    <row r="16" spans="1:36" ht="16.8" thickTop="1" thickBot="1">
      <c r="A16" s="396"/>
      <c r="F16" s="398"/>
      <c r="G16" s="398"/>
      <c r="H16" s="398"/>
      <c r="I16" s="398"/>
      <c r="J16" s="434"/>
      <c r="K16" s="435"/>
      <c r="L16" s="436"/>
      <c r="M16" s="437"/>
      <c r="N16" s="438"/>
      <c r="O16" s="510"/>
      <c r="P16" s="426"/>
      <c r="Q16" s="131"/>
    </row>
    <row r="17" spans="1:18">
      <c r="A17" s="396">
        <v>4</v>
      </c>
      <c r="C17" s="383" t="s">
        <v>123</v>
      </c>
      <c r="F17" s="402" t="e">
        <f>'ADJ DETAIL INPUT'!#REF!</f>
        <v>#REF!</v>
      </c>
      <c r="G17" s="403"/>
      <c r="H17" s="403"/>
      <c r="I17" s="403"/>
      <c r="J17" s="404"/>
      <c r="O17" s="510"/>
      <c r="P17" s="426"/>
      <c r="Q17" s="131"/>
    </row>
    <row r="18" spans="1:18">
      <c r="A18" s="396"/>
      <c r="L18" s="382"/>
      <c r="M18" s="382"/>
      <c r="P18" s="426"/>
      <c r="Q18" s="131"/>
    </row>
    <row r="19" spans="1:18">
      <c r="A19" s="396">
        <v>5</v>
      </c>
      <c r="C19" s="383" t="s">
        <v>124</v>
      </c>
      <c r="F19" s="398" t="e">
        <f>F15-F17</f>
        <v>#REF!</v>
      </c>
      <c r="G19" s="398"/>
      <c r="H19" s="398"/>
      <c r="I19" s="398"/>
      <c r="P19" s="426"/>
      <c r="Q19" s="130"/>
    </row>
    <row r="20" spans="1:18">
      <c r="A20" s="396"/>
      <c r="P20" s="395"/>
      <c r="Q20" s="130"/>
    </row>
    <row r="21" spans="1:18">
      <c r="A21" s="396">
        <v>6</v>
      </c>
      <c r="C21" s="383" t="s">
        <v>125</v>
      </c>
      <c r="F21" s="405">
        <f>CF!E27</f>
        <v>0.75511799999999996</v>
      </c>
      <c r="G21" s="405"/>
      <c r="H21" s="405"/>
      <c r="I21" s="405"/>
      <c r="J21" s="130"/>
      <c r="K21" s="130"/>
      <c r="L21" s="395"/>
      <c r="M21" s="440"/>
      <c r="N21" s="395"/>
      <c r="O21" s="395"/>
      <c r="P21" s="395"/>
      <c r="Q21" s="131"/>
      <c r="R21" s="389"/>
    </row>
    <row r="22" spans="1:18" ht="16.2" thickBot="1">
      <c r="A22" s="396"/>
      <c r="J22" s="130"/>
      <c r="K22" s="441"/>
      <c r="L22" s="130"/>
      <c r="M22" s="442"/>
      <c r="N22" s="130"/>
      <c r="O22" s="130"/>
      <c r="P22" s="130"/>
      <c r="Q22" s="131"/>
      <c r="R22" s="389"/>
    </row>
    <row r="23" spans="1:18" ht="16.2" thickBot="1">
      <c r="A23" s="396">
        <v>7</v>
      </c>
      <c r="C23" s="383" t="s">
        <v>404</v>
      </c>
      <c r="E23" s="406"/>
      <c r="F23" s="407" t="e">
        <f>ROUND(F19/F21,0)</f>
        <v>#REF!</v>
      </c>
      <c r="G23" s="74"/>
      <c r="H23" s="408"/>
      <c r="I23" s="408"/>
      <c r="J23" s="130"/>
      <c r="K23" s="130"/>
      <c r="L23" s="443"/>
      <c r="M23" s="442"/>
      <c r="N23" s="73"/>
      <c r="O23" s="509"/>
      <c r="P23" s="395"/>
      <c r="Q23" s="131"/>
      <c r="R23" s="389"/>
    </row>
    <row r="24" spans="1:18">
      <c r="E24" s="406"/>
      <c r="J24" s="130"/>
      <c r="K24" s="74"/>
      <c r="L24" s="74"/>
      <c r="M24" s="442"/>
      <c r="N24" s="130"/>
      <c r="O24" s="130"/>
      <c r="P24" s="444"/>
      <c r="Q24" s="131"/>
      <c r="R24" s="389"/>
    </row>
    <row r="25" spans="1:18">
      <c r="A25" s="396">
        <v>8</v>
      </c>
      <c r="C25" s="383" t="s">
        <v>413</v>
      </c>
      <c r="F25" s="403" t="e">
        <f>#REF!+#REF!</f>
        <v>#REF!</v>
      </c>
      <c r="G25" s="403"/>
      <c r="H25" s="403"/>
      <c r="I25" s="403"/>
      <c r="J25" s="75"/>
      <c r="K25" s="74"/>
      <c r="L25" s="74"/>
      <c r="M25" s="445"/>
      <c r="N25" s="74"/>
      <c r="O25" s="74"/>
      <c r="P25" s="445"/>
      <c r="Q25" s="131"/>
      <c r="R25" s="389"/>
    </row>
    <row r="26" spans="1:18">
      <c r="J26" s="130"/>
      <c r="K26" s="74"/>
      <c r="L26" s="74"/>
      <c r="M26" s="445"/>
      <c r="N26" s="74"/>
      <c r="O26" s="74"/>
      <c r="P26" s="445"/>
      <c r="Q26" s="132"/>
      <c r="R26" s="389"/>
    </row>
    <row r="27" spans="1:18" ht="16.2" thickBot="1">
      <c r="A27" s="396">
        <v>9</v>
      </c>
      <c r="C27" s="383" t="s">
        <v>416</v>
      </c>
      <c r="F27" s="409" t="e">
        <f>ROUND(F23/F25,4)</f>
        <v>#REF!</v>
      </c>
      <c r="G27" s="410"/>
      <c r="H27" s="410"/>
      <c r="I27" s="410"/>
      <c r="J27" s="446"/>
      <c r="K27" s="73"/>
      <c r="L27" s="73"/>
      <c r="M27" s="73"/>
      <c r="N27" s="73"/>
      <c r="O27" s="509"/>
      <c r="P27" s="73"/>
      <c r="Q27" s="129"/>
      <c r="R27" s="389"/>
    </row>
    <row r="28" spans="1:18" ht="9.75" customHeight="1" thickTop="1">
      <c r="C28" s="411"/>
      <c r="D28" s="411"/>
      <c r="E28" s="411"/>
      <c r="F28" s="411"/>
      <c r="G28" s="411"/>
      <c r="H28" s="411"/>
      <c r="I28" s="411"/>
      <c r="J28" s="426"/>
      <c r="K28" s="426"/>
      <c r="L28" s="73"/>
      <c r="M28" s="447"/>
      <c r="N28" s="73"/>
      <c r="O28" s="509"/>
      <c r="P28" s="447"/>
      <c r="Q28" s="131"/>
      <c r="R28" s="389"/>
    </row>
    <row r="29" spans="1:18">
      <c r="A29" s="396">
        <v>10</v>
      </c>
      <c r="C29" s="383" t="s">
        <v>414</v>
      </c>
      <c r="F29" s="463">
        <v>152089</v>
      </c>
      <c r="G29" s="412"/>
      <c r="H29" s="412" t="s">
        <v>440</v>
      </c>
      <c r="I29" s="412"/>
      <c r="J29" s="426"/>
      <c r="K29" s="130"/>
      <c r="L29" s="448"/>
      <c r="M29" s="73"/>
      <c r="N29" s="448"/>
      <c r="O29" s="448"/>
      <c r="P29" s="73"/>
      <c r="Q29" s="131"/>
      <c r="R29" s="389"/>
    </row>
    <row r="30" spans="1:18" ht="9" customHeight="1">
      <c r="J30" s="426"/>
      <c r="K30" s="73"/>
      <c r="L30" s="426"/>
      <c r="M30" s="447"/>
      <c r="N30" s="426"/>
      <c r="O30" s="426"/>
      <c r="P30" s="447"/>
      <c r="Q30" s="131"/>
      <c r="R30" s="389"/>
    </row>
    <row r="31" spans="1:18" ht="15.75" customHeight="1" thickBot="1">
      <c r="A31" s="396">
        <v>11</v>
      </c>
      <c r="C31" s="383" t="s">
        <v>415</v>
      </c>
      <c r="F31" s="409" t="e">
        <f>ROUND(F23/F29,4)</f>
        <v>#REF!</v>
      </c>
      <c r="G31" s="410"/>
      <c r="H31" s="410"/>
      <c r="I31" s="410"/>
      <c r="J31" s="426"/>
      <c r="K31" s="426"/>
      <c r="L31" s="449"/>
      <c r="M31" s="445"/>
      <c r="N31" s="449"/>
      <c r="O31" s="449"/>
      <c r="P31" s="445"/>
      <c r="Q31" s="131"/>
      <c r="R31" s="389"/>
    </row>
    <row r="32" spans="1:18" ht="15.75" customHeight="1" thickTop="1">
      <c r="A32" s="396"/>
      <c r="F32" s="410"/>
      <c r="G32" s="410"/>
      <c r="H32" s="410"/>
      <c r="I32" s="410"/>
      <c r="J32" s="426"/>
      <c r="K32" s="130"/>
      <c r="L32" s="395"/>
      <c r="M32" s="440"/>
      <c r="N32" s="395"/>
      <c r="O32" s="395"/>
      <c r="P32" s="395"/>
      <c r="Q32" s="131"/>
      <c r="R32" s="389"/>
    </row>
    <row r="33" spans="1:18">
      <c r="A33" s="413" t="s">
        <v>395</v>
      </c>
      <c r="J33" s="426"/>
      <c r="K33" s="130"/>
      <c r="L33" s="129"/>
      <c r="M33" s="440"/>
      <c r="N33" s="129"/>
      <c r="O33" s="129"/>
      <c r="P33" s="130"/>
      <c r="Q33" s="131"/>
      <c r="R33" s="389"/>
    </row>
    <row r="34" spans="1:18" ht="8.25" customHeight="1">
      <c r="J34" s="130"/>
      <c r="K34" s="130"/>
      <c r="L34" s="130"/>
      <c r="M34" s="442"/>
      <c r="N34" s="130"/>
      <c r="O34" s="130"/>
      <c r="P34" s="130"/>
      <c r="Q34" s="131"/>
      <c r="R34" s="389"/>
    </row>
    <row r="35" spans="1:18">
      <c r="J35" s="130"/>
      <c r="K35" s="130"/>
      <c r="L35" s="130"/>
      <c r="M35" s="442"/>
      <c r="N35" s="450"/>
      <c r="O35" s="450"/>
      <c r="P35" s="130"/>
    </row>
    <row r="36" spans="1:18">
      <c r="J36" s="130"/>
      <c r="K36" s="130"/>
      <c r="L36" s="130"/>
      <c r="M36" s="442"/>
      <c r="N36" s="130"/>
      <c r="O36" s="130"/>
      <c r="P36" s="130"/>
    </row>
    <row r="37" spans="1:18">
      <c r="J37" s="130"/>
      <c r="K37" s="130"/>
      <c r="L37" s="130"/>
      <c r="M37" s="442"/>
      <c r="N37" s="451"/>
      <c r="O37" s="451"/>
      <c r="P37" s="130"/>
    </row>
    <row r="38" spans="1:18">
      <c r="J38" s="130"/>
      <c r="K38" s="130"/>
      <c r="L38" s="130"/>
      <c r="M38" s="442"/>
      <c r="N38" s="130"/>
      <c r="O38" s="130"/>
      <c r="P38" s="130"/>
    </row>
    <row r="39" spans="1:18">
      <c r="J39" s="130"/>
      <c r="K39" s="130"/>
      <c r="L39" s="130"/>
      <c r="M39" s="442"/>
      <c r="N39" s="130"/>
      <c r="O39" s="130"/>
      <c r="P39" s="130"/>
    </row>
    <row r="40" spans="1:18">
      <c r="J40" s="130"/>
      <c r="K40" s="442"/>
      <c r="L40" s="130"/>
      <c r="M40" s="442"/>
      <c r="N40" s="441"/>
      <c r="O40" s="441"/>
      <c r="P40" s="130"/>
    </row>
    <row r="41" spans="1:18">
      <c r="J41" s="130"/>
      <c r="K41" s="452"/>
      <c r="L41" s="130"/>
      <c r="M41" s="442"/>
      <c r="N41" s="453"/>
      <c r="O41" s="453"/>
      <c r="P41" s="130"/>
    </row>
    <row r="42" spans="1:18">
      <c r="J42" s="130"/>
      <c r="K42" s="130"/>
      <c r="L42" s="130"/>
      <c r="M42" s="442"/>
      <c r="N42" s="130"/>
      <c r="O42" s="130"/>
      <c r="P42" s="130"/>
    </row>
    <row r="43" spans="1:18">
      <c r="J43" s="130"/>
      <c r="K43" s="130"/>
      <c r="L43" s="130"/>
      <c r="M43" s="442"/>
      <c r="N43" s="454"/>
      <c r="O43" s="454"/>
      <c r="P43" s="130"/>
    </row>
    <row r="44" spans="1:18">
      <c r="J44" s="130"/>
      <c r="K44" s="130"/>
      <c r="L44" s="130"/>
      <c r="M44" s="442"/>
      <c r="N44" s="130"/>
      <c r="O44" s="130"/>
      <c r="P44" s="130"/>
    </row>
    <row r="45" spans="1:18">
      <c r="J45" s="130"/>
      <c r="K45" s="452"/>
      <c r="L45" s="130"/>
      <c r="M45" s="442"/>
      <c r="N45" s="454"/>
      <c r="O45" s="454"/>
      <c r="P45" s="130"/>
    </row>
    <row r="46" spans="1:18">
      <c r="J46" s="130"/>
      <c r="K46" s="452"/>
      <c r="L46" s="130"/>
      <c r="M46" s="442"/>
      <c r="N46" s="130"/>
      <c r="O46" s="130"/>
      <c r="P46" s="130"/>
    </row>
    <row r="47" spans="1:18">
      <c r="J47" s="130"/>
      <c r="K47" s="130"/>
      <c r="L47" s="130"/>
      <c r="M47" s="442"/>
      <c r="N47" s="130"/>
      <c r="O47" s="130"/>
      <c r="P47" s="130"/>
    </row>
    <row r="48" spans="1:18">
      <c r="J48" s="130"/>
      <c r="K48" s="452"/>
      <c r="L48" s="130"/>
      <c r="M48" s="442"/>
      <c r="N48" s="455"/>
      <c r="O48" s="455"/>
      <c r="P48" s="130"/>
    </row>
    <row r="49" spans="10:29">
      <c r="J49" s="130"/>
      <c r="K49" s="130"/>
      <c r="L49" s="130"/>
      <c r="M49" s="442"/>
      <c r="N49" s="130"/>
      <c r="O49" s="130"/>
      <c r="P49" s="130"/>
    </row>
    <row r="50" spans="10:29">
      <c r="J50" s="130"/>
      <c r="K50" s="130"/>
      <c r="L50" s="130"/>
      <c r="M50" s="442"/>
      <c r="N50" s="130"/>
      <c r="O50" s="130"/>
      <c r="P50" s="130"/>
    </row>
    <row r="51" spans="10:29">
      <c r="J51" s="130"/>
      <c r="K51" s="130"/>
      <c r="L51" s="130"/>
      <c r="M51" s="442"/>
      <c r="N51" s="130"/>
      <c r="O51" s="130"/>
      <c r="P51" s="130"/>
    </row>
    <row r="52" spans="10:29">
      <c r="J52" s="130"/>
      <c r="K52" s="130"/>
      <c r="L52" s="130"/>
      <c r="M52" s="442"/>
      <c r="N52" s="130"/>
      <c r="O52" s="130"/>
      <c r="P52" s="130"/>
    </row>
    <row r="53" spans="10:29">
      <c r="J53" s="130"/>
      <c r="K53" s="130"/>
      <c r="L53" s="130"/>
      <c r="M53" s="442"/>
      <c r="N53" s="130"/>
      <c r="O53" s="130"/>
      <c r="P53" s="130"/>
    </row>
    <row r="54" spans="10:29">
      <c r="J54" s="130"/>
      <c r="K54" s="130"/>
      <c r="L54" s="130"/>
      <c r="M54" s="442"/>
      <c r="N54" s="130"/>
      <c r="O54" s="130"/>
      <c r="P54" s="130"/>
    </row>
    <row r="55" spans="10:29">
      <c r="J55" s="130"/>
      <c r="K55" s="130"/>
      <c r="L55" s="130"/>
      <c r="M55" s="442"/>
      <c r="N55" s="130"/>
      <c r="O55" s="130"/>
      <c r="P55" s="130"/>
    </row>
    <row r="56" spans="10:29">
      <c r="J56" s="130"/>
      <c r="K56" s="130"/>
      <c r="L56" s="130"/>
      <c r="M56" s="442"/>
      <c r="N56" s="130"/>
      <c r="O56" s="130"/>
      <c r="P56" s="130"/>
      <c r="AC56" s="384">
        <f>AC62</f>
        <v>0</v>
      </c>
    </row>
    <row r="57" spans="10:29">
      <c r="J57" s="130"/>
      <c r="K57" s="130"/>
      <c r="L57" s="130"/>
      <c r="M57" s="442"/>
      <c r="N57" s="130"/>
      <c r="O57" s="130"/>
      <c r="P57" s="130"/>
    </row>
    <row r="58" spans="10:29">
      <c r="J58" s="130"/>
      <c r="K58" s="130"/>
      <c r="L58" s="130"/>
      <c r="M58" s="442"/>
      <c r="N58" s="130"/>
      <c r="O58" s="130"/>
      <c r="P58" s="130"/>
    </row>
    <row r="59" spans="10:29">
      <c r="J59" s="130"/>
      <c r="K59" s="130"/>
      <c r="L59" s="130"/>
      <c r="M59" s="442"/>
      <c r="N59" s="130"/>
      <c r="O59" s="130"/>
      <c r="P59" s="130"/>
    </row>
    <row r="60" spans="10:29">
      <c r="J60" s="130"/>
      <c r="K60" s="130"/>
      <c r="L60" s="130"/>
      <c r="M60" s="442"/>
      <c r="N60" s="130"/>
      <c r="O60" s="130"/>
      <c r="P60" s="130"/>
    </row>
    <row r="61" spans="10:29">
      <c r="J61" s="130"/>
      <c r="K61" s="130"/>
      <c r="L61" s="130"/>
      <c r="M61" s="442"/>
      <c r="N61" s="130"/>
      <c r="O61" s="130"/>
      <c r="P61" s="130"/>
    </row>
    <row r="62" spans="10:29">
      <c r="J62" s="130"/>
      <c r="K62" s="130"/>
      <c r="L62" s="130"/>
      <c r="M62" s="442"/>
      <c r="N62" s="130"/>
      <c r="O62" s="130"/>
      <c r="P62" s="130"/>
    </row>
    <row r="63" spans="10:29">
      <c r="J63" s="130"/>
      <c r="K63" s="130"/>
      <c r="L63" s="130"/>
      <c r="M63" s="442"/>
      <c r="N63" s="130"/>
      <c r="O63" s="130"/>
      <c r="P63" s="130"/>
    </row>
    <row r="64" spans="10:29">
      <c r="P64" s="130"/>
    </row>
    <row r="65" spans="16:16">
      <c r="P65" s="130"/>
    </row>
  </sheetData>
  <mergeCells count="10">
    <mergeCell ref="P10:P11"/>
    <mergeCell ref="J4:N4"/>
    <mergeCell ref="C8:D9"/>
    <mergeCell ref="A4:F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1.47" bottom="0.84" header="0.5" footer="0.5"/>
  <pageSetup scale="105" orientation="portrait" r:id="rId1"/>
  <headerFooter scaleWithDoc="0" alignWithMargins="0">
    <oddHeader>&amp;R12.2018 CBR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46"/>
  <sheetViews>
    <sheetView view="pageBreakPreview" zoomScaleNormal="100" zoomScaleSheetLayoutView="100" workbookViewId="0"/>
  </sheetViews>
  <sheetFormatPr defaultColWidth="9.109375" defaultRowHeight="13.2"/>
  <cols>
    <col min="1" max="1" width="9.109375" style="35"/>
    <col min="2" max="2" width="6.5546875" style="35" customWidth="1"/>
    <col min="3" max="3" width="42" style="35" customWidth="1"/>
    <col min="4" max="4" width="2.88671875" style="35" customWidth="1"/>
    <col min="5" max="5" width="20.109375" style="65" customWidth="1"/>
    <col min="6" max="6" width="2.6640625" style="35" customWidth="1"/>
    <col min="7" max="9" width="9.109375" style="35"/>
    <col min="10" max="10" width="19.88671875" style="35" bestFit="1" customWidth="1"/>
    <col min="11" max="11" width="11.88671875" style="35" customWidth="1"/>
    <col min="12" max="30" width="9.109375" style="35"/>
    <col min="31" max="31" width="14.6640625" style="35" customWidth="1"/>
    <col min="32" max="32" width="13" style="35" customWidth="1"/>
    <col min="33" max="16384" width="9.109375" style="35"/>
  </cols>
  <sheetData>
    <row r="1" spans="1:43" s="55" customFormat="1">
      <c r="A1" s="35"/>
      <c r="B1" s="35"/>
      <c r="C1" s="52" t="s">
        <v>100</v>
      </c>
      <c r="D1" s="53"/>
      <c r="E1" s="54"/>
      <c r="G1" s="266"/>
      <c r="H1" s="267"/>
      <c r="I1" s="267"/>
      <c r="J1" s="35"/>
      <c r="Q1" s="562" t="s">
        <v>100</v>
      </c>
      <c r="R1" s="562"/>
      <c r="S1" s="562"/>
      <c r="T1" s="562"/>
      <c r="U1" s="562"/>
      <c r="V1" s="562"/>
      <c r="W1" s="562"/>
    </row>
    <row r="2" spans="1:43" s="55" customFormat="1">
      <c r="B2" s="35"/>
      <c r="C2" s="225" t="s">
        <v>136</v>
      </c>
      <c r="D2" s="53"/>
      <c r="E2" s="56"/>
      <c r="J2" s="35"/>
      <c r="Q2" s="562" t="s">
        <v>141</v>
      </c>
      <c r="R2" s="562"/>
      <c r="S2" s="562"/>
      <c r="T2" s="562"/>
      <c r="U2" s="562"/>
      <c r="V2" s="562"/>
      <c r="W2" s="562"/>
    </row>
    <row r="3" spans="1:43" s="55" customFormat="1">
      <c r="B3" s="35"/>
      <c r="C3" s="71" t="s">
        <v>396</v>
      </c>
      <c r="D3" s="53"/>
      <c r="E3" s="56"/>
      <c r="J3" s="35"/>
      <c r="Q3" s="265"/>
      <c r="R3" s="265"/>
      <c r="S3" s="265"/>
      <c r="T3" s="265"/>
      <c r="U3" s="265"/>
      <c r="V3" s="265"/>
      <c r="W3" s="265"/>
    </row>
    <row r="4" spans="1:43">
      <c r="B4" s="70"/>
      <c r="C4" s="225" t="s">
        <v>467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52"/>
      <c r="O4" s="52"/>
      <c r="P4" s="52"/>
    </row>
    <row r="5" spans="1:43">
      <c r="C5" s="39"/>
      <c r="D5" s="57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1:43" hidden="1">
      <c r="A6" s="39"/>
      <c r="C6" s="58"/>
      <c r="D6" s="57"/>
      <c r="E6" s="53"/>
      <c r="P6" s="68"/>
      <c r="Y6" s="68"/>
      <c r="Z6" s="68"/>
      <c r="AD6" s="68"/>
      <c r="AE6" s="270"/>
      <c r="AF6" s="271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</row>
    <row r="7" spans="1:43" hidden="1">
      <c r="A7" s="39"/>
      <c r="C7" s="58"/>
      <c r="D7" s="57"/>
      <c r="E7" s="53"/>
      <c r="AE7" s="272"/>
      <c r="AF7" s="273"/>
    </row>
    <row r="8" spans="1:43" hidden="1">
      <c r="A8" s="39"/>
      <c r="C8" s="57"/>
      <c r="D8" s="57"/>
      <c r="E8" s="88"/>
      <c r="F8" s="89"/>
      <c r="G8" s="89"/>
      <c r="AE8" s="272"/>
      <c r="AF8" s="273"/>
    </row>
    <row r="9" spans="1:43">
      <c r="A9" s="39" t="s">
        <v>115</v>
      </c>
      <c r="C9" s="39"/>
      <c r="D9" s="57"/>
      <c r="E9" s="39"/>
      <c r="J9" s="66" t="s">
        <v>137</v>
      </c>
      <c r="M9" s="41"/>
      <c r="N9" s="41"/>
      <c r="O9" s="41"/>
      <c r="P9" s="41"/>
      <c r="AE9" s="272"/>
      <c r="AF9" s="273"/>
    </row>
    <row r="10" spans="1:43">
      <c r="A10" s="40" t="s">
        <v>15</v>
      </c>
      <c r="C10" s="40" t="s">
        <v>61</v>
      </c>
      <c r="D10" s="57"/>
      <c r="E10" s="40" t="s">
        <v>128</v>
      </c>
      <c r="F10" s="65"/>
      <c r="M10" s="41"/>
      <c r="N10" s="41"/>
      <c r="O10" s="41"/>
      <c r="P10" s="41"/>
      <c r="AE10" s="272"/>
      <c r="AF10" s="273"/>
    </row>
    <row r="11" spans="1:43" ht="9" customHeight="1">
      <c r="A11" s="39"/>
      <c r="C11" s="57"/>
      <c r="D11" s="57"/>
      <c r="E11" s="57"/>
      <c r="M11" s="41"/>
      <c r="N11" s="41"/>
      <c r="O11" s="41"/>
      <c r="P11" s="41"/>
      <c r="AE11" s="272"/>
      <c r="AF11" s="273"/>
    </row>
    <row r="12" spans="1:43">
      <c r="A12" s="36">
        <v>1</v>
      </c>
      <c r="C12" s="456" t="s">
        <v>129</v>
      </c>
      <c r="D12" s="457"/>
      <c r="E12" s="457">
        <v>1</v>
      </c>
      <c r="J12" s="59" t="e">
        <f>'RR SUMMARY'!F23</f>
        <v>#REF!</v>
      </c>
      <c r="K12" s="59"/>
      <c r="M12" s="41"/>
      <c r="N12" s="268"/>
      <c r="O12" s="41"/>
      <c r="P12" s="41"/>
      <c r="AE12" s="272"/>
      <c r="AF12" s="273"/>
    </row>
    <row r="13" spans="1:43" ht="9" customHeight="1">
      <c r="A13" s="36"/>
      <c r="C13" s="456"/>
      <c r="D13" s="457"/>
      <c r="E13" s="457"/>
      <c r="K13" s="351"/>
      <c r="M13" s="41"/>
      <c r="N13" s="41"/>
      <c r="O13" s="41"/>
      <c r="P13" s="41"/>
      <c r="AE13" s="272"/>
      <c r="AF13" s="273"/>
    </row>
    <row r="14" spans="1:43">
      <c r="A14" s="36"/>
      <c r="C14" s="456" t="s">
        <v>130</v>
      </c>
      <c r="D14" s="457"/>
      <c r="E14" s="457"/>
      <c r="K14" s="351"/>
      <c r="M14" s="41"/>
      <c r="N14" s="41"/>
      <c r="O14" s="41"/>
      <c r="P14" s="41"/>
      <c r="AE14" s="272"/>
      <c r="AF14" s="273"/>
    </row>
    <row r="15" spans="1:43">
      <c r="A15" s="36">
        <v>2</v>
      </c>
      <c r="B15" s="38"/>
      <c r="C15" s="457" t="s">
        <v>131</v>
      </c>
      <c r="D15" s="457"/>
      <c r="E15" s="458">
        <v>3.7810000000000001E-3</v>
      </c>
      <c r="F15" s="336"/>
      <c r="J15" s="60" t="e">
        <f>ROUND($J$12*E15,0)</f>
        <v>#REF!</v>
      </c>
      <c r="K15" s="60"/>
      <c r="M15" s="41"/>
      <c r="N15" s="62"/>
      <c r="O15" s="41"/>
      <c r="P15" s="41"/>
      <c r="AE15" s="272"/>
      <c r="AF15" s="273"/>
    </row>
    <row r="16" spans="1:43" ht="9" customHeight="1">
      <c r="A16" s="36"/>
      <c r="C16" s="457"/>
      <c r="D16" s="457"/>
      <c r="E16" s="458"/>
      <c r="K16" s="351"/>
      <c r="M16" s="41"/>
      <c r="N16" s="41"/>
      <c r="O16" s="41"/>
      <c r="P16" s="41"/>
      <c r="AE16" s="272"/>
      <c r="AF16" s="273"/>
    </row>
    <row r="17" spans="1:32">
      <c r="A17" s="36">
        <v>3</v>
      </c>
      <c r="C17" s="457" t="s">
        <v>132</v>
      </c>
      <c r="D17" s="457"/>
      <c r="E17" s="458">
        <v>2E-3</v>
      </c>
      <c r="J17" s="60" t="e">
        <f>ROUND($J$12*E17,0)</f>
        <v>#REF!</v>
      </c>
      <c r="K17" s="60"/>
      <c r="M17" s="41"/>
      <c r="N17" s="62"/>
      <c r="O17" s="41"/>
      <c r="P17" s="41"/>
      <c r="AE17" s="272"/>
      <c r="AF17" s="273"/>
    </row>
    <row r="18" spans="1:32" ht="9" customHeight="1">
      <c r="A18" s="36"/>
      <c r="C18" s="457"/>
      <c r="D18" s="457"/>
      <c r="E18" s="458"/>
      <c r="K18" s="351"/>
      <c r="M18" s="41"/>
      <c r="N18" s="41"/>
      <c r="O18" s="41"/>
      <c r="P18" s="41"/>
      <c r="AE18" s="272"/>
      <c r="AF18" s="273"/>
    </row>
    <row r="19" spans="1:32">
      <c r="A19" s="36">
        <v>4</v>
      </c>
      <c r="C19" s="457" t="s">
        <v>133</v>
      </c>
      <c r="D19" s="457"/>
      <c r="E19" s="458">
        <v>3.8373999999999998E-2</v>
      </c>
      <c r="F19" s="336"/>
      <c r="J19" s="60" t="e">
        <f>ROUND($J$12*E19,0)</f>
        <v>#REF!</v>
      </c>
      <c r="K19" s="60"/>
      <c r="M19" s="41"/>
      <c r="N19" s="62"/>
      <c r="O19" s="41"/>
      <c r="P19" s="41"/>
      <c r="AE19" s="272"/>
      <c r="AF19" s="273"/>
    </row>
    <row r="20" spans="1:32" ht="9" customHeight="1">
      <c r="A20" s="36"/>
      <c r="C20" s="457"/>
      <c r="D20" s="457"/>
      <c r="E20" s="459"/>
      <c r="K20" s="351"/>
      <c r="M20" s="41"/>
      <c r="N20" s="41"/>
      <c r="O20" s="41"/>
      <c r="P20" s="41"/>
      <c r="AE20" s="272"/>
      <c r="AF20" s="273"/>
    </row>
    <row r="21" spans="1:32">
      <c r="A21" s="36">
        <v>6</v>
      </c>
      <c r="C21" s="457" t="s">
        <v>134</v>
      </c>
      <c r="D21" s="457"/>
      <c r="E21" s="460">
        <f>SUM(E15:E19)</f>
        <v>4.4155E-2</v>
      </c>
      <c r="J21" s="61" t="e">
        <f>SUM(J15:J20)</f>
        <v>#REF!</v>
      </c>
      <c r="K21" s="61"/>
      <c r="M21" s="41"/>
      <c r="N21" s="62"/>
      <c r="O21" s="41"/>
      <c r="P21" s="41"/>
      <c r="AE21" s="272"/>
      <c r="AF21" s="273"/>
    </row>
    <row r="22" spans="1:32" ht="9.6" customHeight="1">
      <c r="A22" s="36"/>
      <c r="C22" s="457"/>
      <c r="D22" s="457"/>
      <c r="E22" s="457"/>
      <c r="J22" s="62"/>
      <c r="K22" s="62"/>
      <c r="M22" s="41"/>
      <c r="N22" s="62"/>
      <c r="O22" s="41"/>
      <c r="P22" s="41"/>
      <c r="AE22" s="272"/>
      <c r="AF22" s="273"/>
    </row>
    <row r="23" spans="1:32">
      <c r="A23" s="36">
        <v>7</v>
      </c>
      <c r="C23" s="457" t="s">
        <v>135</v>
      </c>
      <c r="D23" s="457"/>
      <c r="E23" s="457">
        <f>E12-E21</f>
        <v>0.95584500000000006</v>
      </c>
      <c r="J23" s="62" t="e">
        <f>J12-J21</f>
        <v>#REF!</v>
      </c>
      <c r="K23" s="62"/>
      <c r="M23" s="41"/>
      <c r="N23" s="62"/>
      <c r="O23" s="41"/>
      <c r="P23" s="41"/>
      <c r="AE23" s="272"/>
      <c r="AF23" s="273"/>
    </row>
    <row r="24" spans="1:32" ht="9.6" customHeight="1">
      <c r="A24" s="36"/>
      <c r="C24" s="457"/>
      <c r="D24" s="457"/>
      <c r="E24" s="457"/>
      <c r="K24" s="351"/>
      <c r="M24" s="41"/>
      <c r="N24" s="41"/>
      <c r="O24" s="41"/>
      <c r="P24" s="41"/>
      <c r="AE24" s="272"/>
      <c r="AF24" s="273"/>
    </row>
    <row r="25" spans="1:32">
      <c r="A25" s="36">
        <v>8</v>
      </c>
      <c r="C25" s="457" t="s">
        <v>431</v>
      </c>
      <c r="D25" s="461"/>
      <c r="E25" s="457">
        <f>E23*0.21</f>
        <v>0.20072745</v>
      </c>
      <c r="J25" s="63" t="e">
        <f>ROUND(J23*0.21,0)</f>
        <v>#REF!</v>
      </c>
      <c r="K25" s="63"/>
      <c r="M25" s="41"/>
      <c r="N25" s="62"/>
      <c r="O25" s="41"/>
      <c r="P25" s="41"/>
      <c r="AE25" s="272"/>
      <c r="AF25" s="273"/>
    </row>
    <row r="26" spans="1:32" ht="9" customHeight="1">
      <c r="C26" s="457"/>
      <c r="D26" s="457"/>
      <c r="E26" s="457"/>
      <c r="K26" s="351"/>
      <c r="M26" s="41"/>
      <c r="N26" s="41"/>
      <c r="O26" s="41"/>
      <c r="P26" s="41"/>
      <c r="AE26" s="272"/>
      <c r="AF26" s="273"/>
    </row>
    <row r="27" spans="1:32" ht="13.8" thickBot="1">
      <c r="A27" s="36">
        <v>9</v>
      </c>
      <c r="C27" s="457" t="s">
        <v>136</v>
      </c>
      <c r="D27" s="457"/>
      <c r="E27" s="457">
        <f>ROUND(E23-E25,6)</f>
        <v>0.75511799999999996</v>
      </c>
      <c r="J27" s="64" t="e">
        <f>J23-J25</f>
        <v>#REF!</v>
      </c>
      <c r="K27" s="64"/>
      <c r="M27" s="41"/>
      <c r="N27" s="269"/>
      <c r="O27" s="41"/>
      <c r="P27" s="41"/>
      <c r="AE27" s="272"/>
      <c r="AF27" s="273"/>
    </row>
    <row r="28" spans="1:32" ht="13.5" customHeight="1" thickTop="1">
      <c r="C28" s="57"/>
      <c r="D28" s="57"/>
      <c r="F28" s="379"/>
      <c r="G28" s="379"/>
      <c r="H28" s="379"/>
      <c r="K28" s="351"/>
      <c r="M28" s="41"/>
      <c r="N28" s="41"/>
      <c r="O28" s="41"/>
      <c r="P28" s="41"/>
      <c r="AE28" s="272"/>
      <c r="AF28" s="273"/>
    </row>
    <row r="29" spans="1:32">
      <c r="A29" s="379"/>
      <c r="B29" s="379"/>
      <c r="C29" s="379"/>
      <c r="D29" s="379"/>
      <c r="E29" s="379"/>
      <c r="F29" s="379"/>
      <c r="G29" s="379"/>
      <c r="H29" s="379"/>
      <c r="J29" s="60" t="e">
        <f>J27/E27</f>
        <v>#REF!</v>
      </c>
      <c r="K29" s="60"/>
      <c r="L29" s="35" t="s">
        <v>388</v>
      </c>
      <c r="M29" s="41"/>
      <c r="N29" s="41"/>
      <c r="O29" s="41"/>
      <c r="P29" s="41"/>
      <c r="AE29" s="272"/>
      <c r="AF29" s="273"/>
    </row>
    <row r="30" spans="1:32" ht="15.75" customHeight="1">
      <c r="A30" s="379"/>
      <c r="B30" s="379"/>
      <c r="C30" s="379"/>
      <c r="D30" s="379"/>
      <c r="E30" s="379"/>
      <c r="F30" s="379"/>
      <c r="G30" s="379"/>
      <c r="H30" s="379"/>
      <c r="J30" s="368" t="e">
        <f>J29-'RR SUMMARY'!F23</f>
        <v>#REF!</v>
      </c>
      <c r="K30" s="368"/>
      <c r="L30" s="35" t="s">
        <v>71</v>
      </c>
      <c r="M30" s="41"/>
      <c r="N30" s="41"/>
      <c r="O30" s="41"/>
      <c r="P30" s="41"/>
      <c r="AE30" s="272"/>
      <c r="AF30" s="273"/>
    </row>
    <row r="31" spans="1:32" ht="4.5" customHeight="1">
      <c r="C31" s="57"/>
      <c r="D31" s="57"/>
      <c r="M31" s="41"/>
      <c r="N31" s="41"/>
      <c r="O31" s="41"/>
      <c r="P31" s="41"/>
      <c r="AE31" s="272"/>
      <c r="AF31" s="273"/>
    </row>
    <row r="32" spans="1:32">
      <c r="C32" s="57"/>
      <c r="D32" s="57"/>
      <c r="M32" s="41"/>
      <c r="N32" s="41"/>
      <c r="O32" s="41"/>
      <c r="P32" s="41"/>
      <c r="AE32" s="272"/>
      <c r="AF32" s="273"/>
    </row>
    <row r="33" spans="31:36">
      <c r="AE33" s="272"/>
      <c r="AF33" s="273"/>
    </row>
    <row r="34" spans="31:36">
      <c r="AE34" s="272"/>
      <c r="AF34" s="273"/>
    </row>
    <row r="35" spans="31:36">
      <c r="AE35" s="272"/>
      <c r="AF35" s="273"/>
    </row>
    <row r="36" spans="31:36">
      <c r="AE36" s="272"/>
      <c r="AF36" s="273"/>
    </row>
    <row r="37" spans="31:36">
      <c r="AE37" s="272"/>
      <c r="AF37" s="273"/>
    </row>
    <row r="38" spans="31:36">
      <c r="AE38" s="272"/>
      <c r="AF38" s="273"/>
    </row>
    <row r="39" spans="31:36">
      <c r="AE39" s="272"/>
      <c r="AF39" s="273"/>
    </row>
    <row r="40" spans="31:36">
      <c r="AE40" s="272"/>
      <c r="AF40" s="273"/>
    </row>
    <row r="41" spans="31:36">
      <c r="AE41" s="272"/>
      <c r="AF41" s="273"/>
    </row>
    <row r="42" spans="31:36">
      <c r="AE42" s="272"/>
      <c r="AF42" s="273"/>
    </row>
    <row r="43" spans="31:36">
      <c r="AE43" s="272"/>
      <c r="AF43" s="273"/>
    </row>
    <row r="44" spans="31:36">
      <c r="AE44" s="272"/>
      <c r="AF44" s="273"/>
    </row>
    <row r="45" spans="31:36">
      <c r="AE45" s="276" t="s">
        <v>389</v>
      </c>
      <c r="AF45" s="277">
        <f>AF46+AE46</f>
        <v>0</v>
      </c>
    </row>
    <row r="46" spans="31:36" ht="13.8" thickBot="1">
      <c r="AE46" s="274"/>
      <c r="AF46" s="275"/>
      <c r="AJ46" s="35">
        <f>AJ52</f>
        <v>0</v>
      </c>
    </row>
  </sheetData>
  <mergeCells count="2">
    <mergeCell ref="Q1:W1"/>
    <mergeCell ref="Q2:W2"/>
  </mergeCells>
  <phoneticPr fontId="0" type="noConversion"/>
  <pageMargins left="0.75" right="0.5" top="0.97" bottom="0.84" header="0.5" footer="0.5"/>
  <pageSetup scale="98" orientation="portrait" r:id="rId1"/>
  <headerFooter alignWithMargins="0">
    <oddHeader>&amp;R12.2018 CBR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/>
  <cols>
    <col min="1" max="16384" width="9.109375" style="37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2"/>
  <sheetViews>
    <sheetView zoomScaleNormal="100" workbookViewId="0">
      <selection activeCell="I1" sqref="I1"/>
    </sheetView>
  </sheetViews>
  <sheetFormatPr defaultColWidth="10.6640625" defaultRowHeight="13.2"/>
  <cols>
    <col min="1" max="1" width="8.33203125" style="151" customWidth="1"/>
    <col min="2" max="2" width="18.6640625" style="152" customWidth="1"/>
    <col min="3" max="4" width="10.6640625" style="145" customWidth="1"/>
    <col min="5" max="5" width="10.109375" style="145" customWidth="1"/>
    <col min="6" max="6" width="14.6640625" style="153" customWidth="1"/>
    <col min="7" max="7" width="11.109375" style="145" bestFit="1" customWidth="1"/>
    <col min="8" max="8" width="2.109375" style="145" customWidth="1"/>
    <col min="9" max="9" width="14.109375" style="145" customWidth="1"/>
    <col min="10" max="10" width="19.109375" style="145" customWidth="1"/>
    <col min="11" max="16384" width="10.6640625" style="145"/>
  </cols>
  <sheetData>
    <row r="1" spans="1:9">
      <c r="A1" s="584" t="s">
        <v>100</v>
      </c>
      <c r="B1" s="584"/>
      <c r="C1" s="584"/>
      <c r="D1" s="584"/>
      <c r="E1" s="584"/>
      <c r="F1" s="584"/>
      <c r="G1" s="584"/>
      <c r="H1" s="584"/>
    </row>
    <row r="2" spans="1:9">
      <c r="A2" s="585" t="s">
        <v>111</v>
      </c>
      <c r="B2" s="585"/>
      <c r="C2" s="585"/>
      <c r="D2" s="585"/>
      <c r="E2" s="585"/>
      <c r="F2" s="585"/>
      <c r="G2" s="585"/>
      <c r="H2" s="585"/>
    </row>
    <row r="3" spans="1:9">
      <c r="A3" s="585" t="s">
        <v>199</v>
      </c>
      <c r="B3" s="585"/>
      <c r="C3" s="585"/>
      <c r="D3" s="585"/>
      <c r="E3" s="585"/>
      <c r="F3" s="585"/>
      <c r="G3" s="585"/>
      <c r="H3" s="585"/>
    </row>
    <row r="4" spans="1:9">
      <c r="A4" s="586" t="str">
        <f>'ROO INPUT'!A5:C5</f>
        <v>TWELVE MONTHS ENDED DECEMBER 31, 2018</v>
      </c>
      <c r="B4" s="586"/>
      <c r="C4" s="586"/>
      <c r="D4" s="586"/>
      <c r="E4" s="586"/>
      <c r="F4" s="586"/>
      <c r="G4" s="586"/>
      <c r="H4" s="586"/>
    </row>
    <row r="5" spans="1:9">
      <c r="A5" s="587" t="s">
        <v>103</v>
      </c>
      <c r="B5" s="587"/>
      <c r="C5" s="587"/>
      <c r="D5" s="587"/>
      <c r="E5" s="587"/>
      <c r="F5" s="587"/>
      <c r="G5" s="587"/>
      <c r="H5" s="587"/>
    </row>
    <row r="6" spans="1:9" ht="13.8" thickBot="1">
      <c r="A6" s="146"/>
      <c r="B6" s="147"/>
      <c r="C6" s="148"/>
      <c r="D6" s="149"/>
      <c r="E6" s="149"/>
      <c r="F6" s="149"/>
      <c r="I6" s="150" t="s">
        <v>170</v>
      </c>
    </row>
    <row r="7" spans="1:9" ht="13.8" thickBot="1">
      <c r="C7" s="153"/>
      <c r="D7" s="153"/>
      <c r="E7" s="581" t="s">
        <v>111</v>
      </c>
      <c r="F7" s="582"/>
      <c r="G7" s="583"/>
      <c r="I7" s="150" t="s">
        <v>171</v>
      </c>
    </row>
    <row r="8" spans="1:9">
      <c r="C8" s="153"/>
      <c r="D8" s="153"/>
      <c r="E8" s="151">
        <f>'ADJ DETAIL INPUT'!W10</f>
        <v>2.139999999999997</v>
      </c>
      <c r="F8" s="260"/>
      <c r="G8" s="260"/>
      <c r="I8" s="150"/>
    </row>
    <row r="9" spans="1:9">
      <c r="C9" s="153"/>
      <c r="D9" s="153"/>
      <c r="E9" s="154" t="s">
        <v>19</v>
      </c>
      <c r="F9" s="150" t="s">
        <v>381</v>
      </c>
      <c r="G9" s="150" t="s">
        <v>382</v>
      </c>
      <c r="I9" s="150" t="s">
        <v>172</v>
      </c>
    </row>
    <row r="10" spans="1:9">
      <c r="B10" s="155" t="s">
        <v>104</v>
      </c>
      <c r="C10" s="153"/>
      <c r="D10" s="153"/>
      <c r="E10" s="156" t="s">
        <v>173</v>
      </c>
      <c r="F10" s="157" t="s">
        <v>105</v>
      </c>
      <c r="G10" s="157" t="s">
        <v>174</v>
      </c>
      <c r="I10" s="157" t="str">
        <f>F10</f>
        <v>Adjustments</v>
      </c>
    </row>
    <row r="11" spans="1:9">
      <c r="A11" s="151">
        <f>'ADJ SUMMARY'!A8</f>
        <v>1</v>
      </c>
      <c r="B11" s="152" t="str">
        <f>'ADJ SUMMARY'!C8</f>
        <v>Per Results Report</v>
      </c>
      <c r="C11" s="153"/>
      <c r="D11" s="153"/>
      <c r="E11" s="158">
        <f>'ADJ SUMMARY'!E8</f>
        <v>348658</v>
      </c>
      <c r="F11" s="158"/>
      <c r="G11" s="205">
        <f>SUM(E11:F11)</f>
        <v>348658</v>
      </c>
      <c r="H11" s="205"/>
      <c r="I11" s="205">
        <f>ROUND(E11*$E$34*-$E$41,0)-(E38*-E41)</f>
        <v>58.659999999999854</v>
      </c>
    </row>
    <row r="12" spans="1:9">
      <c r="A12" s="151">
        <f>'ADJ SUMMARY'!A9</f>
        <v>1.01</v>
      </c>
      <c r="B12" s="152" t="str">
        <f>'ADJ SUMMARY'!C9</f>
        <v>Deferred FIT Rate Base</v>
      </c>
      <c r="C12" s="153"/>
      <c r="D12" s="153"/>
      <c r="E12" s="205"/>
      <c r="F12" s="158">
        <f>'ADJ SUMMARY'!E9</f>
        <v>-1247</v>
      </c>
      <c r="G12" s="205">
        <f>SUM(E12:F12)</f>
        <v>-1247</v>
      </c>
      <c r="H12" s="205"/>
      <c r="I12" s="205">
        <f t="shared" ref="I12:I29" si="0">ROUND(F12*$E$34*-$E$41,0)</f>
        <v>7</v>
      </c>
    </row>
    <row r="13" spans="1:9">
      <c r="A13" s="151">
        <f>'ADJ SUMMARY'!A10</f>
        <v>1.02</v>
      </c>
      <c r="B13" s="152" t="str">
        <f>'ADJ SUMMARY'!C10</f>
        <v>Deferred Debits and Credits</v>
      </c>
      <c r="C13" s="153"/>
      <c r="D13" s="153"/>
      <c r="E13" s="205"/>
      <c r="F13" s="158">
        <f>'ADJ SUMMARY'!E10</f>
        <v>-7</v>
      </c>
      <c r="G13" s="205">
        <f t="shared" ref="G13:G16" si="1">SUM(E13:F13)</f>
        <v>-7</v>
      </c>
      <c r="H13" s="205"/>
      <c r="I13" s="205">
        <f t="shared" si="0"/>
        <v>0</v>
      </c>
    </row>
    <row r="14" spans="1:9">
      <c r="A14" s="151">
        <f>'ADJ SUMMARY'!A11</f>
        <v>1.03</v>
      </c>
      <c r="B14" s="152" t="str">
        <f>'ADJ SUMMARY'!C11</f>
        <v>Working Capital</v>
      </c>
      <c r="C14" s="153"/>
      <c r="D14" s="153"/>
      <c r="E14" s="205"/>
      <c r="F14" s="158">
        <f>'ADJ SUMMARY'!E11</f>
        <v>0</v>
      </c>
      <c r="G14" s="205">
        <f t="shared" si="1"/>
        <v>0</v>
      </c>
      <c r="H14" s="205"/>
      <c r="I14" s="205">
        <f t="shared" si="0"/>
        <v>0</v>
      </c>
    </row>
    <row r="15" spans="1:9">
      <c r="A15" s="151">
        <f>'ADJ SUMMARY'!A12</f>
        <v>1.04</v>
      </c>
      <c r="B15" s="152" t="str">
        <f>'ADJ SUMMARY'!C12</f>
        <v>Remove AMI Rate Base</v>
      </c>
      <c r="C15" s="153"/>
      <c r="D15" s="153"/>
      <c r="E15" s="205"/>
      <c r="F15" s="158">
        <f>'ADJ SUMMARY'!E12</f>
        <v>-6038</v>
      </c>
      <c r="G15" s="205">
        <f t="shared" ref="G15" si="2">SUM(E15:F15)</f>
        <v>-6038</v>
      </c>
      <c r="H15" s="205"/>
      <c r="I15" s="205">
        <f>ROUND(F15*$E$34*-$E$41,0)</f>
        <v>36</v>
      </c>
    </row>
    <row r="16" spans="1:9">
      <c r="A16" s="151">
        <f>'ADJ SUMMARY'!A13</f>
        <v>2.0099999999999998</v>
      </c>
      <c r="B16" s="152" t="str">
        <f>'ADJ SUMMARY'!C13</f>
        <v>Eliminate B &amp; O Taxes</v>
      </c>
      <c r="C16" s="153"/>
      <c r="D16" s="153"/>
      <c r="E16" s="205"/>
      <c r="F16" s="158">
        <f>'ADJ SUMMARY'!E13</f>
        <v>0</v>
      </c>
      <c r="G16" s="205">
        <f t="shared" si="1"/>
        <v>0</v>
      </c>
      <c r="H16" s="205"/>
      <c r="I16" s="205">
        <f t="shared" si="0"/>
        <v>0</v>
      </c>
    </row>
    <row r="17" spans="1:9">
      <c r="A17" s="151">
        <f>'ADJ SUMMARY'!A14</f>
        <v>2.0199999999999996</v>
      </c>
      <c r="B17" s="152" t="str">
        <f>'ADJ SUMMARY'!C14</f>
        <v>Restate Property Tax</v>
      </c>
      <c r="C17" s="153"/>
      <c r="D17" s="153"/>
      <c r="E17" s="205"/>
      <c r="F17" s="158">
        <f>'ADJ SUMMARY'!E14</f>
        <v>0</v>
      </c>
      <c r="G17" s="205">
        <f t="shared" ref="G17:G29" si="3">SUM(E17:F17)</f>
        <v>0</v>
      </c>
      <c r="H17" s="205"/>
      <c r="I17" s="205">
        <f t="shared" si="0"/>
        <v>0</v>
      </c>
    </row>
    <row r="18" spans="1:9">
      <c r="A18" s="151">
        <f>'ADJ SUMMARY'!A15</f>
        <v>2.0299999999999994</v>
      </c>
      <c r="B18" s="152" t="str">
        <f>'ADJ SUMMARY'!C15</f>
        <v>Uncollectible Expense</v>
      </c>
      <c r="C18" s="153"/>
      <c r="D18" s="153"/>
      <c r="E18" s="205"/>
      <c r="F18" s="158">
        <f>'ADJ SUMMARY'!E15</f>
        <v>0</v>
      </c>
      <c r="G18" s="205">
        <f t="shared" si="3"/>
        <v>0</v>
      </c>
      <c r="H18" s="205"/>
      <c r="I18" s="205">
        <f t="shared" si="0"/>
        <v>0</v>
      </c>
    </row>
    <row r="19" spans="1:9">
      <c r="A19" s="151">
        <f>'ADJ SUMMARY'!A16</f>
        <v>2.0399999999999991</v>
      </c>
      <c r="B19" s="152" t="str">
        <f>'ADJ SUMMARY'!C16</f>
        <v>Regulatory Expense</v>
      </c>
      <c r="C19" s="153"/>
      <c r="D19" s="153"/>
      <c r="E19" s="205"/>
      <c r="F19" s="158">
        <f>'ADJ SUMMARY'!E16</f>
        <v>0</v>
      </c>
      <c r="G19" s="205">
        <f t="shared" si="3"/>
        <v>0</v>
      </c>
      <c r="H19" s="205"/>
      <c r="I19" s="205">
        <f t="shared" si="0"/>
        <v>0</v>
      </c>
    </row>
    <row r="20" spans="1:9">
      <c r="A20" s="151">
        <f>'ADJ SUMMARY'!A17</f>
        <v>2.0499999999999989</v>
      </c>
      <c r="B20" s="152" t="str">
        <f>'ADJ SUMMARY'!C17</f>
        <v>Injuries &amp; Damages</v>
      </c>
      <c r="C20" s="153"/>
      <c r="D20" s="153"/>
      <c r="E20" s="205"/>
      <c r="F20" s="158">
        <f>'ADJ SUMMARY'!E17</f>
        <v>0</v>
      </c>
      <c r="G20" s="205">
        <f t="shared" si="3"/>
        <v>0</v>
      </c>
      <c r="H20" s="205"/>
      <c r="I20" s="205">
        <f t="shared" si="0"/>
        <v>0</v>
      </c>
    </row>
    <row r="21" spans="1:9">
      <c r="A21" s="151">
        <f>'ADJ SUMMARY'!A18</f>
        <v>2.0599999999999987</v>
      </c>
      <c r="B21" s="152" t="str">
        <f>'ADJ SUMMARY'!C18</f>
        <v>FIT / DFIT Expense</v>
      </c>
      <c r="C21" s="153"/>
      <c r="D21" s="153"/>
      <c r="E21" s="205"/>
      <c r="F21" s="158">
        <f>'ADJ SUMMARY'!E18</f>
        <v>0</v>
      </c>
      <c r="G21" s="205">
        <f t="shared" si="3"/>
        <v>0</v>
      </c>
      <c r="H21" s="205"/>
      <c r="I21" s="205">
        <f t="shared" si="0"/>
        <v>0</v>
      </c>
    </row>
    <row r="22" spans="1:9">
      <c r="A22" s="151">
        <f>'ADJ SUMMARY'!A19</f>
        <v>2.0699999999999985</v>
      </c>
      <c r="B22" s="152" t="str">
        <f>'ADJ SUMMARY'!C19</f>
        <v>Office Space Charges to Non-Utility</v>
      </c>
      <c r="C22" s="153"/>
      <c r="D22" s="153"/>
      <c r="E22" s="205"/>
      <c r="F22" s="158">
        <f>'ADJ SUMMARY'!E19</f>
        <v>0</v>
      </c>
      <c r="G22" s="205">
        <f t="shared" si="3"/>
        <v>0</v>
      </c>
      <c r="H22" s="205"/>
      <c r="I22" s="205">
        <f t="shared" si="0"/>
        <v>0</v>
      </c>
    </row>
    <row r="23" spans="1:9">
      <c r="A23" s="151">
        <f>'ADJ SUMMARY'!A20</f>
        <v>2.0799999999999983</v>
      </c>
      <c r="B23" s="152" t="str">
        <f>'ADJ SUMMARY'!C20</f>
        <v>Restate Excise Taxes</v>
      </c>
      <c r="C23" s="153"/>
      <c r="D23" s="153"/>
      <c r="E23" s="205"/>
      <c r="F23" s="158">
        <f>'ADJ SUMMARY'!E20</f>
        <v>0</v>
      </c>
      <c r="G23" s="205">
        <f t="shared" si="3"/>
        <v>0</v>
      </c>
      <c r="H23" s="205"/>
      <c r="I23" s="205">
        <f t="shared" si="0"/>
        <v>0</v>
      </c>
    </row>
    <row r="24" spans="1:9">
      <c r="A24" s="151">
        <f>'ADJ SUMMARY'!A21</f>
        <v>2.0899999999999981</v>
      </c>
      <c r="B24" s="152" t="str">
        <f>'ADJ SUMMARY'!C21</f>
        <v>Net Gains &amp; Losses</v>
      </c>
      <c r="C24" s="153"/>
      <c r="D24" s="153"/>
      <c r="E24" s="205"/>
      <c r="F24" s="158">
        <f>'ADJ SUMMARY'!E21</f>
        <v>0</v>
      </c>
      <c r="G24" s="205">
        <f t="shared" si="3"/>
        <v>0</v>
      </c>
      <c r="H24" s="205"/>
      <c r="I24" s="205">
        <f t="shared" si="0"/>
        <v>0</v>
      </c>
    </row>
    <row r="25" spans="1:9">
      <c r="A25" s="151">
        <f>'ADJ SUMMARY'!A22</f>
        <v>2.0999999999999979</v>
      </c>
      <c r="B25" s="152" t="str">
        <f>'ADJ SUMMARY'!C22</f>
        <v>Weather Normalization / Gas Cost Adjust</v>
      </c>
      <c r="C25" s="153"/>
      <c r="D25" s="153"/>
      <c r="E25" s="205"/>
      <c r="F25" s="158">
        <f>'ADJ SUMMARY'!E22</f>
        <v>0</v>
      </c>
      <c r="G25" s="205">
        <f t="shared" si="3"/>
        <v>0</v>
      </c>
      <c r="H25" s="205"/>
      <c r="I25" s="205">
        <f t="shared" si="0"/>
        <v>0</v>
      </c>
    </row>
    <row r="26" spans="1:9">
      <c r="A26" s="151">
        <f>'ADJ SUMMARY'!A23</f>
        <v>2.1099999999999977</v>
      </c>
      <c r="B26" s="152" t="str">
        <f>'ADJ SUMMARY'!C23</f>
        <v>Eliminate Adder Schedules</v>
      </c>
      <c r="C26" s="153"/>
      <c r="D26" s="153"/>
      <c r="E26" s="205"/>
      <c r="F26" s="158">
        <f>'ADJ SUMMARY'!E23</f>
        <v>0</v>
      </c>
      <c r="G26" s="205">
        <f t="shared" si="3"/>
        <v>0</v>
      </c>
      <c r="H26" s="205"/>
      <c r="I26" s="205">
        <f t="shared" si="0"/>
        <v>0</v>
      </c>
    </row>
    <row r="27" spans="1:9">
      <c r="A27" s="151">
        <f>'ADJ SUMMARY'!A24</f>
        <v>2.1199999999999974</v>
      </c>
      <c r="B27" s="152" t="str">
        <f>'ADJ SUMMARY'!C24</f>
        <v>Misc. Restating Non-Util / Non- Recurring Expense</v>
      </c>
      <c r="C27" s="153"/>
      <c r="D27" s="153"/>
      <c r="E27" s="205"/>
      <c r="F27" s="158">
        <f>'ADJ SUMMARY'!E24</f>
        <v>0</v>
      </c>
      <c r="G27" s="205">
        <f t="shared" si="3"/>
        <v>0</v>
      </c>
      <c r="H27" s="205"/>
      <c r="I27" s="205">
        <f t="shared" si="0"/>
        <v>0</v>
      </c>
    </row>
    <row r="28" spans="1:9">
      <c r="A28" s="151">
        <f>'ADJ SUMMARY'!A25</f>
        <v>2.1299999999999972</v>
      </c>
      <c r="B28" s="152" t="str">
        <f>'ADJ SUMMARY'!C25</f>
        <v>Restating Incentives Expense</v>
      </c>
      <c r="C28" s="153"/>
      <c r="D28" s="153"/>
      <c r="E28" s="205"/>
      <c r="F28" s="158">
        <f>'ADJ SUMMARY'!E25</f>
        <v>0</v>
      </c>
      <c r="G28" s="205">
        <f t="shared" si="3"/>
        <v>0</v>
      </c>
      <c r="H28" s="205"/>
      <c r="I28" s="205">
        <f t="shared" si="0"/>
        <v>0</v>
      </c>
    </row>
    <row r="29" spans="1:9">
      <c r="A29" s="151">
        <f>'ADJ SUMMARY'!A26</f>
        <v>2.139999999999997</v>
      </c>
      <c r="B29" s="152" t="str">
        <f>'ADJ SUMMARY'!C26</f>
        <v>Restate Debt Interest</v>
      </c>
      <c r="C29" s="153"/>
      <c r="D29" s="153"/>
      <c r="E29" s="205"/>
      <c r="F29" s="158">
        <f>'ADJ SUMMARY'!E26</f>
        <v>0</v>
      </c>
      <c r="G29" s="205">
        <f t="shared" si="3"/>
        <v>0</v>
      </c>
      <c r="H29" s="205"/>
      <c r="I29" s="205">
        <f t="shared" si="0"/>
        <v>0</v>
      </c>
    </row>
    <row r="30" spans="1:9">
      <c r="B30" s="159"/>
      <c r="C30" s="153"/>
      <c r="D30" s="153"/>
      <c r="E30" s="206">
        <f>SUM(E11:E29)</f>
        <v>348658</v>
      </c>
      <c r="F30" s="206">
        <f>SUM(F11:F29)</f>
        <v>-7292</v>
      </c>
      <c r="G30" s="206">
        <f>SUM(G11:G29)</f>
        <v>341366</v>
      </c>
      <c r="H30" s="206"/>
      <c r="I30" s="206">
        <f>SUM(I11:I29)</f>
        <v>101.65999999999985</v>
      </c>
    </row>
    <row r="31" spans="1:9">
      <c r="B31" s="159"/>
      <c r="C31" s="153"/>
      <c r="D31" s="153"/>
      <c r="E31" s="206"/>
      <c r="F31" s="207"/>
      <c r="G31" s="208"/>
      <c r="H31" s="205"/>
      <c r="I31" s="205"/>
    </row>
    <row r="32" spans="1:9">
      <c r="B32" s="159"/>
      <c r="C32" s="153"/>
      <c r="D32" s="153"/>
      <c r="E32" s="206"/>
      <c r="F32" s="207"/>
      <c r="G32" s="208"/>
      <c r="H32" s="205"/>
      <c r="I32" s="205"/>
    </row>
    <row r="33" spans="1:10" ht="5.25" customHeight="1">
      <c r="C33" s="153"/>
      <c r="D33" s="153"/>
      <c r="E33" s="206"/>
      <c r="F33" s="206"/>
      <c r="G33" s="206"/>
      <c r="H33" s="205"/>
      <c r="I33" s="205"/>
    </row>
    <row r="34" spans="1:10">
      <c r="B34" s="152" t="s">
        <v>110</v>
      </c>
      <c r="C34" s="153"/>
      <c r="D34" s="153"/>
      <c r="E34" s="215">
        <f>'RR SUMMARY'!P12</f>
        <v>2.8299999999999999E-2</v>
      </c>
      <c r="F34" s="215">
        <f>E34-I34</f>
        <v>2.8299999999999999E-2</v>
      </c>
      <c r="G34" s="215"/>
      <c r="H34" s="213"/>
      <c r="I34" s="215"/>
    </row>
    <row r="35" spans="1:10" ht="6" customHeight="1">
      <c r="C35" s="153"/>
      <c r="D35" s="153"/>
      <c r="E35" s="206"/>
      <c r="F35" s="206"/>
      <c r="G35" s="206"/>
      <c r="H35" s="205"/>
      <c r="I35" s="205"/>
    </row>
    <row r="36" spans="1:10">
      <c r="B36" s="152" t="s">
        <v>106</v>
      </c>
      <c r="C36" s="153"/>
      <c r="D36" s="153"/>
      <c r="E36" s="206">
        <f>E30*E34</f>
        <v>9867.0213999999996</v>
      </c>
      <c r="F36" s="206">
        <f>F30*F34</f>
        <v>-206.36359999999999</v>
      </c>
      <c r="G36" s="206">
        <f>SUM(E36:F36)</f>
        <v>9660.657799999999</v>
      </c>
      <c r="H36" s="205"/>
      <c r="I36" s="206">
        <f>SUM(I11:I29)</f>
        <v>101.65999999999985</v>
      </c>
    </row>
    <row r="37" spans="1:10">
      <c r="C37" s="153"/>
      <c r="D37" s="153"/>
      <c r="E37" s="206"/>
      <c r="F37" s="206"/>
      <c r="G37" s="206"/>
      <c r="H37" s="205"/>
      <c r="I37" s="206"/>
    </row>
    <row r="38" spans="1:10">
      <c r="B38" s="152" t="s">
        <v>200</v>
      </c>
      <c r="C38" s="153"/>
      <c r="D38" s="153"/>
      <c r="E38" s="210">
        <v>10146</v>
      </c>
      <c r="F38" s="210"/>
      <c r="G38" s="209">
        <f>SUM(E38:F38)</f>
        <v>10146</v>
      </c>
      <c r="H38" s="205"/>
      <c r="I38" s="258"/>
    </row>
    <row r="39" spans="1:10" ht="5.25" customHeight="1">
      <c r="C39" s="153"/>
      <c r="D39" s="153"/>
      <c r="E39" s="206"/>
      <c r="F39" s="206"/>
      <c r="G39" s="206"/>
      <c r="H39" s="205"/>
      <c r="I39" s="259"/>
    </row>
    <row r="40" spans="1:10">
      <c r="B40" s="152" t="s">
        <v>107</v>
      </c>
      <c r="C40" s="153"/>
      <c r="D40" s="153"/>
      <c r="E40" s="206">
        <f>E36-E38</f>
        <v>-278.97860000000037</v>
      </c>
      <c r="F40" s="206">
        <f>F36-F38</f>
        <v>-206.36359999999999</v>
      </c>
      <c r="G40" s="206">
        <f>SUM(E40:F40)</f>
        <v>-485.34220000000039</v>
      </c>
      <c r="H40" s="205"/>
      <c r="I40" s="259"/>
    </row>
    <row r="41" spans="1:10" ht="18" customHeight="1">
      <c r="B41" s="152" t="s">
        <v>108</v>
      </c>
      <c r="D41" s="153"/>
      <c r="E41" s="212">
        <v>0.21</v>
      </c>
      <c r="F41" s="212">
        <v>0.21</v>
      </c>
      <c r="G41" s="212"/>
      <c r="H41" s="213"/>
      <c r="I41" s="212"/>
    </row>
    <row r="42" spans="1:10" ht="5.25" customHeight="1" thickBot="1">
      <c r="D42" s="153"/>
      <c r="E42" s="206"/>
      <c r="F42" s="206"/>
      <c r="G42" s="206"/>
      <c r="H42" s="205"/>
      <c r="I42" s="206"/>
    </row>
    <row r="43" spans="1:10" ht="13.8" thickBot="1">
      <c r="B43" s="152" t="s">
        <v>109</v>
      </c>
      <c r="D43" s="153"/>
      <c r="E43" s="263">
        <f>ROUND(E40*-E41,0)</f>
        <v>59</v>
      </c>
      <c r="F43" s="211">
        <f>ROUND(F40*-F41,0)</f>
        <v>43</v>
      </c>
      <c r="G43" s="211">
        <f>SUM(E43:F43)</f>
        <v>102</v>
      </c>
      <c r="H43" s="205"/>
      <c r="I43" s="211">
        <f>I36</f>
        <v>101.65999999999985</v>
      </c>
      <c r="J43" s="465" t="s">
        <v>380</v>
      </c>
    </row>
    <row r="44" spans="1:10">
      <c r="F44" s="161"/>
      <c r="J44" s="174">
        <f>I43-'ADJ DETAIL INPUT'!W53-'ADJ DETAIL INPUT'!X54</f>
        <v>-0.67635600000014051</v>
      </c>
    </row>
    <row r="45" spans="1:10" hidden="1">
      <c r="A45" s="162" t="s">
        <v>175</v>
      </c>
      <c r="B45" s="163" t="s">
        <v>176</v>
      </c>
    </row>
    <row r="46" spans="1:10" hidden="1">
      <c r="B46" s="155" t="s">
        <v>177</v>
      </c>
    </row>
    <row r="47" spans="1:10" hidden="1">
      <c r="B47" s="152" t="s">
        <v>178</v>
      </c>
      <c r="C47" s="164">
        <v>2430</v>
      </c>
      <c r="H47" s="145" t="s">
        <v>179</v>
      </c>
    </row>
    <row r="48" spans="1:10" hidden="1">
      <c r="B48" s="152" t="s">
        <v>180</v>
      </c>
      <c r="C48" s="165">
        <v>2935</v>
      </c>
      <c r="H48" s="145" t="s">
        <v>179</v>
      </c>
    </row>
    <row r="49" spans="2:6" hidden="1">
      <c r="B49" s="152" t="s">
        <v>181</v>
      </c>
      <c r="C49" s="166">
        <f>C47+C48</f>
        <v>5365</v>
      </c>
    </row>
    <row r="50" spans="2:6" hidden="1">
      <c r="C50" s="160"/>
    </row>
    <row r="51" spans="2:6" hidden="1">
      <c r="C51" s="167"/>
      <c r="D51" s="150"/>
      <c r="E51" s="150" t="s">
        <v>182</v>
      </c>
    </row>
    <row r="52" spans="2:6" hidden="1">
      <c r="C52" s="157" t="s">
        <v>183</v>
      </c>
      <c r="D52" s="157" t="s">
        <v>184</v>
      </c>
      <c r="E52" s="157" t="s">
        <v>23</v>
      </c>
    </row>
    <row r="53" spans="2:6" hidden="1">
      <c r="B53" s="152" t="s">
        <v>185</v>
      </c>
      <c r="C53" s="168" t="e">
        <f>#REF!</f>
        <v>#REF!</v>
      </c>
      <c r="D53" s="169" t="e">
        <f>ROUND(C53/$C$56,4)</f>
        <v>#REF!</v>
      </c>
      <c r="E53" s="168" t="e">
        <f>D53*E56</f>
        <v>#REF!</v>
      </c>
      <c r="F53" s="170"/>
    </row>
    <row r="54" spans="2:6" hidden="1">
      <c r="B54" s="152" t="s">
        <v>186</v>
      </c>
      <c r="C54" s="171" t="e">
        <f>#REF!</f>
        <v>#REF!</v>
      </c>
      <c r="D54" s="169" t="e">
        <f>ROUND(C54/$C$56,4)</f>
        <v>#REF!</v>
      </c>
      <c r="E54" s="171" t="e">
        <f>D54*E56</f>
        <v>#REF!</v>
      </c>
    </row>
    <row r="55" spans="2:6" hidden="1">
      <c r="B55" s="152" t="s">
        <v>187</v>
      </c>
      <c r="C55" s="171" t="e">
        <f>#REF!</f>
        <v>#REF!</v>
      </c>
      <c r="D55" s="169" t="e">
        <f>ROUND(C55/$C$56,4)-0.0001</f>
        <v>#REF!</v>
      </c>
      <c r="E55" s="171" t="e">
        <f>E56*D55</f>
        <v>#REF!</v>
      </c>
    </row>
    <row r="56" spans="2:6" hidden="1">
      <c r="B56" s="152" t="s">
        <v>188</v>
      </c>
      <c r="C56" s="172" t="e">
        <f>C53+C54+C55</f>
        <v>#REF!</v>
      </c>
      <c r="D56" s="173" t="e">
        <f>D53+D54+D55</f>
        <v>#REF!</v>
      </c>
      <c r="E56" s="172">
        <f>C49</f>
        <v>5365</v>
      </c>
    </row>
    <row r="57" spans="2:6" hidden="1">
      <c r="C57" s="174"/>
      <c r="D57" s="174"/>
      <c r="E57" s="174"/>
    </row>
    <row r="58" spans="2:6" hidden="1">
      <c r="B58" s="152" t="s">
        <v>189</v>
      </c>
      <c r="C58" s="168" t="e">
        <f>#REF!</f>
        <v>#REF!</v>
      </c>
      <c r="D58" s="169" t="e">
        <f>C58/C60</f>
        <v>#REF!</v>
      </c>
      <c r="E58" s="168" t="e">
        <f>D58*E60</f>
        <v>#REF!</v>
      </c>
    </row>
    <row r="59" spans="2:6" hidden="1">
      <c r="B59" s="152" t="s">
        <v>190</v>
      </c>
      <c r="C59" s="174" t="e">
        <f>#REF!</f>
        <v>#REF!</v>
      </c>
      <c r="D59" s="169" t="e">
        <f>C59/C60</f>
        <v>#REF!</v>
      </c>
      <c r="E59" s="174" t="e">
        <f>D59*E60</f>
        <v>#REF!</v>
      </c>
    </row>
    <row r="60" spans="2:6" hidden="1">
      <c r="B60" s="152" t="s">
        <v>188</v>
      </c>
      <c r="C60" s="172" t="e">
        <f>C58+C59</f>
        <v>#REF!</v>
      </c>
      <c r="D60" s="173" t="e">
        <f>D58+D59</f>
        <v>#REF!</v>
      </c>
      <c r="E60" s="172" t="e">
        <f>E53</f>
        <v>#REF!</v>
      </c>
    </row>
    <row r="61" spans="2:6" hidden="1">
      <c r="C61" s="174"/>
      <c r="D61" s="174"/>
      <c r="E61" s="174"/>
    </row>
    <row r="62" spans="2:6" hidden="1">
      <c r="B62" s="152" t="s">
        <v>191</v>
      </c>
      <c r="C62" s="168" t="e">
        <f>#REF!</f>
        <v>#REF!</v>
      </c>
      <c r="D62" s="175" t="e">
        <f>C62/C64</f>
        <v>#REF!</v>
      </c>
      <c r="E62" s="168" t="e">
        <f>E64*D62</f>
        <v>#REF!</v>
      </c>
    </row>
    <row r="63" spans="2:6" hidden="1">
      <c r="B63" s="152" t="s">
        <v>192</v>
      </c>
      <c r="C63" s="174" t="e">
        <f>#REF!</f>
        <v>#REF!</v>
      </c>
      <c r="D63" s="176" t="e">
        <f>C63/C64</f>
        <v>#REF!</v>
      </c>
      <c r="E63" s="174" t="e">
        <f>E64*D63</f>
        <v>#REF!</v>
      </c>
    </row>
    <row r="64" spans="2:6" hidden="1">
      <c r="B64" s="152" t="s">
        <v>188</v>
      </c>
      <c r="C64" s="172" t="e">
        <f>SUM(C62:C63)</f>
        <v>#REF!</v>
      </c>
      <c r="D64" s="177" t="e">
        <f>SUM(D62:D63)</f>
        <v>#REF!</v>
      </c>
      <c r="E64" s="172" t="e">
        <f>E54</f>
        <v>#REF!</v>
      </c>
    </row>
    <row r="65" spans="1:6" hidden="1">
      <c r="A65" s="178" t="str">
        <f>A1</f>
        <v>AVISTA UTILITIES</v>
      </c>
      <c r="C65" s="179"/>
      <c r="D65" s="180"/>
      <c r="E65" s="179"/>
      <c r="F65" s="180"/>
    </row>
    <row r="66" spans="1:6" hidden="1">
      <c r="A66" s="178" t="str">
        <f>A2</f>
        <v>Restate Debt Interest</v>
      </c>
      <c r="C66" s="179"/>
      <c r="D66" s="180"/>
      <c r="E66" s="179"/>
      <c r="F66" s="180"/>
    </row>
    <row r="67" spans="1:6" hidden="1">
      <c r="A67" s="178" t="s">
        <v>193</v>
      </c>
      <c r="C67" s="179"/>
      <c r="D67" s="180"/>
      <c r="E67" s="179"/>
      <c r="F67" s="180"/>
    </row>
    <row r="68" spans="1:6" hidden="1">
      <c r="A68" s="181" t="str">
        <f>A4</f>
        <v>TWELVE MONTHS ENDED DECEMBER 31, 2018</v>
      </c>
      <c r="C68" s="148"/>
      <c r="D68" s="180"/>
      <c r="E68" s="148"/>
      <c r="F68" s="180"/>
    </row>
    <row r="69" spans="1:6" hidden="1">
      <c r="A69" s="182" t="s">
        <v>103</v>
      </c>
      <c r="C69" s="179"/>
      <c r="D69" s="180"/>
      <c r="E69" s="180"/>
      <c r="F69" s="180"/>
    </row>
    <row r="70" spans="1:6" hidden="1">
      <c r="C70" s="153"/>
      <c r="D70" s="153"/>
      <c r="E70" s="154"/>
      <c r="F70" s="150" t="s">
        <v>18</v>
      </c>
    </row>
    <row r="71" spans="1:6" hidden="1">
      <c r="B71" s="155" t="s">
        <v>104</v>
      </c>
      <c r="C71" s="153"/>
      <c r="D71" s="153"/>
      <c r="E71" s="154"/>
      <c r="F71" s="157" t="s">
        <v>105</v>
      </c>
    </row>
    <row r="72" spans="1:6" hidden="1">
      <c r="A72" s="151" t="e">
        <f>'[3]ADJ SUMMARY'!#REF!</f>
        <v>#REF!</v>
      </c>
      <c r="B72" s="152" t="e">
        <f>'[3]ADJ SUMMARY'!#REF!</f>
        <v>#REF!</v>
      </c>
      <c r="C72" s="153"/>
      <c r="D72" s="153"/>
      <c r="E72" s="160"/>
      <c r="F72" s="183" t="e">
        <f>'[3]ADJ SUMMARY'!#REF!</f>
        <v>#REF!</v>
      </c>
    </row>
    <row r="73" spans="1:6" hidden="1">
      <c r="A73" s="151" t="e">
        <f>'[3]ADJ SUMMARY'!#REF!</f>
        <v>#REF!</v>
      </c>
      <c r="B73" s="152" t="e">
        <f>'[3]ADJ SUMMARY'!#REF!</f>
        <v>#REF!</v>
      </c>
      <c r="C73" s="153"/>
      <c r="D73" s="153"/>
      <c r="E73" s="160"/>
      <c r="F73" s="183" t="e">
        <f>'[3]ADJ SUMMARY'!#REF!</f>
        <v>#REF!</v>
      </c>
    </row>
    <row r="74" spans="1:6" hidden="1">
      <c r="A74" s="151" t="e">
        <f>'[3]ADJ SUMMARY'!#REF!</f>
        <v>#REF!</v>
      </c>
      <c r="B74" s="152" t="e">
        <f>'[3]ADJ SUMMARY'!#REF!</f>
        <v>#REF!</v>
      </c>
      <c r="C74" s="153"/>
      <c r="D74" s="153"/>
      <c r="E74" s="160"/>
      <c r="F74" s="183" t="e">
        <f>'[3]ADJ SUMMARY'!#REF!</f>
        <v>#REF!</v>
      </c>
    </row>
    <row r="75" spans="1:6" hidden="1">
      <c r="A75" s="151" t="e">
        <f>'[3]ADJ SUMMARY'!#REF!</f>
        <v>#REF!</v>
      </c>
      <c r="B75" s="152" t="e">
        <f>'[3]ADJ SUMMARY'!#REF!</f>
        <v>#REF!</v>
      </c>
      <c r="C75" s="153"/>
      <c r="D75" s="153"/>
      <c r="E75" s="160"/>
      <c r="F75" s="183" t="e">
        <f>'[3]ADJ SUMMARY'!#REF!</f>
        <v>#REF!</v>
      </c>
    </row>
    <row r="76" spans="1:6" hidden="1">
      <c r="A76" s="151" t="e">
        <f>'[3]ADJ SUMMARY'!#REF!</f>
        <v>#REF!</v>
      </c>
      <c r="B76" s="152" t="e">
        <f>'[3]ADJ SUMMARY'!#REF!</f>
        <v>#REF!</v>
      </c>
      <c r="C76" s="153"/>
      <c r="D76" s="153"/>
      <c r="E76" s="160"/>
      <c r="F76" s="183" t="e">
        <f>'[3]ADJ SUMMARY'!#REF!</f>
        <v>#REF!</v>
      </c>
    </row>
    <row r="77" spans="1:6" hidden="1">
      <c r="A77" s="151" t="e">
        <f>'[3]ADJ SUMMARY'!#REF!</f>
        <v>#REF!</v>
      </c>
      <c r="B77" s="152" t="e">
        <f>'[3]ADJ SUMMARY'!#REF!</f>
        <v>#REF!</v>
      </c>
      <c r="C77" s="153"/>
      <c r="D77" s="153"/>
      <c r="E77" s="160"/>
      <c r="F77" s="183" t="e">
        <f>'[3]ADJ SUMMARY'!#REF!</f>
        <v>#REF!</v>
      </c>
    </row>
    <row r="78" spans="1:6" hidden="1">
      <c r="A78" s="151" t="e">
        <f>'[3]ADJ SUMMARY'!#REF!</f>
        <v>#REF!</v>
      </c>
      <c r="B78" s="152" t="e">
        <f>'[3]ADJ SUMMARY'!#REF!</f>
        <v>#REF!</v>
      </c>
      <c r="C78" s="153"/>
      <c r="D78" s="153"/>
      <c r="E78" s="160"/>
      <c r="F78" s="183" t="e">
        <f>'[3]ADJ SUMMARY'!#REF!</f>
        <v>#REF!</v>
      </c>
    </row>
    <row r="79" spans="1:6" hidden="1">
      <c r="A79" s="151" t="e">
        <f>'[3]ADJ SUMMARY'!#REF!</f>
        <v>#REF!</v>
      </c>
      <c r="B79" s="152" t="e">
        <f>'[3]ADJ SUMMARY'!#REF!</f>
        <v>#REF!</v>
      </c>
      <c r="C79" s="153"/>
      <c r="D79" s="153"/>
      <c r="E79" s="160"/>
      <c r="F79" s="183" t="e">
        <f>'[3]ADJ SUMMARY'!#REF!</f>
        <v>#REF!</v>
      </c>
    </row>
    <row r="80" spans="1:6" hidden="1">
      <c r="A80" s="151" t="e">
        <f>'[3]ADJ SUMMARY'!#REF!</f>
        <v>#REF!</v>
      </c>
      <c r="B80" s="152" t="e">
        <f>'[3]ADJ SUMMARY'!#REF!</f>
        <v>#REF!</v>
      </c>
      <c r="C80" s="153"/>
      <c r="D80" s="153"/>
      <c r="E80" s="160"/>
      <c r="F80" s="183" t="e">
        <f>'[3]ADJ SUMMARY'!#REF!</f>
        <v>#REF!</v>
      </c>
    </row>
    <row r="81" spans="1:6" hidden="1">
      <c r="A81" s="151" t="e">
        <f>'[3]ADJ SUMMARY'!#REF!</f>
        <v>#REF!</v>
      </c>
      <c r="B81" s="152" t="e">
        <f>'[3]ADJ SUMMARY'!#REF!</f>
        <v>#REF!</v>
      </c>
      <c r="C81" s="153"/>
      <c r="D81" s="153"/>
      <c r="E81" s="160"/>
      <c r="F81" s="183" t="e">
        <f>'[3]ADJ SUMMARY'!#REF!</f>
        <v>#REF!</v>
      </c>
    </row>
    <row r="82" spans="1:6" hidden="1">
      <c r="A82" s="151" t="e">
        <f>'[3]ADJ SUMMARY'!#REF!</f>
        <v>#REF!</v>
      </c>
      <c r="B82" s="152" t="e">
        <f>'[3]ADJ SUMMARY'!#REF!</f>
        <v>#REF!</v>
      </c>
      <c r="C82" s="153"/>
      <c r="D82" s="153"/>
      <c r="E82" s="160"/>
      <c r="F82" s="183" t="e">
        <f>'[3]ADJ SUMMARY'!#REF!</f>
        <v>#REF!</v>
      </c>
    </row>
    <row r="83" spans="1:6" hidden="1">
      <c r="A83" s="151" t="e">
        <f>'[3]ADJ SUMMARY'!#REF!</f>
        <v>#REF!</v>
      </c>
      <c r="B83" s="152" t="e">
        <f>'[3]ADJ SUMMARY'!#REF!</f>
        <v>#REF!</v>
      </c>
      <c r="C83" s="153"/>
      <c r="D83" s="153"/>
      <c r="E83" s="160"/>
      <c r="F83" s="183" t="e">
        <f>'[3]ADJ SUMMARY'!#REF!</f>
        <v>#REF!</v>
      </c>
    </row>
    <row r="84" spans="1:6" hidden="1">
      <c r="A84" s="151" t="e">
        <f>'[3]ADJ SUMMARY'!#REF!</f>
        <v>#REF!</v>
      </c>
      <c r="B84" s="152" t="e">
        <f>'[3]ADJ SUMMARY'!#REF!</f>
        <v>#REF!</v>
      </c>
      <c r="C84" s="153"/>
      <c r="D84" s="153"/>
      <c r="E84" s="160"/>
      <c r="F84" s="183" t="e">
        <f>'[3]ADJ SUMMARY'!#REF!</f>
        <v>#REF!</v>
      </c>
    </row>
    <row r="85" spans="1:6" hidden="1">
      <c r="A85" s="151" t="e">
        <f>'[3]ADJ SUMMARY'!#REF!</f>
        <v>#REF!</v>
      </c>
      <c r="B85" s="152" t="e">
        <f>'[3]ADJ SUMMARY'!#REF!</f>
        <v>#REF!</v>
      </c>
      <c r="C85" s="153"/>
      <c r="D85" s="153"/>
      <c r="E85" s="160"/>
      <c r="F85" s="183" t="e">
        <f>'[3]ADJ SUMMARY'!#REF!</f>
        <v>#REF!</v>
      </c>
    </row>
    <row r="86" spans="1:6" hidden="1">
      <c r="A86" s="151" t="e">
        <f>'[3]ADJ SUMMARY'!#REF!</f>
        <v>#REF!</v>
      </c>
      <c r="B86" s="152" t="e">
        <f>'[3]ADJ SUMMARY'!#REF!</f>
        <v>#REF!</v>
      </c>
      <c r="C86" s="153"/>
      <c r="D86" s="153"/>
      <c r="E86" s="160"/>
      <c r="F86" s="183" t="e">
        <f>'[3]ADJ SUMMARY'!#REF!</f>
        <v>#REF!</v>
      </c>
    </row>
    <row r="87" spans="1:6" hidden="1">
      <c r="A87" s="151" t="e">
        <f>'[3]ADJ SUMMARY'!#REF!</f>
        <v>#REF!</v>
      </c>
      <c r="B87" s="152" t="e">
        <f>'[3]ADJ SUMMARY'!#REF!</f>
        <v>#REF!</v>
      </c>
      <c r="C87" s="153"/>
      <c r="D87" s="153"/>
      <c r="E87" s="160"/>
      <c r="F87" s="183" t="e">
        <f>'[3]ADJ SUMMARY'!#REF!</f>
        <v>#REF!</v>
      </c>
    </row>
    <row r="88" spans="1:6" hidden="1">
      <c r="A88" s="151" t="e">
        <f>'[3]ADJ SUMMARY'!#REF!</f>
        <v>#REF!</v>
      </c>
      <c r="B88" s="152" t="e">
        <f>'[3]ADJ SUMMARY'!#REF!</f>
        <v>#REF!</v>
      </c>
      <c r="C88" s="153"/>
      <c r="D88" s="153"/>
      <c r="E88" s="160"/>
      <c r="F88" s="183" t="e">
        <f>'[3]ADJ SUMMARY'!#REF!</f>
        <v>#REF!</v>
      </c>
    </row>
    <row r="89" spans="1:6" hidden="1">
      <c r="A89" s="151" t="e">
        <f>'[3]ADJ SUMMARY'!#REF!</f>
        <v>#REF!</v>
      </c>
      <c r="B89" s="152" t="e">
        <f>'[3]ADJ SUMMARY'!#REF!</f>
        <v>#REF!</v>
      </c>
      <c r="C89" s="153"/>
      <c r="D89" s="153"/>
      <c r="E89" s="160"/>
      <c r="F89" s="183" t="e">
        <f>'[3]ADJ SUMMARY'!#REF!</f>
        <v>#REF!</v>
      </c>
    </row>
    <row r="90" spans="1:6" hidden="1">
      <c r="A90" s="151" t="e">
        <f>'[3]ADJ SUMMARY'!#REF!</f>
        <v>#REF!</v>
      </c>
      <c r="B90" s="152" t="e">
        <f>'[3]ADJ SUMMARY'!#REF!</f>
        <v>#REF!</v>
      </c>
      <c r="C90" s="153"/>
      <c r="D90" s="153"/>
      <c r="E90" s="160"/>
      <c r="F90" s="183" t="e">
        <f>'[3]ADJ SUMMARY'!#REF!</f>
        <v>#REF!</v>
      </c>
    </row>
    <row r="91" spans="1:6" hidden="1">
      <c r="A91" s="151" t="e">
        <f>'[3]ADJ SUMMARY'!#REF!</f>
        <v>#REF!</v>
      </c>
      <c r="B91" s="152" t="e">
        <f>'[3]ADJ SUMMARY'!#REF!</f>
        <v>#REF!</v>
      </c>
      <c r="C91" s="153"/>
      <c r="D91" s="153"/>
      <c r="E91" s="160"/>
      <c r="F91" s="183" t="e">
        <f>'[3]ADJ SUMMARY'!#REF!</f>
        <v>#REF!</v>
      </c>
    </row>
    <row r="92" spans="1:6" hidden="1">
      <c r="A92" s="151" t="e">
        <f>'[3]ADJ SUMMARY'!#REF!</f>
        <v>#REF!</v>
      </c>
      <c r="B92" s="152" t="e">
        <f>'[3]ADJ SUMMARY'!#REF!</f>
        <v>#REF!</v>
      </c>
      <c r="C92" s="153"/>
      <c r="D92" s="153"/>
      <c r="E92" s="160"/>
      <c r="F92" s="183" t="e">
        <f>'[3]ADJ SUMMARY'!#REF!</f>
        <v>#REF!</v>
      </c>
    </row>
    <row r="93" spans="1:6" ht="5.25" hidden="1" customHeight="1">
      <c r="C93" s="153"/>
      <c r="D93" s="153"/>
      <c r="E93" s="160"/>
      <c r="F93" s="183"/>
    </row>
    <row r="94" spans="1:6" ht="13.5" hidden="1" customHeight="1">
      <c r="A94" s="151" t="e">
        <f>'[3]ADJ SUMMARY'!#REF!</f>
        <v>#REF!</v>
      </c>
      <c r="B94" s="152" t="e">
        <f>'[3]ADJ SUMMARY'!#REF!</f>
        <v>#REF!</v>
      </c>
      <c r="C94" s="153"/>
      <c r="D94" s="153"/>
      <c r="E94" s="160"/>
      <c r="F94" s="183" t="e">
        <f>'[3]ADJ SUMMARY'!#REF!</f>
        <v>#REF!</v>
      </c>
    </row>
    <row r="95" spans="1:6" hidden="1">
      <c r="A95" s="151" t="e">
        <f>'[3]ADJ SUMMARY'!#REF!</f>
        <v>#REF!</v>
      </c>
      <c r="B95" s="152" t="e">
        <f>'[3]ADJ SUMMARY'!#REF!</f>
        <v>#REF!</v>
      </c>
      <c r="C95" s="153"/>
      <c r="D95" s="153"/>
      <c r="E95" s="160"/>
      <c r="F95" s="183" t="e">
        <f>'[3]ADJ SUMMARY'!#REF!</f>
        <v>#REF!</v>
      </c>
    </row>
    <row r="96" spans="1:6" hidden="1">
      <c r="A96" s="151" t="e">
        <f>'[3]ADJ SUMMARY'!#REF!</f>
        <v>#REF!</v>
      </c>
      <c r="B96" s="152" t="e">
        <f>'[3]ADJ SUMMARY'!#REF!</f>
        <v>#REF!</v>
      </c>
      <c r="C96" s="153"/>
      <c r="D96" s="153"/>
      <c r="E96" s="160"/>
      <c r="F96" s="183" t="e">
        <f>'[3]ADJ SUMMARY'!#REF!</f>
        <v>#REF!</v>
      </c>
    </row>
    <row r="97" spans="1:9" hidden="1">
      <c r="A97" s="151" t="e">
        <f>'[3]ADJ SUMMARY'!#REF!</f>
        <v>#REF!</v>
      </c>
      <c r="B97" s="152" t="e">
        <f>'[3]ADJ SUMMARY'!#REF!</f>
        <v>#REF!</v>
      </c>
      <c r="C97" s="153"/>
      <c r="D97" s="153"/>
      <c r="E97" s="160"/>
      <c r="F97" s="183" t="e">
        <f>'[3]ADJ SUMMARY'!#REF!</f>
        <v>#REF!</v>
      </c>
    </row>
    <row r="98" spans="1:9" hidden="1">
      <c r="A98" s="151" t="e">
        <f>'[3]ADJ SUMMARY'!#REF!</f>
        <v>#REF!</v>
      </c>
      <c r="B98" s="152" t="e">
        <f>'[3]ADJ SUMMARY'!#REF!</f>
        <v>#REF!</v>
      </c>
      <c r="C98" s="153"/>
      <c r="D98" s="153"/>
      <c r="E98" s="160"/>
      <c r="F98" s="183" t="e">
        <f>'[3]ADJ SUMMARY'!#REF!</f>
        <v>#REF!</v>
      </c>
    </row>
    <row r="99" spans="1:9" hidden="1">
      <c r="A99" s="151" t="e">
        <f>'[3]ADJ SUMMARY'!#REF!</f>
        <v>#REF!</v>
      </c>
      <c r="B99" s="152" t="e">
        <f>'[3]ADJ SUMMARY'!#REF!</f>
        <v>#REF!</v>
      </c>
      <c r="C99" s="153"/>
      <c r="D99" s="153"/>
      <c r="E99" s="160"/>
      <c r="F99" s="183" t="e">
        <f>'[3]ADJ SUMMARY'!#REF!</f>
        <v>#REF!</v>
      </c>
    </row>
    <row r="100" spans="1:9" hidden="1">
      <c r="A100" s="151" t="e">
        <f>'[3]ADJ SUMMARY'!#REF!</f>
        <v>#REF!</v>
      </c>
      <c r="B100" s="152" t="e">
        <f>'[3]ADJ SUMMARY'!#REF!</f>
        <v>#REF!</v>
      </c>
      <c r="C100" s="153"/>
      <c r="D100" s="153"/>
      <c r="E100" s="160"/>
      <c r="F100" s="183" t="e">
        <f>'[3]ADJ SUMMARY'!#REF!</f>
        <v>#REF!</v>
      </c>
    </row>
    <row r="101" spans="1:9" hidden="1">
      <c r="A101" s="151" t="e">
        <f>'[3]ADJ SUMMARY'!#REF!</f>
        <v>#REF!</v>
      </c>
      <c r="B101" s="152" t="e">
        <f>'[3]ADJ SUMMARY'!#REF!</f>
        <v>#REF!</v>
      </c>
      <c r="C101" s="153"/>
      <c r="D101" s="153"/>
      <c r="E101" s="160"/>
      <c r="F101" s="183" t="e">
        <f>'[3]ADJ SUMMARY'!#REF!</f>
        <v>#REF!</v>
      </c>
    </row>
    <row r="102" spans="1:9" hidden="1">
      <c r="A102" s="151" t="e">
        <f>'[3]ADJ SUMMARY'!#REF!</f>
        <v>#REF!</v>
      </c>
      <c r="B102" s="152" t="e">
        <f>'[3]ADJ SUMMARY'!#REF!</f>
        <v>#REF!</v>
      </c>
      <c r="C102" s="153"/>
      <c r="D102" s="153"/>
      <c r="E102" s="160"/>
      <c r="F102" s="183" t="e">
        <f>'[3]ADJ SUMMARY'!#REF!</f>
        <v>#REF!</v>
      </c>
    </row>
    <row r="103" spans="1:9" hidden="1">
      <c r="A103" s="151" t="e">
        <f>'[3]ADJ SUMMARY'!#REF!</f>
        <v>#REF!</v>
      </c>
      <c r="B103" s="152" t="e">
        <f>'[3]ADJ SUMMARY'!#REF!</f>
        <v>#REF!</v>
      </c>
      <c r="C103" s="153"/>
      <c r="D103" s="153"/>
      <c r="E103" s="160"/>
      <c r="F103" s="183" t="e">
        <f>'[3]ADJ SUMMARY'!#REF!</f>
        <v>#REF!</v>
      </c>
    </row>
    <row r="104" spans="1:9" hidden="1">
      <c r="A104" s="151" t="e">
        <f>'[3]ADJ SUMMARY'!#REF!</f>
        <v>#REF!</v>
      </c>
      <c r="B104" s="152" t="e">
        <f>'[3]ADJ SUMMARY'!#REF!</f>
        <v>#REF!</v>
      </c>
      <c r="C104" s="153"/>
      <c r="D104" s="153"/>
      <c r="E104" s="160"/>
      <c r="F104" s="183" t="e">
        <f>'[3]ADJ SUMMARY'!#REF!</f>
        <v>#REF!</v>
      </c>
    </row>
    <row r="105" spans="1:9" hidden="1">
      <c r="A105" s="151" t="e">
        <f>'[3]ADJ SUMMARY'!#REF!</f>
        <v>#REF!</v>
      </c>
      <c r="B105" s="152" t="e">
        <f>'[3]ADJ SUMMARY'!#REF!</f>
        <v>#REF!</v>
      </c>
      <c r="C105" s="153"/>
      <c r="D105" s="153"/>
      <c r="E105" s="160"/>
      <c r="F105" s="183" t="e">
        <f>'[3]ADJ SUMMARY'!#REF!</f>
        <v>#REF!</v>
      </c>
    </row>
    <row r="106" spans="1:9" hidden="1">
      <c r="A106" s="151" t="e">
        <f>'[3]ADJ SUMMARY'!#REF!</f>
        <v>#REF!</v>
      </c>
      <c r="B106" s="152" t="e">
        <f>'[3]ADJ SUMMARY'!#REF!</f>
        <v>#REF!</v>
      </c>
      <c r="C106" s="153"/>
      <c r="D106" s="153"/>
      <c r="E106" s="160"/>
      <c r="F106" s="183" t="e">
        <f>'[3]ADJ SUMMARY'!#REF!</f>
        <v>#REF!</v>
      </c>
    </row>
    <row r="107" spans="1:9" hidden="1">
      <c r="A107" s="151" t="e">
        <f>'[3]ADJ SUMMARY'!#REF!</f>
        <v>#REF!</v>
      </c>
      <c r="B107" s="152" t="e">
        <f>'[3]ADJ SUMMARY'!#REF!</f>
        <v>#REF!</v>
      </c>
      <c r="C107" s="153"/>
      <c r="D107" s="153"/>
      <c r="E107" s="160"/>
      <c r="F107" s="183" t="e">
        <f>'[3]ADJ SUMMARY'!#REF!</f>
        <v>#REF!</v>
      </c>
    </row>
    <row r="108" spans="1:9" ht="13.5" hidden="1" customHeight="1">
      <c r="A108" s="151" t="e">
        <f>'[3]ADJ SUMMARY'!#REF!</f>
        <v>#REF!</v>
      </c>
      <c r="B108" s="152" t="e">
        <f>'[3]ADJ SUMMARY'!#REF!</f>
        <v>#REF!</v>
      </c>
      <c r="C108" s="153"/>
      <c r="D108" s="153"/>
      <c r="E108" s="160"/>
      <c r="F108" s="183" t="e">
        <f>'[3]ADJ SUMMARY'!#REF!</f>
        <v>#REF!</v>
      </c>
    </row>
    <row r="109" spans="1:9" ht="0.75" hidden="1" customHeight="1">
      <c r="A109" s="151" t="e">
        <f>'[3]ADJ SUMMARY'!#REF!</f>
        <v>#REF!</v>
      </c>
      <c r="B109" s="152" t="e">
        <f>'[3]ADJ SUMMARY'!#REF!</f>
        <v>#REF!</v>
      </c>
      <c r="C109" s="153"/>
      <c r="D109" s="153"/>
      <c r="E109" s="160"/>
      <c r="F109" s="183" t="e">
        <f>'[3]ADJ SUMMARY'!#REF!</f>
        <v>#REF!</v>
      </c>
    </row>
    <row r="110" spans="1:9" ht="13.5" hidden="1" customHeight="1">
      <c r="B110" s="152" t="s">
        <v>194</v>
      </c>
      <c r="C110" s="153"/>
      <c r="D110" s="153"/>
      <c r="E110" s="160"/>
      <c r="F110" s="166" t="e">
        <f>SUM(F72:F109)</f>
        <v>#REF!</v>
      </c>
    </row>
    <row r="111" spans="1:9" hidden="1">
      <c r="C111" s="153"/>
      <c r="D111" s="153"/>
      <c r="E111" s="153"/>
      <c r="F111" s="145"/>
      <c r="G111" s="184"/>
    </row>
    <row r="112" spans="1:9" hidden="1">
      <c r="B112" s="152" t="str">
        <f>B34</f>
        <v>Weighted Average Cost of Debt</v>
      </c>
      <c r="C112" s="185"/>
      <c r="D112" s="185"/>
      <c r="E112" s="186"/>
      <c r="F112" s="187" t="e">
        <f>'[3]RR SUMMARY'!#REF!</f>
        <v>#REF!</v>
      </c>
      <c r="H112" s="188" t="s">
        <v>195</v>
      </c>
      <c r="I112" s="174"/>
    </row>
    <row r="113" spans="1:8" hidden="1">
      <c r="C113" s="153"/>
      <c r="D113" s="153"/>
      <c r="F113" s="145"/>
    </row>
    <row r="114" spans="1:8" hidden="1">
      <c r="B114" s="152" t="s">
        <v>106</v>
      </c>
      <c r="C114" s="153"/>
      <c r="D114" s="153"/>
      <c r="E114" s="160"/>
      <c r="F114" s="160" t="e">
        <f>F110*F112</f>
        <v>#REF!</v>
      </c>
    </row>
    <row r="115" spans="1:8" hidden="1">
      <c r="C115" s="153"/>
      <c r="D115" s="153"/>
      <c r="E115" s="153"/>
      <c r="F115" s="145"/>
    </row>
    <row r="116" spans="1:8" hidden="1">
      <c r="B116" s="152" t="s">
        <v>196</v>
      </c>
      <c r="C116" s="153"/>
      <c r="D116" s="153"/>
      <c r="F116" s="189">
        <v>21469</v>
      </c>
      <c r="H116" s="190" t="s">
        <v>197</v>
      </c>
    </row>
    <row r="117" spans="1:8" hidden="1">
      <c r="C117" s="153"/>
      <c r="D117" s="153"/>
      <c r="E117" s="153"/>
      <c r="F117" s="145"/>
    </row>
    <row r="118" spans="1:8" hidden="1">
      <c r="B118" s="152" t="s">
        <v>107</v>
      </c>
      <c r="C118" s="153"/>
      <c r="D118" s="153"/>
      <c r="E118" s="160"/>
      <c r="F118" s="160" t="e">
        <f>F114-F116</f>
        <v>#REF!</v>
      </c>
    </row>
    <row r="119" spans="1:8" hidden="1">
      <c r="B119" s="152" t="s">
        <v>108</v>
      </c>
      <c r="D119" s="153"/>
      <c r="E119" s="191"/>
      <c r="F119" s="192">
        <v>0.35</v>
      </c>
    </row>
    <row r="120" spans="1:8" hidden="1">
      <c r="D120" s="153"/>
      <c r="E120" s="153"/>
      <c r="F120" s="145"/>
    </row>
    <row r="121" spans="1:8" hidden="1">
      <c r="B121" s="152" t="s">
        <v>109</v>
      </c>
      <c r="D121" s="153"/>
      <c r="E121" s="160"/>
      <c r="F121" s="160" t="e">
        <f>F118*-F119</f>
        <v>#REF!</v>
      </c>
      <c r="G121" s="160"/>
    </row>
    <row r="122" spans="1:8" ht="13.8" hidden="1" thickTop="1">
      <c r="D122" s="153"/>
      <c r="E122" s="160"/>
      <c r="F122" s="193"/>
    </row>
    <row r="123" spans="1:8" hidden="1">
      <c r="A123" s="194"/>
      <c r="F123" s="145"/>
    </row>
    <row r="124" spans="1:8" hidden="1">
      <c r="A124" s="194"/>
      <c r="B124" s="155" t="s">
        <v>177</v>
      </c>
      <c r="F124" s="145"/>
    </row>
    <row r="125" spans="1:8" hidden="1">
      <c r="A125" s="194"/>
      <c r="B125" s="152" t="s">
        <v>178</v>
      </c>
      <c r="C125" s="160">
        <f>C47</f>
        <v>2430</v>
      </c>
      <c r="F125" s="145"/>
    </row>
    <row r="126" spans="1:8" hidden="1">
      <c r="A126" s="194"/>
      <c r="B126" s="152" t="s">
        <v>180</v>
      </c>
      <c r="C126" s="145">
        <f>C48</f>
        <v>2935</v>
      </c>
      <c r="F126" s="145"/>
    </row>
    <row r="127" spans="1:8" hidden="1">
      <c r="A127" s="194"/>
      <c r="B127" s="152" t="s">
        <v>181</v>
      </c>
      <c r="C127" s="166">
        <f>C125+C126</f>
        <v>5365</v>
      </c>
      <c r="F127" s="145"/>
    </row>
    <row r="128" spans="1:8" hidden="1">
      <c r="A128" s="194"/>
      <c r="C128" s="160"/>
      <c r="F128" s="145"/>
    </row>
    <row r="129" spans="1:6" hidden="1">
      <c r="A129" s="194"/>
      <c r="C129" s="167"/>
      <c r="D129" s="150"/>
      <c r="E129" s="150" t="s">
        <v>182</v>
      </c>
      <c r="F129" s="145"/>
    </row>
    <row r="130" spans="1:6" hidden="1">
      <c r="A130" s="194"/>
      <c r="C130" s="157" t="s">
        <v>183</v>
      </c>
      <c r="D130" s="157" t="s">
        <v>184</v>
      </c>
      <c r="E130" s="157" t="s">
        <v>23</v>
      </c>
      <c r="F130" s="145"/>
    </row>
    <row r="131" spans="1:6" hidden="1">
      <c r="A131" s="194"/>
      <c r="B131" s="152" t="s">
        <v>185</v>
      </c>
      <c r="C131" s="160" t="e">
        <f>$C$53</f>
        <v>#REF!</v>
      </c>
      <c r="D131" s="195" t="e">
        <f>C131/C134</f>
        <v>#REF!</v>
      </c>
      <c r="E131" s="160" t="e">
        <f>D131*E134</f>
        <v>#REF!</v>
      </c>
      <c r="F131" s="145"/>
    </row>
    <row r="132" spans="1:6" hidden="1">
      <c r="A132" s="194"/>
      <c r="B132" s="152" t="s">
        <v>186</v>
      </c>
      <c r="C132" s="145" t="e">
        <f>$C$54</f>
        <v>#REF!</v>
      </c>
      <c r="D132" s="196" t="e">
        <f>C132/C134</f>
        <v>#REF!</v>
      </c>
      <c r="E132" s="197" t="e">
        <f>D132*E134</f>
        <v>#REF!</v>
      </c>
      <c r="F132" s="145"/>
    </row>
    <row r="133" spans="1:6" hidden="1">
      <c r="A133" s="194"/>
      <c r="B133" s="152" t="s">
        <v>187</v>
      </c>
      <c r="C133" s="145" t="e">
        <f>$C$55</f>
        <v>#REF!</v>
      </c>
      <c r="D133" s="196" t="e">
        <f>C133/C134</f>
        <v>#REF!</v>
      </c>
      <c r="E133" s="197" t="e">
        <f>E134*D133</f>
        <v>#REF!</v>
      </c>
      <c r="F133" s="145"/>
    </row>
    <row r="134" spans="1:6" hidden="1">
      <c r="A134" s="194"/>
      <c r="B134" s="152" t="s">
        <v>188</v>
      </c>
      <c r="C134" s="166" t="e">
        <f>C131+C132+C133</f>
        <v>#REF!</v>
      </c>
      <c r="D134" s="198" t="e">
        <f>D131+D132+D133</f>
        <v>#REF!</v>
      </c>
      <c r="E134" s="166">
        <f>C127</f>
        <v>5365</v>
      </c>
      <c r="F134" s="145"/>
    </row>
    <row r="135" spans="1:6" hidden="1">
      <c r="A135" s="194"/>
      <c r="F135" s="145"/>
    </row>
    <row r="136" spans="1:6" hidden="1">
      <c r="A136" s="194"/>
      <c r="B136" s="152" t="s">
        <v>189</v>
      </c>
      <c r="C136" s="160" t="e">
        <f>$C$58</f>
        <v>#REF!</v>
      </c>
      <c r="D136" s="195" t="e">
        <f>C136/C138</f>
        <v>#REF!</v>
      </c>
      <c r="E136" s="160" t="e">
        <f>D136*E138</f>
        <v>#REF!</v>
      </c>
      <c r="F136" s="145"/>
    </row>
    <row r="137" spans="1:6" hidden="1">
      <c r="A137" s="194"/>
      <c r="B137" s="152" t="s">
        <v>190</v>
      </c>
      <c r="C137" s="145" t="e">
        <f>$C$59</f>
        <v>#REF!</v>
      </c>
      <c r="D137" s="195" t="e">
        <f>C137/C138</f>
        <v>#REF!</v>
      </c>
      <c r="E137" s="145" t="e">
        <f>D137*E138</f>
        <v>#REF!</v>
      </c>
      <c r="F137" s="145"/>
    </row>
    <row r="138" spans="1:6" hidden="1">
      <c r="A138" s="194"/>
      <c r="B138" s="152" t="s">
        <v>188</v>
      </c>
      <c r="C138" s="166" t="e">
        <f>C136+C137</f>
        <v>#REF!</v>
      </c>
      <c r="D138" s="198" t="e">
        <f>D136+D137</f>
        <v>#REF!</v>
      </c>
      <c r="E138" s="166" t="e">
        <f>E131</f>
        <v>#REF!</v>
      </c>
      <c r="F138" s="145"/>
    </row>
    <row r="139" spans="1:6" hidden="1">
      <c r="A139" s="194"/>
      <c r="F139" s="145"/>
    </row>
    <row r="140" spans="1:6" hidden="1">
      <c r="A140" s="194"/>
      <c r="B140" s="152" t="s">
        <v>191</v>
      </c>
      <c r="C140" s="160" t="e">
        <f>$C$62</f>
        <v>#REF!</v>
      </c>
      <c r="D140" s="199" t="e">
        <f>C140/C142</f>
        <v>#REF!</v>
      </c>
      <c r="E140" s="160" t="e">
        <f>E142*D140</f>
        <v>#REF!</v>
      </c>
      <c r="F140" s="145"/>
    </row>
    <row r="141" spans="1:6" hidden="1">
      <c r="A141" s="194"/>
      <c r="B141" s="152" t="s">
        <v>192</v>
      </c>
      <c r="C141" s="145" t="e">
        <f>C$63</f>
        <v>#REF!</v>
      </c>
      <c r="D141" s="200" t="e">
        <f>C141/C142</f>
        <v>#REF!</v>
      </c>
      <c r="E141" s="145" t="e">
        <f>E142*D141</f>
        <v>#REF!</v>
      </c>
      <c r="F141" s="145"/>
    </row>
    <row r="142" spans="1:6" hidden="1">
      <c r="A142" s="194"/>
      <c r="B142" s="152" t="s">
        <v>188</v>
      </c>
      <c r="C142" s="166" t="e">
        <f>SUM(C140:C141)</f>
        <v>#REF!</v>
      </c>
      <c r="D142" s="201" t="e">
        <f>SUM(D140:D141)</f>
        <v>#REF!</v>
      </c>
      <c r="E142" s="166" t="e">
        <f>E132</f>
        <v>#REF!</v>
      </c>
      <c r="F142" s="145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topLeftCell="A266" workbookViewId="0">
      <selection activeCell="H311" sqref="H311"/>
    </sheetView>
  </sheetViews>
  <sheetFormatPr defaultColWidth="9.109375" defaultRowHeight="11.1" customHeight="1"/>
  <cols>
    <col min="1" max="1" width="8.33203125" style="8" customWidth="1"/>
    <col min="2" max="2" width="26.109375" style="8" customWidth="1"/>
    <col min="3" max="3" width="12.44140625" style="8" customWidth="1"/>
    <col min="4" max="4" width="6.6640625" style="8" customWidth="1"/>
    <col min="5" max="5" width="12.44140625" style="28" customWidth="1"/>
    <col min="6" max="6" width="12.44140625" style="29" customWidth="1"/>
    <col min="7" max="7" width="12.44140625" style="28" customWidth="1"/>
    <col min="8" max="8" width="12.88671875" style="8" bestFit="1" customWidth="1"/>
    <col min="9" max="9" width="12.109375" style="8" bestFit="1" customWidth="1"/>
    <col min="10" max="16384" width="9.109375" style="8"/>
  </cols>
  <sheetData>
    <row r="1" spans="1:8" ht="16.5" customHeight="1">
      <c r="F1" s="278"/>
    </row>
    <row r="2" spans="1:8" ht="4.5" customHeight="1"/>
    <row r="3" spans="1:8" ht="12">
      <c r="A3" s="588" t="s">
        <v>100</v>
      </c>
      <c r="B3" s="588"/>
      <c r="C3" s="588"/>
      <c r="E3" s="9"/>
      <c r="F3" s="10"/>
      <c r="G3" s="9"/>
    </row>
    <row r="4" spans="1:8" ht="12">
      <c r="A4" s="7" t="s">
        <v>164</v>
      </c>
      <c r="B4" s="7"/>
      <c r="C4" s="7"/>
      <c r="E4" s="11" t="s">
        <v>64</v>
      </c>
      <c r="F4" s="11"/>
      <c r="G4" s="11"/>
    </row>
    <row r="5" spans="1:8" ht="12">
      <c r="A5" s="589" t="s">
        <v>432</v>
      </c>
      <c r="B5" s="588"/>
      <c r="C5" s="588"/>
      <c r="E5" s="11" t="s">
        <v>65</v>
      </c>
      <c r="F5" s="11"/>
      <c r="G5" s="11"/>
    </row>
    <row r="6" spans="1:8" ht="12">
      <c r="A6" s="7" t="s">
        <v>66</v>
      </c>
      <c r="B6" s="7"/>
      <c r="C6" s="7"/>
      <c r="E6" s="12"/>
      <c r="F6" s="13" t="s">
        <v>67</v>
      </c>
      <c r="G6" s="12"/>
    </row>
    <row r="7" spans="1:8" ht="12">
      <c r="A7" s="14" t="s">
        <v>7</v>
      </c>
      <c r="E7" s="9"/>
      <c r="F7" s="15"/>
      <c r="G7" s="9"/>
    </row>
    <row r="8" spans="1:8" ht="12">
      <c r="A8" s="16" t="s">
        <v>15</v>
      </c>
      <c r="B8" s="17" t="s">
        <v>61</v>
      </c>
      <c r="C8" s="17"/>
      <c r="E8" s="18" t="s">
        <v>68</v>
      </c>
      <c r="F8" s="19" t="s">
        <v>69</v>
      </c>
      <c r="G8" s="18" t="s">
        <v>70</v>
      </c>
      <c r="H8" s="20" t="s">
        <v>71</v>
      </c>
    </row>
    <row r="9" spans="1:8" ht="12">
      <c r="A9" s="14"/>
      <c r="B9" s="8" t="s">
        <v>25</v>
      </c>
      <c r="E9" s="21"/>
      <c r="F9" s="15"/>
      <c r="G9" s="21"/>
    </row>
    <row r="10" spans="1:8" ht="12">
      <c r="A10" s="14"/>
      <c r="B10" s="85"/>
      <c r="E10" s="84"/>
      <c r="F10" s="83"/>
      <c r="G10" s="83"/>
    </row>
    <row r="11" spans="1:8" ht="12">
      <c r="A11" s="14"/>
      <c r="B11" s="85"/>
      <c r="E11" s="84"/>
      <c r="F11" s="83"/>
      <c r="G11" s="83"/>
    </row>
    <row r="12" spans="1:8" ht="12">
      <c r="A12" s="14"/>
      <c r="E12" s="21"/>
      <c r="F12" s="15"/>
      <c r="G12" s="15"/>
    </row>
    <row r="13" spans="1:8" ht="5.25" customHeight="1">
      <c r="A13" s="136"/>
      <c r="E13" s="21"/>
      <c r="F13" s="15"/>
      <c r="G13" s="15"/>
    </row>
    <row r="14" spans="1:8" ht="12">
      <c r="A14" s="136"/>
      <c r="E14" s="21"/>
      <c r="F14" s="15"/>
      <c r="G14" s="15"/>
    </row>
    <row r="15" spans="1:8" ht="12">
      <c r="A15" s="14">
        <v>1</v>
      </c>
      <c r="B15" s="8" t="s">
        <v>72</v>
      </c>
      <c r="E15" s="22">
        <f>F15+G15</f>
        <v>140625</v>
      </c>
      <c r="F15" s="79">
        <f>F94</f>
        <v>140625</v>
      </c>
      <c r="G15" s="79">
        <f>G94</f>
        <v>0</v>
      </c>
      <c r="H15" s="23" t="str">
        <f>IF(E15=F15+G15," ","ERROR")</f>
        <v xml:space="preserve"> </v>
      </c>
    </row>
    <row r="16" spans="1:8" ht="12">
      <c r="A16" s="14">
        <v>2</v>
      </c>
      <c r="B16" s="8" t="s">
        <v>73</v>
      </c>
      <c r="E16" s="24">
        <f>F16+G16</f>
        <v>5088</v>
      </c>
      <c r="F16" s="80">
        <f>F99</f>
        <v>5088</v>
      </c>
      <c r="G16" s="80">
        <f>G99</f>
        <v>0</v>
      </c>
      <c r="H16" s="23" t="str">
        <f>IF(E16=F16+G16," ","ERROR")</f>
        <v xml:space="preserve"> </v>
      </c>
    </row>
    <row r="17" spans="1:8" ht="12">
      <c r="A17" s="14">
        <v>3</v>
      </c>
      <c r="B17" s="8" t="s">
        <v>28</v>
      </c>
      <c r="E17" s="25">
        <f>F17+G17</f>
        <v>50681</v>
      </c>
      <c r="F17" s="81">
        <f>F104-F99</f>
        <v>50681</v>
      </c>
      <c r="G17" s="81">
        <f>G104-G99</f>
        <v>0</v>
      </c>
      <c r="H17" s="23" t="str">
        <f>IF(E17=F17+G17," ","ERROR")</f>
        <v xml:space="preserve"> </v>
      </c>
    </row>
    <row r="18" spans="1:8" ht="12">
      <c r="A18" s="14">
        <v>4</v>
      </c>
      <c r="B18" s="8" t="s">
        <v>74</v>
      </c>
      <c r="E18" s="24">
        <f>SUM(E15:E17)</f>
        <v>196394</v>
      </c>
      <c r="F18" s="24">
        <f>SUM(F15:F17)</f>
        <v>196394</v>
      </c>
      <c r="G18" s="24">
        <f>SUM(G15:G17)</f>
        <v>0</v>
      </c>
      <c r="H18" s="23" t="str">
        <f>IF(E18=F18+G18," ","ERROR")</f>
        <v xml:space="preserve"> </v>
      </c>
    </row>
    <row r="19" spans="1:8" ht="12">
      <c r="A19" s="14"/>
      <c r="E19" s="24"/>
      <c r="F19" s="24"/>
      <c r="G19" s="24"/>
      <c r="H19" s="23"/>
    </row>
    <row r="20" spans="1:8" ht="12">
      <c r="A20" s="14"/>
      <c r="B20" s="8" t="s">
        <v>30</v>
      </c>
      <c r="E20" s="24"/>
      <c r="F20" s="24"/>
      <c r="G20" s="24"/>
      <c r="H20" s="23"/>
    </row>
    <row r="21" spans="1:8" ht="12">
      <c r="A21" s="14"/>
      <c r="B21" s="8" t="s">
        <v>167</v>
      </c>
      <c r="E21" s="24"/>
      <c r="F21" s="80"/>
      <c r="G21" s="80"/>
      <c r="H21" s="82" t="str">
        <f>IF(E21=F21+G21," ","ERROR")</f>
        <v xml:space="preserve"> </v>
      </c>
    </row>
    <row r="22" spans="1:8" ht="12">
      <c r="A22" s="14">
        <v>5</v>
      </c>
      <c r="B22" s="8" t="s">
        <v>75</v>
      </c>
      <c r="E22" s="24">
        <f>F22+G22</f>
        <v>90669</v>
      </c>
      <c r="F22" s="80">
        <f>F108</f>
        <v>90669</v>
      </c>
      <c r="G22" s="80">
        <f>G108</f>
        <v>0</v>
      </c>
      <c r="H22" s="23" t="str">
        <f>IF(E22=F22+G22," ","ERROR")</f>
        <v xml:space="preserve"> </v>
      </c>
    </row>
    <row r="23" spans="1:8" ht="12">
      <c r="A23" s="14">
        <v>6</v>
      </c>
      <c r="B23" s="8" t="s">
        <v>76</v>
      </c>
      <c r="E23" s="24">
        <f>F23+G23</f>
        <v>955</v>
      </c>
      <c r="F23" s="80">
        <f>F111+F112</f>
        <v>955</v>
      </c>
      <c r="G23" s="80">
        <f>G110+G111+G112</f>
        <v>0</v>
      </c>
      <c r="H23" s="23" t="str">
        <f>IF(E23=F23+G23," ","ERROR")</f>
        <v xml:space="preserve"> </v>
      </c>
    </row>
    <row r="24" spans="1:8" ht="12">
      <c r="A24" s="14">
        <v>7</v>
      </c>
      <c r="B24" s="8" t="s">
        <v>77</v>
      </c>
      <c r="E24" s="25">
        <f>F24+G24</f>
        <v>-292</v>
      </c>
      <c r="F24" s="81">
        <f>F109+F110</f>
        <v>-292</v>
      </c>
      <c r="G24" s="81">
        <f>G109</f>
        <v>0</v>
      </c>
      <c r="H24" s="23" t="str">
        <f>IF(E24=F24+G24," ","ERROR")</f>
        <v xml:space="preserve"> </v>
      </c>
    </row>
    <row r="25" spans="1:8" ht="12">
      <c r="A25" s="14">
        <v>8</v>
      </c>
      <c r="B25" s="8" t="s">
        <v>78</v>
      </c>
      <c r="E25" s="24">
        <f>SUM(E22:E24)</f>
        <v>91332</v>
      </c>
      <c r="F25" s="24">
        <f>SUM(F22:F24)</f>
        <v>91332</v>
      </c>
      <c r="G25" s="24">
        <f>SUM(G22:G24)</f>
        <v>0</v>
      </c>
      <c r="H25" s="23" t="str">
        <f>IF(E25=F25+G25," ","ERROR")</f>
        <v xml:space="preserve"> </v>
      </c>
    </row>
    <row r="26" spans="1:8" ht="12">
      <c r="A26" s="136"/>
      <c r="E26" s="24"/>
      <c r="F26" s="24"/>
      <c r="G26" s="24"/>
      <c r="H26" s="23"/>
    </row>
    <row r="27" spans="1:8" ht="12">
      <c r="A27" s="14"/>
      <c r="B27" s="8" t="s">
        <v>35</v>
      </c>
      <c r="E27" s="24"/>
      <c r="F27" s="24"/>
      <c r="G27" s="24"/>
      <c r="H27" s="23"/>
    </row>
    <row r="28" spans="1:8" ht="12">
      <c r="A28" s="14">
        <v>9</v>
      </c>
      <c r="B28" s="8" t="s">
        <v>79</v>
      </c>
      <c r="E28" s="24">
        <f>F28+G28</f>
        <v>1532</v>
      </c>
      <c r="F28" s="80">
        <f>F119-1</f>
        <v>1532</v>
      </c>
      <c r="G28" s="80">
        <f>G119</f>
        <v>0</v>
      </c>
      <c r="H28" s="23" t="str">
        <f>IF(E28=F28+G28," ","ERROR")</f>
        <v xml:space="preserve"> </v>
      </c>
    </row>
    <row r="29" spans="1:8" ht="12">
      <c r="A29" s="14">
        <v>10</v>
      </c>
      <c r="B29" s="8" t="s">
        <v>80</v>
      </c>
      <c r="E29" s="24">
        <f>F29+G29</f>
        <v>627</v>
      </c>
      <c r="F29" s="80">
        <f>F121+F122</f>
        <v>627</v>
      </c>
      <c r="G29" s="80">
        <f>G121+G122</f>
        <v>0</v>
      </c>
      <c r="H29" s="23" t="str">
        <f>IF(E29=F29+G29," ","ERROR")</f>
        <v xml:space="preserve"> </v>
      </c>
    </row>
    <row r="30" spans="1:8" ht="12">
      <c r="A30" s="14">
        <v>11</v>
      </c>
      <c r="B30" s="8" t="s">
        <v>81</v>
      </c>
      <c r="E30" s="25">
        <f>F30+G30</f>
        <v>302</v>
      </c>
      <c r="F30" s="81">
        <f>F123</f>
        <v>302</v>
      </c>
      <c r="G30" s="81">
        <f>G123</f>
        <v>0</v>
      </c>
      <c r="H30" s="23" t="str">
        <f>IF(E30=F30+G30," ","ERROR")</f>
        <v xml:space="preserve"> </v>
      </c>
    </row>
    <row r="31" spans="1:8" ht="12">
      <c r="A31" s="253">
        <v>12</v>
      </c>
      <c r="B31" s="8" t="s">
        <v>82</v>
      </c>
      <c r="E31" s="24">
        <f>SUM(E28:E30)</f>
        <v>2461</v>
      </c>
      <c r="F31" s="80">
        <f>SUM(F28:F30)</f>
        <v>2461</v>
      </c>
      <c r="G31" s="80">
        <f>SUM(G28:G30)</f>
        <v>0</v>
      </c>
      <c r="H31" s="23" t="str">
        <f>IF(E31=F31+G31," ","ERROR")</f>
        <v xml:space="preserve"> </v>
      </c>
    </row>
    <row r="32" spans="1:8" ht="12">
      <c r="A32" s="136"/>
      <c r="E32" s="24"/>
      <c r="F32" s="80"/>
      <c r="G32" s="80"/>
      <c r="H32" s="23"/>
    </row>
    <row r="33" spans="1:10" ht="12">
      <c r="A33" s="14"/>
      <c r="B33" s="8" t="s">
        <v>38</v>
      </c>
      <c r="E33" s="24"/>
      <c r="F33" s="80"/>
      <c r="G33" s="80"/>
      <c r="H33" s="23"/>
    </row>
    <row r="34" spans="1:10" ht="12">
      <c r="A34" s="14">
        <v>13</v>
      </c>
      <c r="B34" s="8" t="s">
        <v>79</v>
      </c>
      <c r="E34" s="24">
        <f>F34+G34</f>
        <v>12316</v>
      </c>
      <c r="F34" s="80">
        <f>F150</f>
        <v>12316</v>
      </c>
      <c r="G34" s="80">
        <f>G150</f>
        <v>0</v>
      </c>
      <c r="H34" s="23" t="str">
        <f t="shared" ref="H34:H41" si="0">IF(E34=F34+G34," ","ERROR")</f>
        <v xml:space="preserve"> </v>
      </c>
    </row>
    <row r="35" spans="1:10" ht="12">
      <c r="A35" s="14">
        <v>14</v>
      </c>
      <c r="B35" s="8" t="s">
        <v>80</v>
      </c>
      <c r="E35" s="24">
        <f>F35+G35</f>
        <v>11642</v>
      </c>
      <c r="F35" s="80">
        <f>F152</f>
        <v>11642</v>
      </c>
      <c r="G35" s="80">
        <f>G152</f>
        <v>0</v>
      </c>
      <c r="H35" s="23" t="str">
        <f t="shared" si="0"/>
        <v xml:space="preserve"> </v>
      </c>
    </row>
    <row r="36" spans="1:10" ht="12">
      <c r="A36" s="14">
        <v>15</v>
      </c>
      <c r="B36" s="8" t="s">
        <v>81</v>
      </c>
      <c r="E36" s="25">
        <f>F36+G36</f>
        <v>14128</v>
      </c>
      <c r="F36" s="81">
        <f>F153-1</f>
        <v>14128</v>
      </c>
      <c r="G36" s="81">
        <f>G153</f>
        <v>0</v>
      </c>
      <c r="H36" s="23" t="str">
        <f t="shared" si="0"/>
        <v xml:space="preserve"> </v>
      </c>
    </row>
    <row r="37" spans="1:10" ht="12" customHeight="1">
      <c r="A37" s="14">
        <v>16</v>
      </c>
      <c r="B37" s="8" t="s">
        <v>83</v>
      </c>
      <c r="E37" s="24">
        <f>SUM(E34:E36)</f>
        <v>38086</v>
      </c>
      <c r="F37" s="24">
        <f>SUM(F34:F36)</f>
        <v>38086</v>
      </c>
      <c r="G37" s="24">
        <f>SUM(G34:G36)</f>
        <v>0</v>
      </c>
      <c r="H37" s="23" t="str">
        <f t="shared" si="0"/>
        <v xml:space="preserve"> </v>
      </c>
    </row>
    <row r="38" spans="1:10" ht="12" customHeight="1">
      <c r="A38" s="14"/>
      <c r="E38" s="24"/>
      <c r="F38" s="24"/>
      <c r="G38" s="24"/>
      <c r="H38" s="23"/>
    </row>
    <row r="39" spans="1:10" ht="12" customHeight="1">
      <c r="A39" s="14">
        <v>17</v>
      </c>
      <c r="B39" s="8" t="s">
        <v>40</v>
      </c>
      <c r="E39" s="24">
        <f>F39+G39</f>
        <v>7234</v>
      </c>
      <c r="F39" s="80">
        <f>F164</f>
        <v>7234</v>
      </c>
      <c r="G39" s="80">
        <f>G164</f>
        <v>0</v>
      </c>
      <c r="H39" s="23" t="str">
        <f t="shared" si="0"/>
        <v xml:space="preserve"> </v>
      </c>
    </row>
    <row r="40" spans="1:10" ht="12">
      <c r="A40" s="14">
        <v>18</v>
      </c>
      <c r="B40" s="8" t="s">
        <v>41</v>
      </c>
      <c r="E40" s="24">
        <f>F40+G40</f>
        <v>8093</v>
      </c>
      <c r="F40" s="80">
        <f>F170</f>
        <v>8093</v>
      </c>
      <c r="G40" s="80">
        <f>G170</f>
        <v>0</v>
      </c>
      <c r="H40" s="23" t="str">
        <f t="shared" si="0"/>
        <v xml:space="preserve"> </v>
      </c>
    </row>
    <row r="41" spans="1:10" ht="12">
      <c r="A41" s="14">
        <v>19</v>
      </c>
      <c r="B41" s="8" t="s">
        <v>84</v>
      </c>
      <c r="E41" s="24">
        <f>F41+G41</f>
        <v>0</v>
      </c>
      <c r="F41" s="80">
        <f>F176</f>
        <v>0</v>
      </c>
      <c r="G41" s="80">
        <f>G176</f>
        <v>0</v>
      </c>
      <c r="H41" s="23" t="str">
        <f t="shared" si="0"/>
        <v xml:space="preserve"> </v>
      </c>
    </row>
    <row r="42" spans="1:10" ht="12">
      <c r="A42" s="136"/>
      <c r="E42" s="24"/>
      <c r="F42" s="80"/>
      <c r="G42" s="80"/>
      <c r="H42" s="23"/>
    </row>
    <row r="43" spans="1:10" ht="12">
      <c r="A43" s="14"/>
      <c r="B43" s="8" t="s">
        <v>85</v>
      </c>
      <c r="E43" s="24"/>
      <c r="F43" s="80"/>
      <c r="G43" s="80"/>
      <c r="H43" s="23"/>
    </row>
    <row r="44" spans="1:10" ht="12">
      <c r="A44" s="14">
        <v>20</v>
      </c>
      <c r="B44" s="8" t="s">
        <v>79</v>
      </c>
      <c r="E44" s="24">
        <f>F44+G44</f>
        <v>15045</v>
      </c>
      <c r="F44" s="80">
        <f>F190-1</f>
        <v>15045</v>
      </c>
      <c r="G44" s="80">
        <f>G190</f>
        <v>0</v>
      </c>
      <c r="H44" s="23" t="str">
        <f>IF(E44=F44+G44," ","ERROR")</f>
        <v xml:space="preserve"> </v>
      </c>
    </row>
    <row r="45" spans="1:10" ht="12">
      <c r="A45" s="14">
        <v>21</v>
      </c>
      <c r="B45" s="8" t="s">
        <v>374</v>
      </c>
      <c r="E45" s="24">
        <f>F45+G45</f>
        <v>8492</v>
      </c>
      <c r="F45" s="80">
        <f>F192+F193+F194+F195</f>
        <v>8492</v>
      </c>
      <c r="G45" s="80">
        <f>G192+G193+G194+G195</f>
        <v>0</v>
      </c>
      <c r="H45" s="23" t="str">
        <f>IF(E45=F45+G45," ","ERROR")</f>
        <v xml:space="preserve"> </v>
      </c>
      <c r="J45" s="24"/>
    </row>
    <row r="46" spans="1:10" ht="12">
      <c r="A46" s="214">
        <v>22</v>
      </c>
      <c r="B46" s="8" t="s">
        <v>372</v>
      </c>
      <c r="E46" s="24">
        <f>F46+G46</f>
        <v>-1559</v>
      </c>
      <c r="F46" s="80">
        <f>SUM(F196:F208)</f>
        <v>-1559</v>
      </c>
      <c r="G46" s="80">
        <f>SUM(G196:G208)</f>
        <v>0</v>
      </c>
      <c r="H46" s="23"/>
      <c r="J46" s="24"/>
    </row>
    <row r="47" spans="1:10" ht="12">
      <c r="A47" s="14">
        <v>23</v>
      </c>
      <c r="B47" s="8" t="s">
        <v>81</v>
      </c>
      <c r="E47" s="25">
        <f>F47+G47</f>
        <v>0</v>
      </c>
      <c r="F47" s="81">
        <v>0</v>
      </c>
      <c r="G47" s="81">
        <v>0</v>
      </c>
      <c r="H47" s="23" t="str">
        <f>IF(E47=F47+G47," ","ERROR")</f>
        <v xml:space="preserve"> </v>
      </c>
    </row>
    <row r="48" spans="1:10" ht="12">
      <c r="A48" s="14">
        <v>24</v>
      </c>
      <c r="B48" s="8" t="s">
        <v>86</v>
      </c>
      <c r="E48" s="25">
        <f>SUM(E44:E47)</f>
        <v>21978</v>
      </c>
      <c r="F48" s="25">
        <f>SUM(F44:F47)</f>
        <v>21978</v>
      </c>
      <c r="G48" s="25">
        <f>SUM(G44:G47)</f>
        <v>0</v>
      </c>
      <c r="H48" s="23" t="str">
        <f>IF(E48=F48+G48," ","ERROR")</f>
        <v xml:space="preserve"> </v>
      </c>
    </row>
    <row r="49" spans="1:8" ht="12">
      <c r="A49" s="14">
        <v>25</v>
      </c>
      <c r="B49" s="8" t="s">
        <v>45</v>
      </c>
      <c r="E49" s="25">
        <f>E25+E31+E37+E39+E40+E41+E48+E21</f>
        <v>169184</v>
      </c>
      <c r="F49" s="25">
        <f>F25+F31+F37+F39+F40+F41+F48+F21</f>
        <v>169184</v>
      </c>
      <c r="G49" s="25">
        <f>G25+G31+G37+G39+G40+G41+G48+G21</f>
        <v>0</v>
      </c>
      <c r="H49" s="23" t="str">
        <f>IF(E49=F49+G49," ","ERROR")</f>
        <v xml:space="preserve"> </v>
      </c>
    </row>
    <row r="50" spans="1:8" ht="12">
      <c r="A50" s="14"/>
      <c r="E50" s="24"/>
      <c r="F50" s="24"/>
      <c r="G50" s="24"/>
      <c r="H50" s="23"/>
    </row>
    <row r="51" spans="1:8" ht="12">
      <c r="A51" s="14">
        <v>26</v>
      </c>
      <c r="B51" s="8" t="s">
        <v>87</v>
      </c>
      <c r="E51" s="33">
        <f>E18-E49</f>
        <v>27210</v>
      </c>
      <c r="F51" s="33">
        <f>F18-F49</f>
        <v>27210</v>
      </c>
      <c r="G51" s="33">
        <f>G18-G49</f>
        <v>0</v>
      </c>
      <c r="H51" s="23" t="str">
        <f>IF(E51=F51+G51," ","ERROR")</f>
        <v xml:space="preserve"> </v>
      </c>
    </row>
    <row r="52" spans="1:8" ht="12" customHeight="1">
      <c r="A52" s="14"/>
      <c r="E52" s="33"/>
      <c r="F52" s="33"/>
      <c r="G52" s="33"/>
      <c r="H52" s="23"/>
    </row>
    <row r="53" spans="1:8" ht="12" customHeight="1">
      <c r="A53" s="14"/>
      <c r="B53" s="8" t="s">
        <v>88</v>
      </c>
      <c r="E53" s="24"/>
      <c r="F53" s="24"/>
      <c r="G53" s="24"/>
      <c r="H53" s="23"/>
    </row>
    <row r="54" spans="1:8" ht="12">
      <c r="A54" s="14">
        <v>27</v>
      </c>
      <c r="B54" s="26" t="s">
        <v>89</v>
      </c>
      <c r="D54" s="27">
        <v>0.21</v>
      </c>
      <c r="E54" s="24">
        <f>F54+G54</f>
        <v>2557</v>
      </c>
      <c r="F54" s="80">
        <f>F217</f>
        <v>2557</v>
      </c>
      <c r="G54" s="80">
        <f>G217</f>
        <v>0</v>
      </c>
      <c r="H54" s="23" t="str">
        <f>IF(E54=F54+G54," ","ERROR")</f>
        <v xml:space="preserve"> </v>
      </c>
    </row>
    <row r="55" spans="1:8" ht="12">
      <c r="A55" s="136">
        <v>28</v>
      </c>
      <c r="B55" s="26" t="s">
        <v>203</v>
      </c>
      <c r="D55" s="27"/>
      <c r="E55" s="24"/>
      <c r="F55" s="80"/>
      <c r="G55" s="80"/>
      <c r="H55" s="23"/>
    </row>
    <row r="56" spans="1:8" ht="12">
      <c r="A56" s="14">
        <v>29</v>
      </c>
      <c r="B56" s="8" t="s">
        <v>90</v>
      </c>
      <c r="E56" s="24">
        <f>F56+G56</f>
        <v>54</v>
      </c>
      <c r="F56" s="80">
        <f>F218</f>
        <v>54</v>
      </c>
      <c r="G56" s="80">
        <f>G218</f>
        <v>0</v>
      </c>
      <c r="H56" s="23" t="str">
        <f>IF(E56=F56+G56," ","ERROR")</f>
        <v xml:space="preserve"> </v>
      </c>
    </row>
    <row r="57" spans="1:8" ht="12">
      <c r="A57" s="14">
        <v>30</v>
      </c>
      <c r="B57" s="8" t="s">
        <v>91</v>
      </c>
      <c r="E57" s="25">
        <f>F57+G57</f>
        <v>-15</v>
      </c>
      <c r="F57" s="81">
        <f>F219</f>
        <v>-15</v>
      </c>
      <c r="G57" s="81">
        <f>G219</f>
        <v>0</v>
      </c>
      <c r="H57" s="23" t="str">
        <f>IF(E57=F57+G57," ","ERROR")</f>
        <v xml:space="preserve"> </v>
      </c>
    </row>
    <row r="58" spans="1:8" ht="12">
      <c r="A58" s="14"/>
      <c r="G58" s="29"/>
      <c r="H58" s="23"/>
    </row>
    <row r="59" spans="1:8" ht="12.6" thickBot="1">
      <c r="A59" s="14">
        <v>31</v>
      </c>
      <c r="B59" s="30" t="s">
        <v>51</v>
      </c>
      <c r="E59" s="34">
        <f>E51-(+E54+E56+E57)</f>
        <v>24614</v>
      </c>
      <c r="F59" s="34">
        <f>F51-(F54+F56+F57)</f>
        <v>24614</v>
      </c>
      <c r="G59" s="34">
        <f>G51-(G54+G56+G57)</f>
        <v>0</v>
      </c>
      <c r="H59" s="23" t="str">
        <f>IF(E59=F59+G59," ","ERROR")</f>
        <v xml:space="preserve"> </v>
      </c>
    </row>
    <row r="60" spans="1:8" ht="12.6" thickTop="1">
      <c r="A60" s="14"/>
      <c r="E60" s="15"/>
      <c r="F60" s="15"/>
      <c r="G60" s="15"/>
      <c r="H60" s="23"/>
    </row>
    <row r="61" spans="1:8" ht="12">
      <c r="A61" s="14"/>
      <c r="B61" s="26" t="s">
        <v>92</v>
      </c>
      <c r="G61" s="29"/>
      <c r="H61" s="23"/>
    </row>
    <row r="62" spans="1:8" ht="12">
      <c r="A62" s="14"/>
      <c r="B62" s="26" t="s">
        <v>93</v>
      </c>
      <c r="G62" s="29"/>
      <c r="H62" s="23"/>
    </row>
    <row r="63" spans="1:8" ht="12">
      <c r="A63" s="14">
        <v>32</v>
      </c>
      <c r="B63" s="8" t="s">
        <v>94</v>
      </c>
      <c r="E63" s="22">
        <f>F63+G63</f>
        <v>28442</v>
      </c>
      <c r="F63" s="79">
        <f>F237</f>
        <v>28442</v>
      </c>
      <c r="G63" s="79">
        <f>G237</f>
        <v>0</v>
      </c>
      <c r="H63" s="23" t="str">
        <f t="shared" ref="H63:H76" si="1">IF(E63=F63+G63," ","ERROR")</f>
        <v xml:space="preserve"> </v>
      </c>
    </row>
    <row r="64" spans="1:8" ht="12">
      <c r="A64" s="14">
        <v>33</v>
      </c>
      <c r="B64" s="8" t="s">
        <v>95</v>
      </c>
      <c r="E64" s="24">
        <f>F64+G64</f>
        <v>462636</v>
      </c>
      <c r="F64" s="80">
        <f>F253</f>
        <v>462636</v>
      </c>
      <c r="G64" s="80">
        <f>G253</f>
        <v>0</v>
      </c>
      <c r="H64" s="23" t="str">
        <f t="shared" si="1"/>
        <v xml:space="preserve"> </v>
      </c>
    </row>
    <row r="65" spans="1:8" ht="12">
      <c r="A65" s="14">
        <v>34</v>
      </c>
      <c r="B65" s="8" t="s">
        <v>96</v>
      </c>
      <c r="E65" s="25">
        <f>F65+G65</f>
        <v>114053</v>
      </c>
      <c r="F65" s="81">
        <f>F266+F226</f>
        <v>114053</v>
      </c>
      <c r="G65" s="81">
        <f>G266+G226</f>
        <v>0</v>
      </c>
      <c r="H65" s="23" t="str">
        <f t="shared" si="1"/>
        <v xml:space="preserve"> </v>
      </c>
    </row>
    <row r="66" spans="1:8" ht="12">
      <c r="A66" s="14">
        <v>35</v>
      </c>
      <c r="B66" s="8" t="s">
        <v>97</v>
      </c>
      <c r="E66" s="24">
        <f>SUM(E63:E65)</f>
        <v>605131</v>
      </c>
      <c r="F66" s="80">
        <f>SUM(F63:F65)</f>
        <v>605131</v>
      </c>
      <c r="G66" s="80">
        <f>SUM(G63:G65)</f>
        <v>0</v>
      </c>
      <c r="H66" s="23" t="str">
        <f t="shared" si="1"/>
        <v xml:space="preserve"> </v>
      </c>
    </row>
    <row r="67" spans="1:8" ht="12">
      <c r="A67" s="136"/>
      <c r="E67" s="24"/>
      <c r="F67" s="80"/>
      <c r="G67" s="80"/>
      <c r="H67" s="23"/>
    </row>
    <row r="68" spans="1:8" ht="12">
      <c r="A68" s="14"/>
      <c r="B68" s="8" t="s">
        <v>375</v>
      </c>
      <c r="E68" s="24"/>
      <c r="F68" s="80"/>
      <c r="G68" s="80"/>
      <c r="H68" s="23" t="str">
        <f t="shared" si="1"/>
        <v xml:space="preserve"> </v>
      </c>
    </row>
    <row r="69" spans="1:8" ht="12">
      <c r="A69" s="14">
        <v>36</v>
      </c>
      <c r="B69" s="8" t="s">
        <v>94</v>
      </c>
      <c r="E69" s="24">
        <f>F69+G69</f>
        <v>-11051</v>
      </c>
      <c r="F69" s="80">
        <f>F272+F280</f>
        <v>-11051</v>
      </c>
      <c r="G69" s="80">
        <f>G272+G280</f>
        <v>0</v>
      </c>
      <c r="H69" s="23" t="str">
        <f t="shared" si="1"/>
        <v xml:space="preserve"> </v>
      </c>
    </row>
    <row r="70" spans="1:8" ht="12">
      <c r="A70" s="14">
        <v>37</v>
      </c>
      <c r="B70" s="8" t="s">
        <v>95</v>
      </c>
      <c r="E70" s="24">
        <f>F70+G70</f>
        <v>-145402</v>
      </c>
      <c r="F70" s="80">
        <f>F273</f>
        <v>-145402</v>
      </c>
      <c r="G70" s="80">
        <f>G273</f>
        <v>0</v>
      </c>
      <c r="H70" s="23" t="str">
        <f t="shared" si="1"/>
        <v xml:space="preserve"> </v>
      </c>
    </row>
    <row r="71" spans="1:8" ht="12">
      <c r="A71" s="14">
        <v>38</v>
      </c>
      <c r="B71" s="8" t="s">
        <v>96</v>
      </c>
      <c r="E71" s="25">
        <f>F71+G71</f>
        <v>-32354</v>
      </c>
      <c r="F71" s="81">
        <f>F274+F278+F279+F281</f>
        <v>-32354</v>
      </c>
      <c r="G71" s="81">
        <f>G274+G278+G279+G281</f>
        <v>0</v>
      </c>
      <c r="H71" s="23" t="str">
        <f t="shared" si="1"/>
        <v xml:space="preserve"> </v>
      </c>
    </row>
    <row r="72" spans="1:8" ht="12">
      <c r="A72" s="14">
        <v>39</v>
      </c>
      <c r="B72" s="8" t="s">
        <v>376</v>
      </c>
      <c r="E72" s="218">
        <f>SUM(E69:E71)</f>
        <v>-188807</v>
      </c>
      <c r="F72" s="218">
        <f>SUM(F69:F71)</f>
        <v>-188807</v>
      </c>
      <c r="G72" s="218">
        <f>SUM(G69:G71)</f>
        <v>0</v>
      </c>
      <c r="H72" s="23" t="str">
        <f t="shared" si="1"/>
        <v xml:space="preserve"> </v>
      </c>
    </row>
    <row r="73" spans="1:8" ht="12">
      <c r="A73" s="136">
        <v>40</v>
      </c>
      <c r="B73" s="8" t="s">
        <v>142</v>
      </c>
      <c r="E73" s="24">
        <f>E66+E72</f>
        <v>416324</v>
      </c>
      <c r="F73" s="24">
        <f>F66+F72</f>
        <v>416324</v>
      </c>
      <c r="G73" s="24">
        <f>G66+G72</f>
        <v>0</v>
      </c>
      <c r="H73" s="23"/>
    </row>
    <row r="74" spans="1:8" ht="12">
      <c r="A74" s="14">
        <v>41</v>
      </c>
      <c r="B74" s="26" t="s">
        <v>98</v>
      </c>
      <c r="E74" s="219">
        <f>F74+G74</f>
        <v>-88908</v>
      </c>
      <c r="F74" s="219">
        <f>F294</f>
        <v>-88908</v>
      </c>
      <c r="G74" s="219">
        <f>G294</f>
        <v>0</v>
      </c>
      <c r="H74" s="23" t="str">
        <f t="shared" si="1"/>
        <v xml:space="preserve"> </v>
      </c>
    </row>
    <row r="75" spans="1:8" ht="12">
      <c r="A75" s="136">
        <v>42</v>
      </c>
      <c r="B75" s="121" t="s">
        <v>166</v>
      </c>
      <c r="E75" s="24">
        <f>E73+E74</f>
        <v>327416</v>
      </c>
      <c r="F75" s="24">
        <f>F73+F74</f>
        <v>327416</v>
      </c>
      <c r="G75" s="24">
        <f>G73+G74</f>
        <v>0</v>
      </c>
      <c r="H75" s="23"/>
    </row>
    <row r="76" spans="1:8" ht="12">
      <c r="A76" s="14">
        <v>43</v>
      </c>
      <c r="B76" s="8" t="s">
        <v>56</v>
      </c>
      <c r="E76" s="24">
        <f t="shared" ref="E76:E79" si="2">F76+G76</f>
        <v>8355</v>
      </c>
      <c r="F76" s="24">
        <f>F301+F302</f>
        <v>8355</v>
      </c>
      <c r="G76" s="24">
        <f>G301+G302</f>
        <v>0</v>
      </c>
      <c r="H76" s="23" t="str">
        <f t="shared" si="1"/>
        <v xml:space="preserve"> </v>
      </c>
    </row>
    <row r="77" spans="1:8" ht="12">
      <c r="A77" s="14">
        <v>44</v>
      </c>
      <c r="B77" s="26" t="s">
        <v>57</v>
      </c>
      <c r="E77" s="24">
        <f t="shared" si="2"/>
        <v>0</v>
      </c>
      <c r="F77" s="29">
        <v>0</v>
      </c>
      <c r="G77" s="29">
        <f>G299+G300</f>
        <v>0</v>
      </c>
      <c r="H77" s="23" t="str">
        <f>IF(E79=F79+G79," ","ERROR")</f>
        <v xml:space="preserve"> </v>
      </c>
    </row>
    <row r="78" spans="1:8" ht="12">
      <c r="A78" s="214">
        <v>45</v>
      </c>
      <c r="B78" s="26" t="s">
        <v>378</v>
      </c>
      <c r="E78" s="24">
        <f t="shared" si="2"/>
        <v>5338</v>
      </c>
      <c r="F78" s="29">
        <f>F303+F304+F306+F307+F299+F300+F305</f>
        <v>5338</v>
      </c>
      <c r="G78" s="29">
        <f>G303+G304</f>
        <v>0</v>
      </c>
      <c r="H78" s="23"/>
    </row>
    <row r="79" spans="1:8" ht="12">
      <c r="A79" s="14">
        <v>46</v>
      </c>
      <c r="B79" s="37" t="s">
        <v>144</v>
      </c>
      <c r="E79" s="25">
        <f t="shared" si="2"/>
        <v>7549</v>
      </c>
      <c r="F79" s="25">
        <f>F308</f>
        <v>7549</v>
      </c>
      <c r="G79" s="25">
        <f>G308</f>
        <v>0</v>
      </c>
      <c r="H79" s="23"/>
    </row>
    <row r="80" spans="1:8" ht="11.1" customHeight="1">
      <c r="G80" s="29"/>
    </row>
    <row r="81" spans="1:10" ht="9" customHeight="1">
      <c r="A81" s="14"/>
      <c r="B81" s="8" t="s">
        <v>99</v>
      </c>
      <c r="G81" s="29"/>
      <c r="H81" s="23"/>
    </row>
    <row r="82" spans="1:10" ht="12.6" thickBot="1">
      <c r="A82" s="14">
        <v>47</v>
      </c>
      <c r="B82" s="30" t="s">
        <v>58</v>
      </c>
      <c r="E82" s="31">
        <f>E75+E76+E79+E77+E78</f>
        <v>348658</v>
      </c>
      <c r="F82" s="31">
        <f>F75+F76+F79+F77+F78</f>
        <v>348658</v>
      </c>
      <c r="G82" s="31">
        <f>G75+G76+G79+G77+G78</f>
        <v>0</v>
      </c>
      <c r="H82" s="23" t="str">
        <f>IF(E82=F82+G82," ","ERROR")</f>
        <v xml:space="preserve"> </v>
      </c>
    </row>
    <row r="83" spans="1:10" ht="11.1" customHeight="1" thickTop="1">
      <c r="E83" s="15"/>
      <c r="F83" s="15"/>
      <c r="G83" s="15"/>
    </row>
    <row r="84" spans="1:10" ht="11.1" customHeight="1">
      <c r="E84" s="32">
        <f>E59/E82</f>
        <v>7.0596401057770083E-2</v>
      </c>
      <c r="F84" s="32">
        <f>F59/F82</f>
        <v>7.0596401057770083E-2</v>
      </c>
      <c r="G84" s="32"/>
    </row>
    <row r="86" spans="1:10" ht="11.1" customHeight="1">
      <c r="A86" s="226"/>
      <c r="B86" s="227" t="s">
        <v>25</v>
      </c>
      <c r="J86" s="342"/>
    </row>
    <row r="87" spans="1:10" ht="11.1" customHeight="1">
      <c r="A87" s="226"/>
      <c r="B87" s="228" t="s">
        <v>204</v>
      </c>
      <c r="J87" s="343"/>
    </row>
    <row r="88" spans="1:10" ht="11.1" customHeight="1">
      <c r="A88" s="229">
        <v>480000</v>
      </c>
      <c r="B88" s="228" t="s">
        <v>205</v>
      </c>
      <c r="F88" s="29">
        <f>ROUND(H88/1000,0)</f>
        <v>96667</v>
      </c>
      <c r="H88" s="84">
        <v>96666957</v>
      </c>
      <c r="I88" s="84"/>
      <c r="J88" s="343"/>
    </row>
    <row r="89" spans="1:10" ht="11.1" customHeight="1">
      <c r="A89" s="229" t="s">
        <v>206</v>
      </c>
      <c r="B89" s="228" t="s">
        <v>207</v>
      </c>
      <c r="F89" s="29">
        <f t="shared" ref="F89:F154" si="3">ROUND(H89/1000,0)</f>
        <v>44092</v>
      </c>
      <c r="H89" s="84">
        <v>44091898</v>
      </c>
      <c r="I89" s="84"/>
      <c r="J89" s="343"/>
    </row>
    <row r="90" spans="1:10" ht="11.1" customHeight="1">
      <c r="A90" s="229" t="s">
        <v>208</v>
      </c>
      <c r="B90" s="228" t="s">
        <v>209</v>
      </c>
      <c r="F90" s="29">
        <f t="shared" si="3"/>
        <v>1517</v>
      </c>
      <c r="H90" s="84">
        <v>1517194</v>
      </c>
      <c r="I90" s="84"/>
      <c r="J90" s="343"/>
    </row>
    <row r="91" spans="1:10" ht="11.1" customHeight="1">
      <c r="A91" s="229">
        <v>481400</v>
      </c>
      <c r="B91" s="228" t="s">
        <v>210</v>
      </c>
      <c r="F91" s="29">
        <f t="shared" si="3"/>
        <v>0</v>
      </c>
      <c r="H91" s="84">
        <v>0</v>
      </c>
      <c r="I91" s="84"/>
      <c r="J91" s="343"/>
    </row>
    <row r="92" spans="1:10" ht="11.1" customHeight="1">
      <c r="A92" s="229">
        <v>484000</v>
      </c>
      <c r="B92" s="228" t="s">
        <v>213</v>
      </c>
      <c r="F92" s="29">
        <f t="shared" si="3"/>
        <v>225</v>
      </c>
      <c r="H92" s="84">
        <v>225194</v>
      </c>
      <c r="I92" s="84"/>
      <c r="J92" s="343"/>
    </row>
    <row r="93" spans="1:10" ht="11.1" customHeight="1">
      <c r="A93" s="226" t="s">
        <v>211</v>
      </c>
      <c r="B93" s="228" t="s">
        <v>212</v>
      </c>
      <c r="F93" s="29">
        <f t="shared" si="3"/>
        <v>-1876</v>
      </c>
      <c r="H93" s="84">
        <v>-1876069</v>
      </c>
      <c r="I93" s="84"/>
      <c r="J93" s="343"/>
    </row>
    <row r="94" spans="1:10" ht="11.1" customHeight="1">
      <c r="A94" s="226"/>
      <c r="B94" s="228" t="s">
        <v>214</v>
      </c>
      <c r="F94" s="29">
        <f t="shared" si="3"/>
        <v>140625</v>
      </c>
      <c r="H94" s="84">
        <v>140625174</v>
      </c>
      <c r="I94" s="84"/>
      <c r="J94" s="343"/>
    </row>
    <row r="95" spans="1:10" ht="11.1" customHeight="1">
      <c r="A95" s="226"/>
      <c r="B95" s="228"/>
      <c r="F95" s="29">
        <f t="shared" si="3"/>
        <v>0</v>
      </c>
      <c r="H95" s="84"/>
      <c r="I95" s="84"/>
      <c r="J95" s="343"/>
    </row>
    <row r="96" spans="1:10" ht="11.1" customHeight="1">
      <c r="A96" s="226"/>
      <c r="B96" s="228" t="s">
        <v>215</v>
      </c>
      <c r="F96" s="29">
        <f t="shared" si="3"/>
        <v>0</v>
      </c>
      <c r="H96" s="84"/>
      <c r="I96" s="84"/>
      <c r="J96" s="343"/>
    </row>
    <row r="97" spans="1:10" ht="11.1" customHeight="1">
      <c r="A97" s="230">
        <v>483000</v>
      </c>
      <c r="B97" s="231" t="s">
        <v>216</v>
      </c>
      <c r="F97" s="29">
        <f t="shared" si="3"/>
        <v>53967</v>
      </c>
      <c r="H97" s="84">
        <v>53967269</v>
      </c>
      <c r="I97" s="84"/>
      <c r="J97" s="344"/>
    </row>
    <row r="98" spans="1:10" ht="11.1" customHeight="1">
      <c r="A98" s="229">
        <v>488000</v>
      </c>
      <c r="B98" s="228" t="s">
        <v>217</v>
      </c>
      <c r="F98" s="29">
        <f t="shared" si="3"/>
        <v>7</v>
      </c>
      <c r="H98" s="84">
        <v>7344</v>
      </c>
      <c r="I98" s="84"/>
      <c r="J98" s="343"/>
    </row>
    <row r="99" spans="1:10" ht="11.1" customHeight="1">
      <c r="A99" s="229">
        <v>489300</v>
      </c>
      <c r="B99" s="228" t="s">
        <v>218</v>
      </c>
      <c r="F99" s="29">
        <f t="shared" si="3"/>
        <v>5088</v>
      </c>
      <c r="H99" s="84">
        <v>5088149</v>
      </c>
      <c r="I99" s="84"/>
      <c r="J99" s="343"/>
    </row>
    <row r="100" spans="1:10" ht="11.1" customHeight="1">
      <c r="A100" s="229">
        <v>493000</v>
      </c>
      <c r="B100" s="228" t="s">
        <v>219</v>
      </c>
      <c r="F100" s="29">
        <f t="shared" si="3"/>
        <v>3</v>
      </c>
      <c r="H100" s="84">
        <v>2678</v>
      </c>
      <c r="I100" s="84"/>
      <c r="J100" s="343"/>
    </row>
    <row r="101" spans="1:10" ht="11.1" customHeight="1">
      <c r="A101" s="229">
        <v>495000</v>
      </c>
      <c r="B101" s="228" t="s">
        <v>220</v>
      </c>
      <c r="F101" s="29">
        <f t="shared" si="3"/>
        <v>-309</v>
      </c>
      <c r="H101" s="84">
        <v>-308857</v>
      </c>
      <c r="I101" s="84"/>
      <c r="J101" s="343"/>
    </row>
    <row r="102" spans="1:10" ht="11.1" customHeight="1">
      <c r="A102" s="229">
        <v>496100</v>
      </c>
      <c r="B102" s="228" t="s">
        <v>406</v>
      </c>
      <c r="F102" s="29">
        <f t="shared" si="3"/>
        <v>-807</v>
      </c>
      <c r="H102" s="84">
        <v>-806740</v>
      </c>
      <c r="I102" s="84"/>
      <c r="J102" s="343"/>
    </row>
    <row r="103" spans="1:10" ht="11.1" customHeight="1">
      <c r="A103" s="473">
        <v>496110</v>
      </c>
      <c r="B103" s="343" t="s">
        <v>458</v>
      </c>
      <c r="F103" s="29">
        <f t="shared" si="3"/>
        <v>-2181</v>
      </c>
      <c r="H103" s="84">
        <v>-2180561</v>
      </c>
      <c r="I103" s="84"/>
      <c r="J103" s="343"/>
    </row>
    <row r="104" spans="1:10" ht="11.1" customHeight="1">
      <c r="A104" s="226"/>
      <c r="B104" s="228" t="s">
        <v>221</v>
      </c>
      <c r="F104" s="29">
        <f t="shared" si="3"/>
        <v>55769</v>
      </c>
      <c r="H104" s="84">
        <v>55769282</v>
      </c>
      <c r="I104" s="84"/>
      <c r="J104" s="343"/>
    </row>
    <row r="105" spans="1:10" ht="11.1" customHeight="1">
      <c r="A105" s="226"/>
      <c r="B105" s="228" t="s">
        <v>222</v>
      </c>
      <c r="F105" s="29">
        <f t="shared" si="3"/>
        <v>196394</v>
      </c>
      <c r="H105" s="84">
        <v>196394456</v>
      </c>
      <c r="I105" s="84"/>
      <c r="J105" s="343"/>
    </row>
    <row r="106" spans="1:10" ht="11.1" customHeight="1">
      <c r="A106" s="226"/>
      <c r="B106" s="228"/>
      <c r="F106" s="29">
        <f t="shared" si="3"/>
        <v>0</v>
      </c>
      <c r="H106" s="84"/>
      <c r="I106" s="84"/>
      <c r="J106" s="343"/>
    </row>
    <row r="107" spans="1:10" ht="11.1" customHeight="1">
      <c r="A107" s="226"/>
      <c r="B107" s="228" t="s">
        <v>223</v>
      </c>
      <c r="F107" s="29">
        <f t="shared" si="3"/>
        <v>0</v>
      </c>
      <c r="H107" s="84"/>
      <c r="I107" s="84"/>
      <c r="J107" s="343"/>
    </row>
    <row r="108" spans="1:10" ht="11.1" customHeight="1">
      <c r="A108" s="232" t="s">
        <v>224</v>
      </c>
      <c r="B108" s="228" t="s">
        <v>31</v>
      </c>
      <c r="F108" s="29">
        <f t="shared" si="3"/>
        <v>90669</v>
      </c>
      <c r="H108" s="84">
        <v>90668635</v>
      </c>
      <c r="I108" s="84"/>
      <c r="J108" s="343"/>
    </row>
    <row r="109" spans="1:10" ht="11.1" customHeight="1">
      <c r="A109" s="229" t="s">
        <v>225</v>
      </c>
      <c r="B109" s="228" t="s">
        <v>226</v>
      </c>
      <c r="F109" s="29">
        <f t="shared" si="3"/>
        <v>376</v>
      </c>
      <c r="H109" s="84">
        <v>376490</v>
      </c>
      <c r="I109" s="84"/>
      <c r="J109" s="343"/>
    </row>
    <row r="110" spans="1:10" ht="11.1" customHeight="1">
      <c r="A110" s="230">
        <v>811000</v>
      </c>
      <c r="B110" s="231" t="s">
        <v>227</v>
      </c>
      <c r="F110" s="29">
        <f t="shared" si="3"/>
        <v>-668</v>
      </c>
      <c r="H110" s="84">
        <v>-668386</v>
      </c>
      <c r="I110" s="84"/>
      <c r="J110" s="344"/>
    </row>
    <row r="111" spans="1:10" ht="11.1" customHeight="1">
      <c r="A111" s="229">
        <v>813000</v>
      </c>
      <c r="B111" s="228" t="s">
        <v>228</v>
      </c>
      <c r="F111" s="29">
        <f t="shared" si="3"/>
        <v>876</v>
      </c>
      <c r="H111" s="84">
        <v>876238</v>
      </c>
      <c r="I111" s="84"/>
      <c r="J111" s="343"/>
    </row>
    <row r="112" spans="1:10" ht="11.1" customHeight="1">
      <c r="A112" s="229">
        <v>813010</v>
      </c>
      <c r="B112" s="228" t="s">
        <v>229</v>
      </c>
      <c r="F112" s="29">
        <f t="shared" si="3"/>
        <v>79</v>
      </c>
      <c r="H112" s="84">
        <v>78555</v>
      </c>
      <c r="I112" s="84"/>
      <c r="J112" s="343"/>
    </row>
    <row r="113" spans="1:10" ht="11.1" customHeight="1">
      <c r="A113" s="226"/>
      <c r="B113" s="228" t="s">
        <v>230</v>
      </c>
      <c r="F113" s="29">
        <f t="shared" si="3"/>
        <v>91332</v>
      </c>
      <c r="H113" s="84">
        <v>91331532</v>
      </c>
      <c r="I113" s="84"/>
      <c r="J113" s="343"/>
    </row>
    <row r="114" spans="1:10" ht="11.1" customHeight="1">
      <c r="A114" s="226"/>
      <c r="B114" s="228"/>
      <c r="F114" s="29">
        <f t="shared" si="3"/>
        <v>0</v>
      </c>
      <c r="H114" s="84"/>
      <c r="I114" s="84"/>
      <c r="J114" s="343"/>
    </row>
    <row r="115" spans="1:10" ht="11.1" customHeight="1">
      <c r="A115" s="226"/>
      <c r="B115" s="228" t="s">
        <v>231</v>
      </c>
      <c r="F115" s="29">
        <f t="shared" si="3"/>
        <v>0</v>
      </c>
      <c r="H115" s="84"/>
      <c r="I115" s="84"/>
      <c r="J115" s="343"/>
    </row>
    <row r="116" spans="1:10" ht="11.1" customHeight="1">
      <c r="A116" s="229">
        <v>814000</v>
      </c>
      <c r="B116" s="228" t="s">
        <v>232</v>
      </c>
      <c r="F116" s="29">
        <f t="shared" si="3"/>
        <v>14</v>
      </c>
      <c r="H116" s="84">
        <v>13870</v>
      </c>
      <c r="I116" s="84"/>
      <c r="J116" s="343"/>
    </row>
    <row r="117" spans="1:10" ht="11.1" customHeight="1">
      <c r="A117" s="229">
        <v>824000</v>
      </c>
      <c r="B117" s="228" t="s">
        <v>233</v>
      </c>
      <c r="F117" s="29">
        <f t="shared" si="3"/>
        <v>548</v>
      </c>
      <c r="H117" s="84">
        <v>548121</v>
      </c>
      <c r="I117" s="84"/>
      <c r="J117" s="343"/>
    </row>
    <row r="118" spans="1:10" ht="11.1" customHeight="1">
      <c r="A118" s="229">
        <v>837000</v>
      </c>
      <c r="B118" s="228" t="s">
        <v>234</v>
      </c>
      <c r="F118" s="29">
        <f t="shared" si="3"/>
        <v>971</v>
      </c>
      <c r="H118" s="84">
        <v>970574</v>
      </c>
      <c r="I118" s="84"/>
      <c r="J118" s="343"/>
    </row>
    <row r="119" spans="1:10" ht="11.1" customHeight="1">
      <c r="A119" s="226"/>
      <c r="B119" s="228" t="s">
        <v>235</v>
      </c>
      <c r="F119" s="29">
        <f t="shared" si="3"/>
        <v>1533</v>
      </c>
      <c r="H119" s="84">
        <v>1532565</v>
      </c>
      <c r="I119" s="84"/>
      <c r="J119" s="343"/>
    </row>
    <row r="120" spans="1:10" ht="11.1" customHeight="1">
      <c r="A120" s="226"/>
      <c r="B120" s="228"/>
      <c r="F120" s="29">
        <f t="shared" si="3"/>
        <v>0</v>
      </c>
      <c r="H120" s="84"/>
      <c r="I120" s="84"/>
      <c r="J120" s="343"/>
    </row>
    <row r="121" spans="1:10" ht="11.1" customHeight="1">
      <c r="A121" s="227"/>
      <c r="B121" s="228" t="s">
        <v>236</v>
      </c>
      <c r="F121" s="29">
        <f t="shared" si="3"/>
        <v>627</v>
      </c>
      <c r="H121" s="84">
        <v>626554</v>
      </c>
      <c r="I121" s="84"/>
      <c r="J121" s="343"/>
    </row>
    <row r="122" spans="1:10" ht="11.1" customHeight="1">
      <c r="A122" s="227"/>
      <c r="B122" s="228" t="s">
        <v>237</v>
      </c>
      <c r="F122" s="29">
        <f t="shared" si="3"/>
        <v>0</v>
      </c>
      <c r="H122" s="84">
        <v>105</v>
      </c>
      <c r="I122" s="84"/>
      <c r="J122" s="343"/>
    </row>
    <row r="123" spans="1:10" ht="11.1" customHeight="1">
      <c r="A123" s="226"/>
      <c r="B123" s="228" t="s">
        <v>238</v>
      </c>
      <c r="F123" s="29">
        <f t="shared" si="3"/>
        <v>302</v>
      </c>
      <c r="H123" s="84">
        <v>301792</v>
      </c>
      <c r="I123" s="84"/>
      <c r="J123" s="343"/>
    </row>
    <row r="124" spans="1:10" ht="11.1" customHeight="1">
      <c r="A124" s="226"/>
      <c r="B124" s="228" t="s">
        <v>239</v>
      </c>
      <c r="F124" s="29">
        <f t="shared" si="3"/>
        <v>928</v>
      </c>
      <c r="H124" s="84">
        <v>928451</v>
      </c>
      <c r="I124" s="84"/>
      <c r="J124" s="343"/>
    </row>
    <row r="125" spans="1:10" ht="11.1" customHeight="1">
      <c r="A125" s="226"/>
      <c r="B125" s="228"/>
      <c r="F125" s="29">
        <f t="shared" si="3"/>
        <v>0</v>
      </c>
      <c r="H125" s="84"/>
      <c r="I125" s="84"/>
      <c r="J125" s="343"/>
    </row>
    <row r="126" spans="1:10" ht="11.1" customHeight="1">
      <c r="A126" s="226"/>
      <c r="B126" s="228" t="s">
        <v>240</v>
      </c>
      <c r="F126" s="29">
        <f t="shared" si="3"/>
        <v>2461</v>
      </c>
      <c r="H126" s="84">
        <v>2461016</v>
      </c>
      <c r="I126" s="84"/>
      <c r="J126" s="343"/>
    </row>
    <row r="127" spans="1:10" ht="11.1" customHeight="1">
      <c r="A127" s="226"/>
      <c r="B127" s="228"/>
      <c r="F127" s="29">
        <f t="shared" si="3"/>
        <v>0</v>
      </c>
      <c r="H127" s="84"/>
      <c r="I127" s="84"/>
      <c r="J127" s="343"/>
    </row>
    <row r="128" spans="1:10" ht="11.1" customHeight="1">
      <c r="A128" s="226"/>
      <c r="B128" s="228" t="s">
        <v>241</v>
      </c>
      <c r="F128" s="29">
        <f t="shared" si="3"/>
        <v>0</v>
      </c>
      <c r="H128" s="84"/>
      <c r="I128" s="84"/>
      <c r="J128" s="343"/>
    </row>
    <row r="129" spans="1:15" ht="11.1" customHeight="1">
      <c r="A129" s="226"/>
      <c r="B129" s="228" t="s">
        <v>242</v>
      </c>
      <c r="F129" s="29">
        <f t="shared" si="3"/>
        <v>0</v>
      </c>
      <c r="H129" s="84"/>
      <c r="I129" s="84"/>
      <c r="J129" s="343"/>
    </row>
    <row r="130" spans="1:15" ht="11.1" customHeight="1">
      <c r="A130" s="229">
        <v>870000</v>
      </c>
      <c r="B130" s="228" t="s">
        <v>232</v>
      </c>
      <c r="F130" s="29">
        <f t="shared" si="3"/>
        <v>1405</v>
      </c>
      <c r="H130" s="84">
        <v>1404522</v>
      </c>
      <c r="I130" s="84"/>
      <c r="J130" s="343"/>
    </row>
    <row r="131" spans="1:15" ht="11.1" customHeight="1">
      <c r="A131" s="229">
        <v>871000</v>
      </c>
      <c r="B131" s="228" t="s">
        <v>243</v>
      </c>
      <c r="F131" s="29">
        <f t="shared" si="3"/>
        <v>0</v>
      </c>
      <c r="H131" s="84">
        <v>0</v>
      </c>
      <c r="I131" s="84"/>
      <c r="J131" s="343"/>
    </row>
    <row r="132" spans="1:15" ht="11.1" customHeight="1">
      <c r="A132" s="229">
        <v>874000</v>
      </c>
      <c r="B132" s="228" t="s">
        <v>244</v>
      </c>
      <c r="F132" s="29">
        <f t="shared" si="3"/>
        <v>3093</v>
      </c>
      <c r="H132" s="84">
        <v>3092987</v>
      </c>
      <c r="I132" s="84"/>
      <c r="J132" s="343"/>
      <c r="N132" s="76"/>
    </row>
    <row r="133" spans="1:15" ht="11.1" customHeight="1" thickBot="1">
      <c r="A133" s="229">
        <v>875000</v>
      </c>
      <c r="B133" s="228" t="s">
        <v>245</v>
      </c>
      <c r="F133" s="29">
        <f t="shared" si="3"/>
        <v>96</v>
      </c>
      <c r="H133" s="84">
        <v>95671</v>
      </c>
      <c r="I133" s="84"/>
      <c r="J133" s="343"/>
      <c r="N133" s="77"/>
      <c r="O133" s="78"/>
    </row>
    <row r="134" spans="1:15" ht="11.1" customHeight="1" thickTop="1">
      <c r="A134" s="229">
        <v>876000</v>
      </c>
      <c r="B134" s="228" t="s">
        <v>246</v>
      </c>
      <c r="F134" s="29">
        <f t="shared" si="3"/>
        <v>13</v>
      </c>
      <c r="H134" s="84">
        <v>13270</v>
      </c>
      <c r="I134" s="84"/>
      <c r="J134" s="343"/>
    </row>
    <row r="135" spans="1:15" ht="11.1" customHeight="1">
      <c r="A135" s="229">
        <v>877000</v>
      </c>
      <c r="B135" s="228" t="s">
        <v>247</v>
      </c>
      <c r="F135" s="29">
        <f t="shared" si="3"/>
        <v>62</v>
      </c>
      <c r="H135" s="84">
        <v>61643</v>
      </c>
      <c r="I135" s="84"/>
      <c r="J135" s="343"/>
    </row>
    <row r="136" spans="1:15" ht="11.1" customHeight="1">
      <c r="A136" s="229">
        <v>878000</v>
      </c>
      <c r="B136" s="228" t="s">
        <v>248</v>
      </c>
      <c r="F136" s="29">
        <f t="shared" si="3"/>
        <v>324</v>
      </c>
      <c r="H136" s="84">
        <v>324045</v>
      </c>
      <c r="I136" s="84"/>
      <c r="J136" s="343"/>
    </row>
    <row r="137" spans="1:15" ht="11.1" customHeight="1">
      <c r="A137" s="229">
        <v>879000</v>
      </c>
      <c r="B137" s="228" t="s">
        <v>249</v>
      </c>
      <c r="F137" s="29">
        <f t="shared" si="3"/>
        <v>1426</v>
      </c>
      <c r="H137" s="84">
        <v>1426174</v>
      </c>
      <c r="I137" s="84"/>
      <c r="J137" s="343"/>
    </row>
    <row r="138" spans="1:15" ht="11.1" customHeight="1">
      <c r="A138" s="229">
        <v>880000</v>
      </c>
      <c r="B138" s="228" t="s">
        <v>233</v>
      </c>
      <c r="F138" s="29">
        <f t="shared" si="3"/>
        <v>2095</v>
      </c>
      <c r="H138" s="84">
        <v>2095369</v>
      </c>
      <c r="I138" s="84"/>
      <c r="J138" s="343"/>
    </row>
    <row r="139" spans="1:15" ht="11.1" customHeight="1">
      <c r="A139" s="229">
        <v>881000</v>
      </c>
      <c r="B139" s="228" t="s">
        <v>250</v>
      </c>
      <c r="F139" s="29">
        <f t="shared" si="3"/>
        <v>31</v>
      </c>
      <c r="H139" s="84">
        <v>31487</v>
      </c>
      <c r="I139" s="84"/>
      <c r="J139" s="343"/>
    </row>
    <row r="140" spans="1:15" ht="11.1" customHeight="1">
      <c r="A140" s="226"/>
      <c r="B140" s="228"/>
      <c r="F140" s="29">
        <f t="shared" si="3"/>
        <v>0</v>
      </c>
      <c r="H140" s="84"/>
      <c r="I140" s="84"/>
      <c r="J140" s="343"/>
    </row>
    <row r="141" spans="1:15" ht="11.1" customHeight="1">
      <c r="A141" s="226"/>
      <c r="B141" s="228" t="s">
        <v>251</v>
      </c>
      <c r="F141" s="29">
        <f t="shared" si="3"/>
        <v>0</v>
      </c>
      <c r="H141" s="84"/>
      <c r="I141" s="84"/>
      <c r="J141" s="343"/>
    </row>
    <row r="142" spans="1:15" ht="11.1" customHeight="1">
      <c r="A142" s="229">
        <v>885000</v>
      </c>
      <c r="B142" s="228" t="s">
        <v>232</v>
      </c>
      <c r="F142" s="29">
        <f t="shared" si="3"/>
        <v>95</v>
      </c>
      <c r="H142" s="84">
        <v>94813</v>
      </c>
      <c r="I142" s="84"/>
      <c r="J142" s="343"/>
    </row>
    <row r="143" spans="1:15" ht="11.1" customHeight="1">
      <c r="A143" s="229">
        <v>887000</v>
      </c>
      <c r="B143" s="228" t="s">
        <v>252</v>
      </c>
      <c r="F143" s="29">
        <f t="shared" si="3"/>
        <v>785</v>
      </c>
      <c r="H143" s="84">
        <v>784649</v>
      </c>
      <c r="I143" s="84"/>
      <c r="J143" s="343"/>
    </row>
    <row r="144" spans="1:15" ht="11.1" customHeight="1">
      <c r="A144" s="229">
        <v>889000</v>
      </c>
      <c r="B144" s="228" t="s">
        <v>245</v>
      </c>
      <c r="F144" s="29">
        <f t="shared" si="3"/>
        <v>211</v>
      </c>
      <c r="H144" s="84">
        <v>210671</v>
      </c>
      <c r="I144" s="84"/>
      <c r="J144" s="343"/>
    </row>
    <row r="145" spans="1:10" ht="11.1" customHeight="1">
      <c r="A145" s="229">
        <v>890000</v>
      </c>
      <c r="B145" s="228" t="s">
        <v>246</v>
      </c>
      <c r="F145" s="29">
        <f t="shared" si="3"/>
        <v>55</v>
      </c>
      <c r="H145" s="84">
        <v>54996</v>
      </c>
      <c r="I145" s="84"/>
      <c r="J145" s="343"/>
    </row>
    <row r="146" spans="1:10" ht="11.1" customHeight="1">
      <c r="A146" s="229">
        <v>891000</v>
      </c>
      <c r="B146" s="228" t="s">
        <v>247</v>
      </c>
      <c r="F146" s="29">
        <f t="shared" si="3"/>
        <v>38</v>
      </c>
      <c r="H146" s="84">
        <v>37918</v>
      </c>
      <c r="I146" s="84"/>
      <c r="J146" s="343"/>
    </row>
    <row r="147" spans="1:10" ht="11.1" customHeight="1">
      <c r="A147" s="229">
        <v>892000</v>
      </c>
      <c r="B147" s="228" t="s">
        <v>253</v>
      </c>
      <c r="F147" s="29">
        <f t="shared" si="3"/>
        <v>1087</v>
      </c>
      <c r="H147" s="84">
        <v>1087080</v>
      </c>
      <c r="I147" s="84"/>
      <c r="J147" s="343"/>
    </row>
    <row r="148" spans="1:10" ht="11.1" customHeight="1">
      <c r="A148" s="229">
        <v>893000</v>
      </c>
      <c r="B148" s="228" t="s">
        <v>254</v>
      </c>
      <c r="F148" s="29">
        <f t="shared" si="3"/>
        <v>1332</v>
      </c>
      <c r="H148" s="84">
        <v>1332133</v>
      </c>
      <c r="I148" s="84"/>
      <c r="J148" s="343"/>
    </row>
    <row r="149" spans="1:10" ht="11.1" customHeight="1">
      <c r="A149" s="229">
        <v>894000</v>
      </c>
      <c r="B149" s="228" t="s">
        <v>234</v>
      </c>
      <c r="F149" s="29">
        <f t="shared" si="3"/>
        <v>168</v>
      </c>
      <c r="H149" s="84">
        <v>168469</v>
      </c>
      <c r="I149" s="84"/>
      <c r="J149" s="343"/>
    </row>
    <row r="150" spans="1:10" ht="11.1" customHeight="1">
      <c r="A150" s="226"/>
      <c r="B150" s="228" t="s">
        <v>255</v>
      </c>
      <c r="F150" s="29">
        <f t="shared" si="3"/>
        <v>12316</v>
      </c>
      <c r="H150" s="84">
        <v>12315897</v>
      </c>
      <c r="I150" s="84"/>
      <c r="J150" s="343"/>
    </row>
    <row r="151" spans="1:10" ht="11.1" customHeight="1">
      <c r="A151" s="226"/>
      <c r="B151" s="228"/>
      <c r="F151" s="29">
        <f t="shared" si="3"/>
        <v>0</v>
      </c>
      <c r="H151" s="84"/>
      <c r="I151" s="84"/>
      <c r="J151" s="343"/>
    </row>
    <row r="152" spans="1:10" ht="11.1" customHeight="1">
      <c r="A152" s="226"/>
      <c r="B152" s="228" t="s">
        <v>256</v>
      </c>
      <c r="F152" s="29">
        <f t="shared" si="3"/>
        <v>11642</v>
      </c>
      <c r="H152" s="84">
        <v>11641978</v>
      </c>
      <c r="I152" s="84"/>
      <c r="J152" s="343"/>
    </row>
    <row r="153" spans="1:10" ht="11.1" customHeight="1">
      <c r="A153" s="226"/>
      <c r="B153" s="228" t="s">
        <v>238</v>
      </c>
      <c r="F153" s="29">
        <f t="shared" si="3"/>
        <v>14129</v>
      </c>
      <c r="H153" s="84">
        <v>14128627</v>
      </c>
      <c r="I153" s="84"/>
      <c r="J153" s="343"/>
    </row>
    <row r="154" spans="1:10" ht="11.1" customHeight="1">
      <c r="A154" s="226"/>
      <c r="B154" s="228" t="s">
        <v>257</v>
      </c>
      <c r="F154" s="29">
        <f t="shared" si="3"/>
        <v>25771</v>
      </c>
      <c r="H154" s="84">
        <v>25770605</v>
      </c>
      <c r="I154" s="84"/>
      <c r="J154" s="343"/>
    </row>
    <row r="155" spans="1:10" ht="11.1" customHeight="1">
      <c r="A155" s="226"/>
      <c r="B155" s="228"/>
      <c r="F155" s="29">
        <f t="shared" ref="F155:F226" si="4">ROUND(H155/1000,0)</f>
        <v>0</v>
      </c>
      <c r="H155" s="84"/>
      <c r="I155" s="84"/>
      <c r="J155" s="343"/>
    </row>
    <row r="156" spans="1:10" ht="11.1" customHeight="1">
      <c r="A156" s="226"/>
      <c r="B156" s="228" t="s">
        <v>258</v>
      </c>
      <c r="F156" s="29">
        <f t="shared" si="4"/>
        <v>38087</v>
      </c>
      <c r="H156" s="84">
        <v>38086502</v>
      </c>
      <c r="I156" s="84"/>
      <c r="J156" s="343"/>
    </row>
    <row r="157" spans="1:10" ht="11.1" customHeight="1">
      <c r="A157" s="226"/>
      <c r="B157" s="228"/>
      <c r="F157" s="29">
        <f t="shared" si="4"/>
        <v>0</v>
      </c>
      <c r="H157" s="84"/>
      <c r="I157" s="84"/>
      <c r="J157" s="343"/>
    </row>
    <row r="158" spans="1:10" ht="11.1" customHeight="1">
      <c r="A158" s="226"/>
      <c r="B158" s="228" t="s">
        <v>259</v>
      </c>
      <c r="F158" s="29">
        <f t="shared" si="4"/>
        <v>0</v>
      </c>
      <c r="H158" s="84"/>
      <c r="I158" s="84"/>
      <c r="J158" s="343"/>
    </row>
    <row r="159" spans="1:10" ht="11.1" customHeight="1">
      <c r="A159" s="229">
        <v>901000</v>
      </c>
      <c r="B159" s="228" t="s">
        <v>260</v>
      </c>
      <c r="F159" s="29">
        <f t="shared" si="4"/>
        <v>78</v>
      </c>
      <c r="H159" s="84">
        <v>77768</v>
      </c>
      <c r="I159" s="84"/>
      <c r="J159" s="343"/>
    </row>
    <row r="160" spans="1:10" ht="11.1" customHeight="1">
      <c r="A160" s="229">
        <v>902000</v>
      </c>
      <c r="B160" s="228" t="s">
        <v>261</v>
      </c>
      <c r="F160" s="29">
        <f t="shared" si="4"/>
        <v>1829</v>
      </c>
      <c r="H160" s="84">
        <v>1829324</v>
      </c>
      <c r="I160" s="84"/>
      <c r="J160" s="343"/>
    </row>
    <row r="161" spans="1:10" ht="11.1" customHeight="1">
      <c r="A161" s="229" t="s">
        <v>262</v>
      </c>
      <c r="B161" s="228" t="s">
        <v>263</v>
      </c>
      <c r="F161" s="29">
        <f t="shared" si="4"/>
        <v>4328</v>
      </c>
      <c r="H161" s="84">
        <v>4327950</v>
      </c>
      <c r="I161" s="84"/>
      <c r="J161" s="343"/>
    </row>
    <row r="162" spans="1:10" ht="11.1" customHeight="1">
      <c r="A162" s="229">
        <v>904000</v>
      </c>
      <c r="B162" s="228" t="s">
        <v>264</v>
      </c>
      <c r="F162" s="29">
        <f t="shared" si="4"/>
        <v>871</v>
      </c>
      <c r="H162" s="84">
        <v>870568</v>
      </c>
      <c r="I162" s="84"/>
      <c r="J162" s="343"/>
    </row>
    <row r="163" spans="1:10" ht="11.1" customHeight="1">
      <c r="A163" s="229">
        <v>905000</v>
      </c>
      <c r="B163" s="228" t="s">
        <v>265</v>
      </c>
      <c r="F163" s="29">
        <f t="shared" si="4"/>
        <v>129</v>
      </c>
      <c r="H163" s="84">
        <v>128543</v>
      </c>
      <c r="I163" s="84"/>
      <c r="J163" s="343"/>
    </row>
    <row r="164" spans="1:10" ht="11.1" customHeight="1">
      <c r="A164" s="226"/>
      <c r="B164" s="228" t="s">
        <v>266</v>
      </c>
      <c r="F164" s="29">
        <f t="shared" si="4"/>
        <v>7234</v>
      </c>
      <c r="H164" s="84">
        <v>7234153</v>
      </c>
      <c r="I164" s="84"/>
      <c r="J164" s="343"/>
    </row>
    <row r="165" spans="1:10" ht="11.1" customHeight="1">
      <c r="A165" s="226"/>
      <c r="B165" s="228"/>
      <c r="F165" s="29">
        <f t="shared" si="4"/>
        <v>0</v>
      </c>
      <c r="H165" s="84"/>
      <c r="I165" s="84"/>
      <c r="J165" s="343"/>
    </row>
    <row r="166" spans="1:10" ht="11.1" customHeight="1">
      <c r="A166" s="226"/>
      <c r="B166" s="228" t="s">
        <v>267</v>
      </c>
      <c r="F166" s="29">
        <f t="shared" si="4"/>
        <v>0</v>
      </c>
      <c r="H166" s="84"/>
      <c r="I166" s="84"/>
      <c r="J166" s="343"/>
    </row>
    <row r="167" spans="1:10" ht="11.1" customHeight="1">
      <c r="A167" s="229" t="s">
        <v>268</v>
      </c>
      <c r="B167" s="228" t="s">
        <v>269</v>
      </c>
      <c r="F167" s="29">
        <f t="shared" si="4"/>
        <v>7341</v>
      </c>
      <c r="H167" s="84">
        <v>7341309</v>
      </c>
      <c r="I167" s="84"/>
      <c r="J167" s="343"/>
    </row>
    <row r="168" spans="1:10" ht="11.1" customHeight="1">
      <c r="A168" s="229">
        <v>909000</v>
      </c>
      <c r="B168" s="228" t="s">
        <v>270</v>
      </c>
      <c r="F168" s="29">
        <f t="shared" si="4"/>
        <v>593</v>
      </c>
      <c r="H168" s="84">
        <v>593110</v>
      </c>
      <c r="I168" s="84"/>
      <c r="J168" s="343"/>
    </row>
    <row r="169" spans="1:10" ht="11.1" customHeight="1">
      <c r="A169" s="229">
        <v>910000</v>
      </c>
      <c r="B169" s="228" t="s">
        <v>271</v>
      </c>
      <c r="F169" s="29">
        <f t="shared" si="4"/>
        <v>159</v>
      </c>
      <c r="H169" s="84">
        <v>158682</v>
      </c>
      <c r="I169" s="84"/>
      <c r="J169" s="343"/>
    </row>
    <row r="170" spans="1:10" ht="11.1" customHeight="1">
      <c r="A170" s="226"/>
      <c r="B170" s="228" t="s">
        <v>272</v>
      </c>
      <c r="F170" s="29">
        <f t="shared" si="4"/>
        <v>8093</v>
      </c>
      <c r="H170" s="84">
        <v>8093101</v>
      </c>
      <c r="I170" s="84"/>
      <c r="J170" s="343"/>
    </row>
    <row r="171" spans="1:10" ht="11.1" customHeight="1">
      <c r="A171" s="226"/>
      <c r="B171" s="228"/>
      <c r="F171" s="29">
        <f t="shared" si="4"/>
        <v>0</v>
      </c>
      <c r="H171" s="84"/>
      <c r="I171" s="84"/>
      <c r="J171" s="343"/>
    </row>
    <row r="172" spans="1:10" ht="11.1" customHeight="1">
      <c r="A172" s="226"/>
      <c r="B172" s="228" t="s">
        <v>273</v>
      </c>
      <c r="F172" s="29">
        <f t="shared" si="4"/>
        <v>0</v>
      </c>
      <c r="H172" s="84"/>
      <c r="I172" s="84"/>
      <c r="J172" s="343"/>
    </row>
    <row r="173" spans="1:10" ht="11.1" customHeight="1">
      <c r="A173" s="229">
        <v>912000</v>
      </c>
      <c r="B173" s="228" t="s">
        <v>274</v>
      </c>
      <c r="F173" s="29">
        <f t="shared" si="4"/>
        <v>0</v>
      </c>
      <c r="H173" s="84">
        <v>0</v>
      </c>
      <c r="I173" s="84"/>
      <c r="J173" s="343"/>
    </row>
    <row r="174" spans="1:10" ht="11.1" customHeight="1">
      <c r="A174" s="229">
        <v>913000</v>
      </c>
      <c r="B174" s="228" t="s">
        <v>270</v>
      </c>
      <c r="F174" s="29">
        <f t="shared" si="4"/>
        <v>0</v>
      </c>
      <c r="H174" s="84">
        <v>0</v>
      </c>
      <c r="I174" s="84"/>
      <c r="J174" s="343"/>
    </row>
    <row r="175" spans="1:10" ht="11.1" customHeight="1">
      <c r="A175" s="229">
        <v>916000</v>
      </c>
      <c r="B175" s="228" t="s">
        <v>275</v>
      </c>
      <c r="F175" s="29">
        <f t="shared" si="4"/>
        <v>0</v>
      </c>
      <c r="H175" s="84">
        <v>0</v>
      </c>
      <c r="I175" s="84"/>
      <c r="J175" s="343"/>
    </row>
    <row r="176" spans="1:10" ht="11.1" customHeight="1">
      <c r="A176" s="226"/>
      <c r="B176" s="228" t="s">
        <v>276</v>
      </c>
      <c r="F176" s="29">
        <f t="shared" si="4"/>
        <v>0</v>
      </c>
      <c r="H176" s="84">
        <v>0</v>
      </c>
      <c r="I176" s="84"/>
      <c r="J176" s="343"/>
    </row>
    <row r="177" spans="1:10" ht="11.1" customHeight="1">
      <c r="A177" s="226"/>
      <c r="B177" s="228"/>
      <c r="F177" s="29">
        <f t="shared" si="4"/>
        <v>0</v>
      </c>
      <c r="H177" s="84"/>
      <c r="I177" s="84"/>
      <c r="J177" s="343"/>
    </row>
    <row r="178" spans="1:10" ht="11.1" customHeight="1">
      <c r="A178" s="226"/>
      <c r="B178" s="228" t="s">
        <v>277</v>
      </c>
      <c r="F178" s="29">
        <f t="shared" si="4"/>
        <v>0</v>
      </c>
      <c r="H178" s="84"/>
      <c r="I178" s="84"/>
      <c r="J178" s="343"/>
    </row>
    <row r="179" spans="1:10" ht="11.1" customHeight="1">
      <c r="A179" s="229">
        <v>920000</v>
      </c>
      <c r="B179" s="228" t="s">
        <v>278</v>
      </c>
      <c r="F179" s="29">
        <f t="shared" si="4"/>
        <v>6924</v>
      </c>
      <c r="H179" s="84">
        <v>6923939</v>
      </c>
      <c r="I179" s="84"/>
      <c r="J179" s="343"/>
    </row>
    <row r="180" spans="1:10" ht="11.1" customHeight="1">
      <c r="A180" s="229">
        <v>921000</v>
      </c>
      <c r="B180" s="228" t="s">
        <v>279</v>
      </c>
      <c r="F180" s="29">
        <f t="shared" si="4"/>
        <v>967</v>
      </c>
      <c r="H180" s="84">
        <v>967317</v>
      </c>
      <c r="I180" s="84"/>
      <c r="J180" s="343"/>
    </row>
    <row r="181" spans="1:10" ht="11.1" customHeight="1">
      <c r="A181" s="229">
        <v>922000</v>
      </c>
      <c r="B181" s="228" t="s">
        <v>280</v>
      </c>
      <c r="F181" s="29">
        <f t="shared" si="4"/>
        <v>-14</v>
      </c>
      <c r="H181" s="84">
        <v>-14196</v>
      </c>
      <c r="I181" s="84"/>
      <c r="J181" s="343"/>
    </row>
    <row r="182" spans="1:10" ht="11.1" customHeight="1">
      <c r="A182" s="229">
        <v>923000</v>
      </c>
      <c r="B182" s="228" t="s">
        <v>281</v>
      </c>
      <c r="F182" s="29">
        <f t="shared" si="4"/>
        <v>1894</v>
      </c>
      <c r="H182" s="84">
        <v>1893562</v>
      </c>
      <c r="I182" s="84"/>
      <c r="J182" s="343"/>
    </row>
    <row r="183" spans="1:10" ht="11.1" customHeight="1">
      <c r="A183" s="229">
        <v>924000</v>
      </c>
      <c r="B183" s="228" t="s">
        <v>282</v>
      </c>
      <c r="F183" s="29">
        <f t="shared" si="4"/>
        <v>223</v>
      </c>
      <c r="H183" s="84">
        <v>222903</v>
      </c>
      <c r="I183" s="84"/>
      <c r="J183" s="343"/>
    </row>
    <row r="184" spans="1:10" ht="11.1" customHeight="1">
      <c r="A184" s="226" t="s">
        <v>283</v>
      </c>
      <c r="B184" s="228" t="s">
        <v>284</v>
      </c>
      <c r="F184" s="29">
        <f t="shared" si="4"/>
        <v>607</v>
      </c>
      <c r="H184" s="84">
        <v>606632</v>
      </c>
      <c r="I184" s="84"/>
      <c r="J184" s="343"/>
    </row>
    <row r="185" spans="1:10" ht="11.1" customHeight="1">
      <c r="A185" s="226" t="s">
        <v>285</v>
      </c>
      <c r="B185" s="228" t="s">
        <v>286</v>
      </c>
      <c r="F185" s="29">
        <f t="shared" si="4"/>
        <v>367</v>
      </c>
      <c r="H185" s="84">
        <v>367145</v>
      </c>
      <c r="I185" s="84"/>
      <c r="J185" s="343"/>
    </row>
    <row r="186" spans="1:10" ht="11.1" customHeight="1">
      <c r="A186" s="229">
        <v>928000</v>
      </c>
      <c r="B186" s="228" t="s">
        <v>287</v>
      </c>
      <c r="F186" s="29">
        <f t="shared" si="4"/>
        <v>729</v>
      </c>
      <c r="H186" s="84">
        <v>728957</v>
      </c>
      <c r="I186" s="84"/>
      <c r="J186" s="343"/>
    </row>
    <row r="187" spans="1:10" ht="11.1" customHeight="1">
      <c r="A187" s="229">
        <v>930000</v>
      </c>
      <c r="B187" s="228" t="s">
        <v>288</v>
      </c>
      <c r="F187" s="29">
        <f t="shared" si="4"/>
        <v>797</v>
      </c>
      <c r="H187" s="84">
        <v>796885</v>
      </c>
      <c r="I187" s="84"/>
      <c r="J187" s="343"/>
    </row>
    <row r="188" spans="1:10" ht="11.1" customHeight="1">
      <c r="A188" s="229">
        <v>931000</v>
      </c>
      <c r="B188" s="228" t="s">
        <v>250</v>
      </c>
      <c r="F188" s="29">
        <f t="shared" si="4"/>
        <v>103</v>
      </c>
      <c r="H188" s="84">
        <v>102541</v>
      </c>
      <c r="I188" s="84"/>
      <c r="J188" s="343"/>
    </row>
    <row r="189" spans="1:10" ht="11.1" customHeight="1">
      <c r="A189" s="229">
        <v>935000</v>
      </c>
      <c r="B189" s="228" t="s">
        <v>289</v>
      </c>
      <c r="F189" s="29">
        <f t="shared" si="4"/>
        <v>2450</v>
      </c>
      <c r="H189" s="84">
        <v>2449903</v>
      </c>
      <c r="I189" s="84"/>
      <c r="J189" s="343"/>
    </row>
    <row r="190" spans="1:10" ht="11.1" customHeight="1">
      <c r="A190" s="226"/>
      <c r="B190" s="228" t="s">
        <v>290</v>
      </c>
      <c r="F190" s="29">
        <f t="shared" si="4"/>
        <v>15046</v>
      </c>
      <c r="H190" s="84">
        <v>15045588</v>
      </c>
      <c r="I190" s="84"/>
      <c r="J190" s="343"/>
    </row>
    <row r="191" spans="1:10" ht="11.1" customHeight="1">
      <c r="A191" s="226"/>
      <c r="B191" s="228"/>
      <c r="F191" s="29">
        <f t="shared" si="4"/>
        <v>0</v>
      </c>
      <c r="H191" s="84"/>
      <c r="I191" s="84"/>
      <c r="J191" s="343"/>
    </row>
    <row r="192" spans="1:10" ht="11.1" customHeight="1">
      <c r="A192" s="226"/>
      <c r="B192" s="228" t="s">
        <v>291</v>
      </c>
      <c r="F192" s="29">
        <f t="shared" si="4"/>
        <v>4124</v>
      </c>
      <c r="H192" s="84">
        <v>4124349</v>
      </c>
      <c r="I192" s="84"/>
      <c r="J192" s="343"/>
    </row>
    <row r="193" spans="1:10" ht="11.1" customHeight="1">
      <c r="A193" s="226"/>
      <c r="B193" s="228" t="s">
        <v>292</v>
      </c>
      <c r="F193" s="29">
        <f t="shared" si="4"/>
        <v>120</v>
      </c>
      <c r="H193" s="84">
        <v>119595</v>
      </c>
      <c r="I193" s="84"/>
      <c r="J193" s="343"/>
    </row>
    <row r="194" spans="1:10" ht="11.1" customHeight="1">
      <c r="A194" s="226"/>
      <c r="B194" s="228" t="s">
        <v>293</v>
      </c>
      <c r="F194" s="29">
        <f t="shared" si="4"/>
        <v>4248</v>
      </c>
      <c r="H194" s="84">
        <v>4247712</v>
      </c>
      <c r="I194" s="84"/>
      <c r="J194" s="343"/>
    </row>
    <row r="195" spans="1:10" ht="11.1" customHeight="1">
      <c r="A195" s="227"/>
      <c r="B195" s="228" t="s">
        <v>294</v>
      </c>
      <c r="F195" s="29">
        <f t="shared" si="4"/>
        <v>0</v>
      </c>
      <c r="H195" s="84">
        <v>0</v>
      </c>
      <c r="I195" s="84"/>
      <c r="J195" s="343"/>
    </row>
    <row r="196" spans="1:10" ht="11.1" customHeight="1">
      <c r="A196" s="233">
        <v>407025</v>
      </c>
      <c r="B196" s="228" t="s">
        <v>295</v>
      </c>
      <c r="F196" s="29">
        <f t="shared" si="4"/>
        <v>0</v>
      </c>
      <c r="H196" s="84">
        <v>0</v>
      </c>
      <c r="I196" s="84"/>
      <c r="J196" s="343"/>
    </row>
    <row r="197" spans="1:10" ht="11.1" customHeight="1">
      <c r="A197" s="229">
        <v>407229</v>
      </c>
      <c r="B197" s="228" t="s">
        <v>407</v>
      </c>
      <c r="F197" s="29">
        <f t="shared" ref="F197:F207" si="5">ROUND(H197/1000,0)</f>
        <v>0</v>
      </c>
      <c r="H197" s="84">
        <v>0</v>
      </c>
      <c r="I197" s="84"/>
      <c r="J197" s="343"/>
    </row>
    <row r="198" spans="1:10" ht="11.1" customHeight="1">
      <c r="A198" s="229">
        <v>407230</v>
      </c>
      <c r="B198" s="228" t="s">
        <v>447</v>
      </c>
      <c r="F198" s="29">
        <f t="shared" si="4"/>
        <v>-1083</v>
      </c>
      <c r="H198" s="84">
        <v>-1083166</v>
      </c>
      <c r="I198" s="84"/>
      <c r="J198" s="343"/>
    </row>
    <row r="199" spans="1:10" ht="11.1" customHeight="1">
      <c r="A199" s="229">
        <v>407302</v>
      </c>
      <c r="B199" s="228" t="s">
        <v>448</v>
      </c>
      <c r="F199" s="29">
        <f t="shared" si="5"/>
        <v>390</v>
      </c>
      <c r="H199" s="84">
        <v>389502</v>
      </c>
      <c r="I199" s="84"/>
      <c r="J199" s="343"/>
    </row>
    <row r="200" spans="1:10" ht="11.1" customHeight="1">
      <c r="A200" s="229">
        <v>407311</v>
      </c>
      <c r="B200" s="228" t="s">
        <v>449</v>
      </c>
      <c r="F200" s="29">
        <f t="shared" si="4"/>
        <v>7</v>
      </c>
      <c r="H200" s="84">
        <v>7230</v>
      </c>
      <c r="I200" s="84"/>
      <c r="J200" s="343"/>
    </row>
    <row r="201" spans="1:10" ht="11.1" customHeight="1">
      <c r="A201" s="229">
        <v>407319</v>
      </c>
      <c r="B201" s="228" t="s">
        <v>450</v>
      </c>
      <c r="F201" s="29">
        <f t="shared" si="5"/>
        <v>235</v>
      </c>
      <c r="H201" s="84">
        <v>234951</v>
      </c>
      <c r="I201" s="84"/>
      <c r="J201" s="343"/>
    </row>
    <row r="202" spans="1:10" ht="11.1" customHeight="1">
      <c r="A202" s="229">
        <v>407332</v>
      </c>
      <c r="B202" s="228" t="s">
        <v>451</v>
      </c>
      <c r="F202" s="29">
        <f t="shared" si="4"/>
        <v>1</v>
      </c>
      <c r="H202" s="84">
        <v>775</v>
      </c>
      <c r="I202" s="84"/>
      <c r="J202" s="343"/>
    </row>
    <row r="203" spans="1:10" ht="11.1" customHeight="1">
      <c r="A203" s="229">
        <v>407335</v>
      </c>
      <c r="B203" s="228" t="s">
        <v>296</v>
      </c>
      <c r="F203" s="29">
        <f t="shared" si="5"/>
        <v>0</v>
      </c>
      <c r="H203" s="84">
        <v>0</v>
      </c>
      <c r="I203" s="84"/>
      <c r="J203" s="343"/>
    </row>
    <row r="204" spans="1:10" ht="11.1" customHeight="1">
      <c r="A204" s="229" t="s">
        <v>452</v>
      </c>
      <c r="B204" s="228" t="s">
        <v>453</v>
      </c>
      <c r="F204" s="29">
        <f t="shared" si="4"/>
        <v>0</v>
      </c>
      <c r="H204" s="84">
        <v>0</v>
      </c>
      <c r="I204" s="84"/>
      <c r="J204" s="343"/>
    </row>
    <row r="205" spans="1:10" ht="11.1" customHeight="1">
      <c r="A205" s="229" t="s">
        <v>454</v>
      </c>
      <c r="B205" s="228" t="s">
        <v>455</v>
      </c>
      <c r="F205" s="29">
        <f t="shared" si="5"/>
        <v>-339</v>
      </c>
      <c r="H205" s="84">
        <v>-338779</v>
      </c>
      <c r="I205" s="84"/>
      <c r="J205" s="343"/>
    </row>
    <row r="206" spans="1:10" ht="11.1" customHeight="1">
      <c r="A206" s="229" t="s">
        <v>297</v>
      </c>
      <c r="B206" s="228" t="s">
        <v>298</v>
      </c>
      <c r="F206" s="29">
        <f t="shared" si="4"/>
        <v>0</v>
      </c>
      <c r="H206" s="84">
        <v>0</v>
      </c>
      <c r="I206" s="84"/>
      <c r="J206" s="343"/>
    </row>
    <row r="207" spans="1:10" ht="11.1" customHeight="1">
      <c r="A207" s="229" t="s">
        <v>456</v>
      </c>
      <c r="B207" s="228" t="s">
        <v>457</v>
      </c>
      <c r="F207" s="29">
        <f t="shared" si="5"/>
        <v>-770</v>
      </c>
      <c r="H207" s="84">
        <v>-769508</v>
      </c>
      <c r="I207" s="84"/>
      <c r="J207" s="343"/>
    </row>
    <row r="208" spans="1:10" ht="14.4">
      <c r="A208" s="345" t="s">
        <v>409</v>
      </c>
      <c r="B208" s="343" t="s">
        <v>408</v>
      </c>
      <c r="F208" s="29">
        <f t="shared" si="4"/>
        <v>0</v>
      </c>
      <c r="H208" s="84">
        <v>0</v>
      </c>
      <c r="I208" s="84"/>
      <c r="J208" s="343"/>
    </row>
    <row r="209" spans="1:10" ht="14.4">
      <c r="A209" s="226"/>
      <c r="B209" s="228" t="s">
        <v>299</v>
      </c>
      <c r="F209" s="29">
        <f t="shared" si="4"/>
        <v>6933</v>
      </c>
      <c r="H209" s="84">
        <v>6932661</v>
      </c>
      <c r="I209" s="84"/>
      <c r="J209" s="343"/>
    </row>
    <row r="210" spans="1:10" ht="14.4">
      <c r="A210" s="226"/>
      <c r="B210" s="228"/>
      <c r="F210" s="29">
        <f t="shared" si="4"/>
        <v>0</v>
      </c>
      <c r="H210" s="84"/>
      <c r="I210" s="84"/>
      <c r="J210" s="343"/>
    </row>
    <row r="211" spans="1:10" ht="14.4">
      <c r="A211" s="229"/>
      <c r="B211" s="228" t="s">
        <v>300</v>
      </c>
      <c r="F211" s="29">
        <f t="shared" si="4"/>
        <v>21978</v>
      </c>
      <c r="H211" s="84">
        <v>21978249</v>
      </c>
      <c r="I211" s="84"/>
      <c r="J211" s="343"/>
    </row>
    <row r="212" spans="1:10" ht="14.4">
      <c r="A212" s="229"/>
      <c r="B212" s="228"/>
      <c r="F212" s="29">
        <f t="shared" si="4"/>
        <v>0</v>
      </c>
      <c r="H212" s="84"/>
      <c r="I212" s="84"/>
      <c r="J212" s="343"/>
    </row>
    <row r="213" spans="1:10" ht="14.4">
      <c r="A213" s="229"/>
      <c r="B213" s="228" t="s">
        <v>301</v>
      </c>
      <c r="F213" s="29">
        <f t="shared" si="4"/>
        <v>169185</v>
      </c>
      <c r="H213" s="84">
        <v>169184553</v>
      </c>
      <c r="I213" s="84"/>
      <c r="J213" s="343"/>
    </row>
    <row r="214" spans="1:10" ht="11.1" customHeight="1">
      <c r="A214" s="229"/>
      <c r="B214" s="228"/>
      <c r="F214" s="29">
        <f t="shared" si="4"/>
        <v>0</v>
      </c>
      <c r="H214" s="84"/>
      <c r="I214" s="84"/>
      <c r="J214" s="343"/>
    </row>
    <row r="215" spans="1:10" ht="11.1" customHeight="1">
      <c r="A215" s="229"/>
      <c r="B215" s="228" t="s">
        <v>302</v>
      </c>
      <c r="F215" s="29">
        <f t="shared" si="4"/>
        <v>27210</v>
      </c>
      <c r="H215" s="84">
        <v>27209903</v>
      </c>
      <c r="I215" s="84"/>
      <c r="J215" s="343"/>
    </row>
    <row r="216" spans="1:10" ht="11.1" customHeight="1">
      <c r="A216" s="229"/>
      <c r="B216" s="228"/>
      <c r="F216" s="29">
        <f t="shared" si="4"/>
        <v>0</v>
      </c>
      <c r="H216" s="84"/>
      <c r="I216" s="84"/>
      <c r="J216" s="343"/>
    </row>
    <row r="217" spans="1:10" ht="11.1" customHeight="1">
      <c r="A217" s="229"/>
      <c r="B217" s="228" t="s">
        <v>47</v>
      </c>
      <c r="F217" s="29">
        <f t="shared" si="4"/>
        <v>2557</v>
      </c>
      <c r="H217" s="84">
        <v>2556856</v>
      </c>
      <c r="I217" s="84"/>
      <c r="J217" s="343"/>
    </row>
    <row r="218" spans="1:10" ht="11.1" customHeight="1">
      <c r="A218" s="229"/>
      <c r="B218" s="228" t="s">
        <v>303</v>
      </c>
      <c r="F218" s="29">
        <f t="shared" si="4"/>
        <v>54</v>
      </c>
      <c r="H218" s="84">
        <v>53874</v>
      </c>
      <c r="I218" s="84"/>
      <c r="J218" s="343"/>
    </row>
    <row r="219" spans="1:10" ht="14.4">
      <c r="A219" s="229"/>
      <c r="B219" s="228" t="s">
        <v>304</v>
      </c>
      <c r="F219" s="29">
        <f t="shared" si="4"/>
        <v>-15</v>
      </c>
      <c r="H219" s="84">
        <v>-14832</v>
      </c>
      <c r="I219" s="84"/>
      <c r="J219" s="343"/>
    </row>
    <row r="220" spans="1:10" ht="14.4">
      <c r="A220" s="226"/>
      <c r="B220" s="474" t="s">
        <v>305</v>
      </c>
      <c r="C220" s="475"/>
      <c r="D220" s="475"/>
      <c r="E220" s="476"/>
      <c r="F220" s="477">
        <f t="shared" si="4"/>
        <v>24614</v>
      </c>
      <c r="G220" s="476"/>
      <c r="H220" s="478">
        <v>24614005</v>
      </c>
      <c r="I220" s="84"/>
      <c r="J220" s="343"/>
    </row>
    <row r="221" spans="1:10" ht="11.1" customHeight="1">
      <c r="F221" s="29">
        <f t="shared" si="4"/>
        <v>0</v>
      </c>
    </row>
    <row r="222" spans="1:10" ht="11.1" customHeight="1">
      <c r="A222" s="234"/>
      <c r="B222" s="235" t="s">
        <v>93</v>
      </c>
      <c r="F222" s="29">
        <f t="shared" si="4"/>
        <v>0</v>
      </c>
      <c r="J222" s="346"/>
    </row>
    <row r="223" spans="1:10" ht="11.1" customHeight="1">
      <c r="A223" s="234"/>
      <c r="B223" s="235" t="s">
        <v>306</v>
      </c>
      <c r="F223" s="29">
        <f t="shared" si="4"/>
        <v>0</v>
      </c>
      <c r="J223" s="346"/>
    </row>
    <row r="224" spans="1:10" ht="11.1" customHeight="1">
      <c r="A224" s="236">
        <v>303000</v>
      </c>
      <c r="B224" s="237" t="s">
        <v>307</v>
      </c>
      <c r="F224" s="29">
        <f t="shared" si="4"/>
        <v>2451</v>
      </c>
      <c r="H224" s="84">
        <v>2451340</v>
      </c>
      <c r="I224" s="84"/>
      <c r="J224" s="347"/>
    </row>
    <row r="225" spans="1:10" ht="11.1" customHeight="1">
      <c r="A225" s="238" t="s">
        <v>308</v>
      </c>
      <c r="B225" s="235" t="s">
        <v>309</v>
      </c>
      <c r="F225" s="29">
        <f t="shared" si="4"/>
        <v>34152</v>
      </c>
      <c r="H225" s="84">
        <v>34151994</v>
      </c>
      <c r="I225" s="84"/>
      <c r="J225" s="346"/>
    </row>
    <row r="226" spans="1:10" ht="11.1" customHeight="1">
      <c r="A226" s="239"/>
      <c r="B226" s="235" t="s">
        <v>310</v>
      </c>
      <c r="F226" s="29">
        <f t="shared" si="4"/>
        <v>36603</v>
      </c>
      <c r="H226" s="84">
        <v>36603334</v>
      </c>
      <c r="I226" s="84"/>
      <c r="J226" s="346"/>
    </row>
    <row r="227" spans="1:10" ht="11.1" customHeight="1">
      <c r="A227" s="239"/>
      <c r="B227" s="235"/>
      <c r="F227" s="29">
        <f t="shared" ref="F227:F292" si="6">ROUND(H227/1000,0)</f>
        <v>0</v>
      </c>
      <c r="H227" s="84"/>
      <c r="I227" s="84"/>
      <c r="J227" s="346"/>
    </row>
    <row r="228" spans="1:10" ht="11.1" customHeight="1">
      <c r="A228" s="239"/>
      <c r="B228" s="235" t="s">
        <v>311</v>
      </c>
      <c r="F228" s="29">
        <f t="shared" si="6"/>
        <v>0</v>
      </c>
      <c r="H228" s="84"/>
      <c r="I228" s="84"/>
      <c r="J228" s="346"/>
    </row>
    <row r="229" spans="1:10" ht="11.1" customHeight="1">
      <c r="A229" s="240" t="s">
        <v>312</v>
      </c>
      <c r="B229" s="235" t="s">
        <v>313</v>
      </c>
      <c r="F229" s="29">
        <f t="shared" si="6"/>
        <v>910</v>
      </c>
      <c r="H229" s="84">
        <v>909909</v>
      </c>
      <c r="I229" s="84"/>
      <c r="J229" s="346"/>
    </row>
    <row r="230" spans="1:10" ht="11.1" customHeight="1">
      <c r="A230" s="240" t="s">
        <v>314</v>
      </c>
      <c r="B230" s="235" t="s">
        <v>315</v>
      </c>
      <c r="F230" s="29">
        <f t="shared" si="6"/>
        <v>1754</v>
      </c>
      <c r="H230" s="84">
        <v>1754177</v>
      </c>
      <c r="I230" s="84"/>
      <c r="J230" s="346"/>
    </row>
    <row r="231" spans="1:10" ht="11.1" customHeight="1">
      <c r="A231" s="240" t="s">
        <v>316</v>
      </c>
      <c r="B231" s="235" t="s">
        <v>317</v>
      </c>
      <c r="F231" s="29">
        <f t="shared" si="6"/>
        <v>13294</v>
      </c>
      <c r="H231" s="84">
        <v>13294421</v>
      </c>
      <c r="I231" s="84"/>
      <c r="J231" s="346"/>
    </row>
    <row r="232" spans="1:10" ht="11.1" customHeight="1">
      <c r="A232" s="240">
        <v>353000</v>
      </c>
      <c r="B232" s="235" t="s">
        <v>318</v>
      </c>
      <c r="F232" s="29">
        <f t="shared" si="6"/>
        <v>722</v>
      </c>
      <c r="H232" s="84">
        <v>721734</v>
      </c>
      <c r="I232" s="84"/>
      <c r="J232" s="346"/>
    </row>
    <row r="233" spans="1:10" ht="11.1" customHeight="1">
      <c r="A233" s="240">
        <v>354000</v>
      </c>
      <c r="B233" s="235" t="s">
        <v>319</v>
      </c>
      <c r="F233" s="29">
        <f t="shared" si="6"/>
        <v>8750</v>
      </c>
      <c r="H233" s="84">
        <v>8749525</v>
      </c>
      <c r="I233" s="84"/>
      <c r="J233" s="346"/>
    </row>
    <row r="234" spans="1:10" ht="11.1" customHeight="1">
      <c r="A234" s="240">
        <v>355000</v>
      </c>
      <c r="B234" s="235" t="s">
        <v>320</v>
      </c>
      <c r="F234" s="29">
        <f t="shared" si="6"/>
        <v>921</v>
      </c>
      <c r="H234" s="84">
        <v>921017</v>
      </c>
      <c r="I234" s="84"/>
      <c r="J234" s="346"/>
    </row>
    <row r="235" spans="1:10" ht="11.1" customHeight="1">
      <c r="A235" s="240">
        <v>356000</v>
      </c>
      <c r="B235" s="235" t="s">
        <v>321</v>
      </c>
      <c r="F235" s="29">
        <f t="shared" si="6"/>
        <v>279</v>
      </c>
      <c r="H235" s="84">
        <v>278965</v>
      </c>
      <c r="I235" s="84"/>
      <c r="J235" s="346"/>
    </row>
    <row r="236" spans="1:10" ht="11.1" customHeight="1">
      <c r="A236" s="240">
        <v>357000</v>
      </c>
      <c r="B236" s="235" t="s">
        <v>234</v>
      </c>
      <c r="F236" s="29">
        <f t="shared" si="6"/>
        <v>1812</v>
      </c>
      <c r="H236" s="84">
        <v>1812076</v>
      </c>
      <c r="I236" s="84"/>
      <c r="J236" s="346"/>
    </row>
    <row r="237" spans="1:10" ht="11.1" customHeight="1">
      <c r="A237" s="240"/>
      <c r="B237" s="235" t="s">
        <v>322</v>
      </c>
      <c r="F237" s="29">
        <f t="shared" si="6"/>
        <v>28442</v>
      </c>
      <c r="H237" s="84">
        <v>28441824</v>
      </c>
      <c r="I237" s="84"/>
      <c r="J237" s="346"/>
    </row>
    <row r="238" spans="1:10" ht="11.1" customHeight="1">
      <c r="A238" s="240"/>
      <c r="B238" s="235"/>
      <c r="F238" s="29">
        <f t="shared" si="6"/>
        <v>0</v>
      </c>
      <c r="H238" s="84"/>
      <c r="I238" s="84"/>
      <c r="J238" s="346"/>
    </row>
    <row r="239" spans="1:10" ht="11.1" customHeight="1">
      <c r="A239" s="240"/>
      <c r="B239" s="235" t="s">
        <v>323</v>
      </c>
      <c r="F239" s="29">
        <f t="shared" si="6"/>
        <v>0</v>
      </c>
      <c r="H239" s="84"/>
      <c r="I239" s="84"/>
      <c r="J239" s="346"/>
    </row>
    <row r="240" spans="1:10" ht="11.1" customHeight="1">
      <c r="A240" s="240">
        <v>374200</v>
      </c>
      <c r="B240" s="235" t="s">
        <v>313</v>
      </c>
      <c r="F240" s="29">
        <f t="shared" si="6"/>
        <v>64</v>
      </c>
      <c r="H240" s="84">
        <v>63925</v>
      </c>
      <c r="I240" s="84"/>
      <c r="J240" s="346"/>
    </row>
    <row r="241" spans="1:10" ht="11.1" customHeight="1">
      <c r="A241" s="240">
        <v>374400</v>
      </c>
      <c r="B241" s="235" t="s">
        <v>313</v>
      </c>
      <c r="F241" s="29">
        <f t="shared" si="6"/>
        <v>197</v>
      </c>
      <c r="H241" s="84">
        <v>197252</v>
      </c>
      <c r="I241" s="84"/>
      <c r="J241" s="346"/>
    </row>
    <row r="242" spans="1:10" ht="11.1" customHeight="1">
      <c r="A242" s="240">
        <v>375000</v>
      </c>
      <c r="B242" s="235" t="s">
        <v>315</v>
      </c>
      <c r="F242" s="29">
        <f t="shared" si="6"/>
        <v>653</v>
      </c>
      <c r="H242" s="84">
        <v>653292</v>
      </c>
      <c r="I242" s="84"/>
      <c r="J242" s="346"/>
    </row>
    <row r="243" spans="1:10" ht="11.1" customHeight="1">
      <c r="A243" s="240">
        <v>376000</v>
      </c>
      <c r="B243" s="241" t="s">
        <v>252</v>
      </c>
      <c r="F243" s="29">
        <f t="shared" si="6"/>
        <v>226876</v>
      </c>
      <c r="H243" s="84">
        <v>226876000</v>
      </c>
      <c r="I243" s="84"/>
      <c r="J243" s="348"/>
    </row>
    <row r="244" spans="1:10" ht="11.1" customHeight="1">
      <c r="A244" s="240">
        <v>378000</v>
      </c>
      <c r="B244" s="235" t="s">
        <v>324</v>
      </c>
      <c r="F244" s="29">
        <f t="shared" si="6"/>
        <v>3832</v>
      </c>
      <c r="H244" s="84">
        <v>3832057</v>
      </c>
      <c r="I244" s="84"/>
      <c r="J244" s="346"/>
    </row>
    <row r="245" spans="1:10" ht="11.1" customHeight="1">
      <c r="A245" s="240">
        <v>379000</v>
      </c>
      <c r="B245" s="235" t="s">
        <v>325</v>
      </c>
      <c r="F245" s="29">
        <f t="shared" si="6"/>
        <v>2130</v>
      </c>
      <c r="H245" s="84">
        <v>2129791</v>
      </c>
      <c r="I245" s="84"/>
      <c r="J245" s="346"/>
    </row>
    <row r="246" spans="1:10" ht="11.1" customHeight="1">
      <c r="A246" s="240">
        <v>380000</v>
      </c>
      <c r="B246" s="235" t="s">
        <v>253</v>
      </c>
      <c r="F246" s="29">
        <f t="shared" si="6"/>
        <v>169033</v>
      </c>
      <c r="H246" s="84">
        <v>169033175</v>
      </c>
      <c r="I246" s="84"/>
      <c r="J246" s="346"/>
    </row>
    <row r="247" spans="1:10" ht="11.1" customHeight="1">
      <c r="A247" s="240">
        <v>381000</v>
      </c>
      <c r="B247" s="235" t="s">
        <v>326</v>
      </c>
      <c r="F247" s="29">
        <f t="shared" si="6"/>
        <v>57191</v>
      </c>
      <c r="H247" s="84">
        <v>57191209</v>
      </c>
      <c r="I247" s="84"/>
      <c r="J247" s="346"/>
    </row>
    <row r="248" spans="1:10" ht="11.1" customHeight="1">
      <c r="A248" s="240">
        <v>382000</v>
      </c>
      <c r="B248" s="235" t="s">
        <v>327</v>
      </c>
      <c r="F248" s="29">
        <f t="shared" si="6"/>
        <v>0</v>
      </c>
      <c r="H248" s="84">
        <v>0</v>
      </c>
      <c r="I248" s="84"/>
      <c r="J248" s="346"/>
    </row>
    <row r="249" spans="1:10" ht="11.1" customHeight="1">
      <c r="A249" s="240">
        <v>383000</v>
      </c>
      <c r="B249" s="235" t="s">
        <v>328</v>
      </c>
      <c r="F249" s="29">
        <f t="shared" si="6"/>
        <v>0</v>
      </c>
      <c r="H249" s="84">
        <v>0</v>
      </c>
      <c r="I249" s="84"/>
      <c r="J249" s="346"/>
    </row>
    <row r="250" spans="1:10" ht="11.1" customHeight="1">
      <c r="A250" s="240">
        <v>384000</v>
      </c>
      <c r="B250" s="235" t="s">
        <v>329</v>
      </c>
      <c r="F250" s="29">
        <f t="shared" si="6"/>
        <v>0</v>
      </c>
      <c r="H250" s="84">
        <v>0</v>
      </c>
      <c r="I250" s="84"/>
      <c r="J250" s="346"/>
    </row>
    <row r="251" spans="1:10" ht="11.1" customHeight="1">
      <c r="A251" s="240">
        <v>385000</v>
      </c>
      <c r="B251" s="235" t="s">
        <v>330</v>
      </c>
      <c r="F251" s="29">
        <f t="shared" si="6"/>
        <v>2659</v>
      </c>
      <c r="H251" s="84">
        <v>2659130</v>
      </c>
      <c r="I251" s="84"/>
      <c r="J251" s="346"/>
    </row>
    <row r="252" spans="1:10" ht="11.1" customHeight="1">
      <c r="A252" s="240">
        <v>387000</v>
      </c>
      <c r="B252" s="235" t="s">
        <v>234</v>
      </c>
      <c r="F252" s="29">
        <f t="shared" si="6"/>
        <v>0</v>
      </c>
      <c r="H252" s="84">
        <v>0</v>
      </c>
      <c r="I252" s="84"/>
      <c r="J252" s="346"/>
    </row>
    <row r="253" spans="1:10" ht="11.1" customHeight="1">
      <c r="A253" s="240"/>
      <c r="B253" s="235" t="s">
        <v>331</v>
      </c>
      <c r="F253" s="29">
        <f t="shared" si="6"/>
        <v>462636</v>
      </c>
      <c r="H253" s="84">
        <v>462635831</v>
      </c>
      <c r="I253" s="84"/>
      <c r="J253" s="346"/>
    </row>
    <row r="254" spans="1:10" ht="11.1" customHeight="1">
      <c r="A254" s="240"/>
      <c r="B254" s="235"/>
      <c r="F254" s="29">
        <f t="shared" si="6"/>
        <v>0</v>
      </c>
      <c r="H254" s="84"/>
      <c r="I254" s="84"/>
      <c r="J254" s="346"/>
    </row>
    <row r="255" spans="1:10" ht="11.1" customHeight="1">
      <c r="A255" s="240"/>
      <c r="B255" s="235" t="s">
        <v>332</v>
      </c>
      <c r="F255" s="29">
        <f t="shared" si="6"/>
        <v>0</v>
      </c>
      <c r="H255" s="84"/>
      <c r="I255" s="84"/>
      <c r="J255" s="346"/>
    </row>
    <row r="256" spans="1:10" ht="11.1" customHeight="1">
      <c r="A256" s="240" t="s">
        <v>333</v>
      </c>
      <c r="B256" s="235" t="s">
        <v>313</v>
      </c>
      <c r="F256" s="29">
        <f t="shared" si="6"/>
        <v>4444</v>
      </c>
      <c r="H256" s="84">
        <v>4443805</v>
      </c>
      <c r="I256" s="84"/>
      <c r="J256" s="346"/>
    </row>
    <row r="257" spans="1:10" ht="11.1" customHeight="1">
      <c r="A257" s="238" t="s">
        <v>334</v>
      </c>
      <c r="B257" s="235" t="s">
        <v>315</v>
      </c>
      <c r="F257" s="29">
        <f t="shared" si="6"/>
        <v>27044</v>
      </c>
      <c r="H257" s="84">
        <v>27043944</v>
      </c>
      <c r="I257" s="84"/>
      <c r="J257" s="346"/>
    </row>
    <row r="258" spans="1:10" ht="11.1" customHeight="1">
      <c r="A258" s="238" t="s">
        <v>335</v>
      </c>
      <c r="B258" s="235" t="s">
        <v>336</v>
      </c>
      <c r="F258" s="29">
        <f t="shared" si="6"/>
        <v>11749</v>
      </c>
      <c r="H258" s="84">
        <v>11748534</v>
      </c>
      <c r="I258" s="84"/>
      <c r="J258" s="346"/>
    </row>
    <row r="259" spans="1:10" ht="11.1" customHeight="1">
      <c r="A259" s="238" t="s">
        <v>337</v>
      </c>
      <c r="B259" s="235" t="s">
        <v>338</v>
      </c>
      <c r="F259" s="29">
        <f t="shared" si="6"/>
        <v>11977</v>
      </c>
      <c r="H259" s="84">
        <v>11976974</v>
      </c>
      <c r="I259" s="84"/>
      <c r="J259" s="346"/>
    </row>
    <row r="260" spans="1:10" ht="11.1" customHeight="1">
      <c r="A260" s="240">
        <v>393000</v>
      </c>
      <c r="B260" s="235" t="s">
        <v>339</v>
      </c>
      <c r="F260" s="29">
        <f t="shared" si="6"/>
        <v>850</v>
      </c>
      <c r="H260" s="84">
        <v>850322</v>
      </c>
      <c r="I260" s="84"/>
      <c r="J260" s="346"/>
    </row>
    <row r="261" spans="1:10" ht="11.1" customHeight="1">
      <c r="A261" s="240">
        <v>394000</v>
      </c>
      <c r="B261" s="235" t="s">
        <v>340</v>
      </c>
      <c r="F261" s="29">
        <f t="shared" si="6"/>
        <v>6346</v>
      </c>
      <c r="H261" s="84">
        <v>6345552</v>
      </c>
      <c r="I261" s="84"/>
      <c r="J261" s="346"/>
    </row>
    <row r="262" spans="1:10" ht="11.1" customHeight="1">
      <c r="A262" s="240">
        <v>395000</v>
      </c>
      <c r="B262" s="235" t="s">
        <v>341</v>
      </c>
      <c r="F262" s="29">
        <f t="shared" si="6"/>
        <v>338</v>
      </c>
      <c r="H262" s="84">
        <v>337955</v>
      </c>
      <c r="I262" s="84"/>
      <c r="J262" s="346"/>
    </row>
    <row r="263" spans="1:10" ht="11.1" customHeight="1">
      <c r="A263" s="240" t="s">
        <v>342</v>
      </c>
      <c r="B263" s="235" t="s">
        <v>343</v>
      </c>
      <c r="F263" s="29">
        <f t="shared" si="6"/>
        <v>3222</v>
      </c>
      <c r="H263" s="84">
        <v>3221765</v>
      </c>
      <c r="I263" s="84"/>
      <c r="J263" s="346"/>
    </row>
    <row r="264" spans="1:10" ht="11.1" customHeight="1">
      <c r="A264" s="240" t="s">
        <v>344</v>
      </c>
      <c r="B264" s="235" t="s">
        <v>345</v>
      </c>
      <c r="F264" s="29">
        <f t="shared" si="6"/>
        <v>11412</v>
      </c>
      <c r="H264" s="84">
        <v>11412294</v>
      </c>
      <c r="I264" s="84"/>
      <c r="J264" s="346"/>
    </row>
    <row r="265" spans="1:10" ht="11.1" customHeight="1">
      <c r="A265" s="240">
        <v>398000</v>
      </c>
      <c r="B265" s="235" t="s">
        <v>346</v>
      </c>
      <c r="F265" s="29">
        <f t="shared" si="6"/>
        <v>69</v>
      </c>
      <c r="H265" s="84">
        <v>69043</v>
      </c>
      <c r="I265" s="84"/>
      <c r="J265" s="346"/>
    </row>
    <row r="266" spans="1:10" ht="11.1" customHeight="1">
      <c r="A266" s="240"/>
      <c r="B266" s="235" t="s">
        <v>347</v>
      </c>
      <c r="F266" s="29">
        <f t="shared" si="6"/>
        <v>77450</v>
      </c>
      <c r="H266" s="84">
        <v>77450188</v>
      </c>
      <c r="I266" s="84"/>
      <c r="J266" s="346"/>
    </row>
    <row r="267" spans="1:10" ht="11.1" customHeight="1">
      <c r="A267" s="240"/>
      <c r="B267" s="235"/>
      <c r="F267" s="29">
        <f t="shared" si="6"/>
        <v>0</v>
      </c>
      <c r="H267" s="84"/>
      <c r="I267" s="84"/>
      <c r="J267" s="346"/>
    </row>
    <row r="268" spans="1:10" ht="11.1" customHeight="1">
      <c r="A268" s="240"/>
      <c r="B268" s="235" t="s">
        <v>348</v>
      </c>
      <c r="F268" s="29">
        <f t="shared" si="6"/>
        <v>605131</v>
      </c>
      <c r="H268" s="84">
        <v>605131177</v>
      </c>
      <c r="I268" s="84"/>
      <c r="J268" s="346"/>
    </row>
    <row r="269" spans="1:10" ht="11.1" customHeight="1">
      <c r="A269" s="240"/>
      <c r="B269" s="235"/>
      <c r="F269" s="29">
        <f t="shared" si="6"/>
        <v>0</v>
      </c>
      <c r="H269" s="84"/>
      <c r="I269" s="84"/>
      <c r="J269" s="346"/>
    </row>
    <row r="270" spans="1:10" ht="11.1" customHeight="1">
      <c r="A270" s="240"/>
      <c r="B270" s="235"/>
      <c r="F270" s="29">
        <f t="shared" si="6"/>
        <v>0</v>
      </c>
      <c r="H270" s="84"/>
      <c r="I270" s="84"/>
      <c r="J270" s="346"/>
    </row>
    <row r="271" spans="1:10" ht="11.1" customHeight="1">
      <c r="A271" s="238"/>
      <c r="B271" s="235" t="s">
        <v>55</v>
      </c>
      <c r="F271" s="29">
        <f t="shared" si="6"/>
        <v>0</v>
      </c>
      <c r="H271" s="84"/>
      <c r="I271" s="84"/>
      <c r="J271" s="346"/>
    </row>
    <row r="272" spans="1:10" ht="11.1" customHeight="1">
      <c r="A272" s="238"/>
      <c r="B272" s="235" t="s">
        <v>35</v>
      </c>
      <c r="F272" s="29">
        <f t="shared" si="6"/>
        <v>-10933</v>
      </c>
      <c r="H272" s="84">
        <v>-10932793</v>
      </c>
      <c r="I272" s="84"/>
      <c r="J272" s="346"/>
    </row>
    <row r="273" spans="1:10" ht="11.1" customHeight="1">
      <c r="A273" s="238"/>
      <c r="B273" s="235" t="s">
        <v>52</v>
      </c>
      <c r="F273" s="29">
        <f t="shared" si="6"/>
        <v>-145402</v>
      </c>
      <c r="H273" s="84">
        <v>-145401815</v>
      </c>
      <c r="I273" s="84"/>
      <c r="J273" s="346"/>
    </row>
    <row r="274" spans="1:10" ht="11.1" customHeight="1">
      <c r="A274" s="238"/>
      <c r="B274" s="235" t="s">
        <v>53</v>
      </c>
      <c r="F274" s="29">
        <f t="shared" si="6"/>
        <v>-22689</v>
      </c>
      <c r="H274" s="84">
        <v>-22689229</v>
      </c>
      <c r="I274" s="84"/>
      <c r="J274" s="346"/>
    </row>
    <row r="275" spans="1:10" ht="11.1" customHeight="1">
      <c r="A275" s="234"/>
      <c r="B275" s="235" t="s">
        <v>349</v>
      </c>
      <c r="F275" s="29">
        <f t="shared" si="6"/>
        <v>-179024</v>
      </c>
      <c r="H275" s="84">
        <v>-179023837</v>
      </c>
      <c r="I275" s="84"/>
      <c r="J275" s="346"/>
    </row>
    <row r="276" spans="1:10" ht="11.1" customHeight="1">
      <c r="A276" s="234"/>
      <c r="B276" s="235"/>
      <c r="F276" s="29">
        <f t="shared" si="6"/>
        <v>0</v>
      </c>
      <c r="H276" s="84"/>
      <c r="I276" s="84"/>
      <c r="J276" s="346"/>
    </row>
    <row r="277" spans="1:10" ht="11.1" customHeight="1">
      <c r="A277" s="234"/>
      <c r="B277" s="235" t="s">
        <v>350</v>
      </c>
      <c r="F277" s="29">
        <f t="shared" si="6"/>
        <v>0</v>
      </c>
      <c r="H277" s="84"/>
      <c r="I277" s="84"/>
      <c r="J277" s="346"/>
    </row>
    <row r="278" spans="1:10" ht="11.1" customHeight="1">
      <c r="A278" s="238"/>
      <c r="B278" s="235" t="s">
        <v>351</v>
      </c>
      <c r="F278" s="29">
        <f t="shared" si="6"/>
        <v>-638</v>
      </c>
      <c r="H278" s="84">
        <v>-637611</v>
      </c>
      <c r="I278" s="84"/>
      <c r="J278" s="346"/>
    </row>
    <row r="279" spans="1:10" ht="11.1" customHeight="1">
      <c r="A279" s="238"/>
      <c r="B279" s="235" t="s">
        <v>352</v>
      </c>
      <c r="F279" s="29">
        <f t="shared" si="6"/>
        <v>-9027</v>
      </c>
      <c r="H279" s="84">
        <v>-9027434</v>
      </c>
      <c r="I279" s="84"/>
      <c r="J279" s="346"/>
    </row>
    <row r="280" spans="1:10" ht="11.1" customHeight="1">
      <c r="A280" s="238"/>
      <c r="B280" s="235" t="s">
        <v>35</v>
      </c>
      <c r="F280" s="29">
        <f t="shared" si="6"/>
        <v>-118</v>
      </c>
      <c r="H280" s="84">
        <v>-117774</v>
      </c>
      <c r="I280" s="84"/>
      <c r="J280" s="346"/>
    </row>
    <row r="281" spans="1:10" ht="11.1" customHeight="1">
      <c r="A281" s="238"/>
      <c r="B281" s="235" t="s">
        <v>353</v>
      </c>
      <c r="F281" s="29">
        <f t="shared" si="6"/>
        <v>0</v>
      </c>
      <c r="H281" s="84">
        <v>0</v>
      </c>
      <c r="I281" s="84"/>
      <c r="J281" s="346"/>
    </row>
    <row r="282" spans="1:10" ht="11.1" customHeight="1">
      <c r="A282" s="238"/>
      <c r="B282" s="235" t="s">
        <v>354</v>
      </c>
      <c r="F282" s="29">
        <f t="shared" si="6"/>
        <v>-9783</v>
      </c>
      <c r="H282" s="84">
        <v>-9782819</v>
      </c>
      <c r="I282" s="84"/>
      <c r="J282" s="346"/>
    </row>
    <row r="283" spans="1:10" ht="11.1" customHeight="1">
      <c r="A283" s="238"/>
      <c r="B283" s="235"/>
      <c r="F283" s="29">
        <f t="shared" si="6"/>
        <v>0</v>
      </c>
      <c r="H283" s="84"/>
      <c r="I283" s="84"/>
      <c r="J283" s="346"/>
    </row>
    <row r="284" spans="1:10" ht="11.1" customHeight="1">
      <c r="A284" s="238"/>
      <c r="B284" s="235" t="s">
        <v>355</v>
      </c>
      <c r="F284" s="29">
        <f t="shared" si="6"/>
        <v>-188807</v>
      </c>
      <c r="H284" s="84">
        <v>-188806656</v>
      </c>
      <c r="I284" s="84"/>
      <c r="J284" s="346"/>
    </row>
    <row r="285" spans="1:10" ht="11.1" customHeight="1">
      <c r="A285" s="238"/>
      <c r="B285" s="235"/>
      <c r="F285" s="29">
        <f t="shared" si="6"/>
        <v>0</v>
      </c>
      <c r="H285" s="84"/>
      <c r="I285" s="84"/>
      <c r="J285" s="346"/>
    </row>
    <row r="286" spans="1:10" ht="11.1" customHeight="1">
      <c r="A286" s="234"/>
      <c r="B286" s="235" t="s">
        <v>356</v>
      </c>
      <c r="F286" s="29">
        <f t="shared" si="6"/>
        <v>416325</v>
      </c>
      <c r="H286" s="84">
        <v>416324521</v>
      </c>
      <c r="I286" s="84"/>
      <c r="J286" s="346"/>
    </row>
    <row r="287" spans="1:10" ht="11.1" customHeight="1">
      <c r="A287" s="234"/>
      <c r="B287" s="235"/>
      <c r="F287" s="29">
        <f t="shared" si="6"/>
        <v>0</v>
      </c>
      <c r="H287" s="84"/>
      <c r="I287" s="84"/>
      <c r="J287" s="346"/>
    </row>
    <row r="288" spans="1:10" ht="11.1" customHeight="1">
      <c r="A288" s="242"/>
      <c r="B288" s="243" t="s">
        <v>357</v>
      </c>
      <c r="F288" s="29">
        <f t="shared" si="6"/>
        <v>0</v>
      </c>
      <c r="H288" s="84"/>
      <c r="I288" s="84"/>
      <c r="J288" s="349"/>
    </row>
    <row r="289" spans="1:10" ht="11.1" customHeight="1">
      <c r="A289" s="244">
        <v>282900</v>
      </c>
      <c r="B289" s="243" t="s">
        <v>358</v>
      </c>
      <c r="F289" s="29">
        <f t="shared" si="6"/>
        <v>-75511</v>
      </c>
      <c r="H289" s="84">
        <v>-75510500</v>
      </c>
      <c r="I289" s="84"/>
      <c r="J289" s="349"/>
    </row>
    <row r="290" spans="1:10" ht="11.1" customHeight="1">
      <c r="A290" s="244">
        <v>282900</v>
      </c>
      <c r="B290" s="243" t="s">
        <v>359</v>
      </c>
      <c r="F290" s="29">
        <f t="shared" ref="F290:F291" si="7">ROUND(H290/1000,0)</f>
        <v>-13061</v>
      </c>
      <c r="H290" s="84">
        <v>-13061490</v>
      </c>
      <c r="I290" s="84"/>
      <c r="J290" s="349"/>
    </row>
    <row r="291" spans="1:10" ht="11.1" customHeight="1">
      <c r="A291" s="373">
        <v>282919</v>
      </c>
      <c r="B291" s="349" t="s">
        <v>459</v>
      </c>
      <c r="F291" s="29">
        <f t="shared" si="7"/>
        <v>-7</v>
      </c>
      <c r="H291" s="84">
        <v>-6582</v>
      </c>
      <c r="I291" s="84"/>
      <c r="J291" s="349"/>
    </row>
    <row r="292" spans="1:10" ht="11.1" customHeight="1">
      <c r="A292" s="244">
        <v>283750</v>
      </c>
      <c r="B292" s="243" t="s">
        <v>393</v>
      </c>
      <c r="F292" s="29">
        <f t="shared" si="6"/>
        <v>-35</v>
      </c>
      <c r="H292" s="84">
        <v>-35478</v>
      </c>
      <c r="I292" s="84"/>
      <c r="J292" s="349"/>
    </row>
    <row r="293" spans="1:10" ht="11.1" customHeight="1">
      <c r="A293" s="244">
        <v>283850</v>
      </c>
      <c r="B293" s="243" t="s">
        <v>360</v>
      </c>
      <c r="F293" s="29">
        <f t="shared" ref="F293:F312" si="8">ROUND(H293/1000,0)</f>
        <v>-294</v>
      </c>
      <c r="H293" s="84">
        <v>-293814</v>
      </c>
      <c r="I293" s="84"/>
      <c r="J293" s="349"/>
    </row>
    <row r="294" spans="1:10" ht="11.1" customHeight="1">
      <c r="A294" s="238"/>
      <c r="B294" s="235" t="s">
        <v>361</v>
      </c>
      <c r="F294" s="29">
        <f t="shared" si="8"/>
        <v>-88908</v>
      </c>
      <c r="H294" s="84">
        <v>-88907864</v>
      </c>
      <c r="I294" s="84"/>
      <c r="J294" s="346"/>
    </row>
    <row r="295" spans="1:10" ht="11.1" customHeight="1">
      <c r="A295" s="234"/>
      <c r="B295" s="235"/>
      <c r="F295" s="29">
        <f t="shared" si="8"/>
        <v>0</v>
      </c>
      <c r="H295" s="84"/>
      <c r="I295" s="84"/>
      <c r="J295" s="346"/>
    </row>
    <row r="296" spans="1:10" ht="11.1" customHeight="1">
      <c r="A296" s="234"/>
      <c r="B296" s="235" t="s">
        <v>362</v>
      </c>
      <c r="F296" s="29">
        <f t="shared" si="8"/>
        <v>327417</v>
      </c>
      <c r="H296" s="84">
        <v>327416657</v>
      </c>
      <c r="I296" s="84"/>
      <c r="J296" s="346"/>
    </row>
    <row r="298" spans="1:10" ht="11.1" customHeight="1">
      <c r="A298" s="245"/>
      <c r="B298" s="246" t="s">
        <v>363</v>
      </c>
      <c r="J298" s="346"/>
    </row>
    <row r="299" spans="1:10" ht="11.1" customHeight="1">
      <c r="A299" s="247">
        <v>182311</v>
      </c>
      <c r="B299" s="246" t="s">
        <v>460</v>
      </c>
      <c r="F299" s="29">
        <f t="shared" si="8"/>
        <v>9</v>
      </c>
      <c r="H299" s="84">
        <v>8605</v>
      </c>
      <c r="I299" s="84"/>
      <c r="J299" s="346"/>
    </row>
    <row r="300" spans="1:10" ht="11.1" customHeight="1">
      <c r="A300" s="247">
        <v>182318</v>
      </c>
      <c r="B300" s="246" t="s">
        <v>461</v>
      </c>
      <c r="F300" s="29">
        <f t="shared" si="8"/>
        <v>0</v>
      </c>
      <c r="H300" s="84">
        <v>-305</v>
      </c>
      <c r="I300" s="84"/>
      <c r="J300" s="346"/>
    </row>
    <row r="301" spans="1:10" ht="11.1" customHeight="1">
      <c r="A301" s="248">
        <v>117100</v>
      </c>
      <c r="B301" s="249" t="s">
        <v>364</v>
      </c>
      <c r="F301" s="29">
        <f t="shared" si="8"/>
        <v>3960</v>
      </c>
      <c r="H301" s="84">
        <v>3960165</v>
      </c>
      <c r="I301" s="84"/>
      <c r="J301" s="349"/>
    </row>
    <row r="302" spans="1:10" ht="11.1" customHeight="1">
      <c r="A302" s="248">
        <v>164100</v>
      </c>
      <c r="B302" s="249" t="s">
        <v>365</v>
      </c>
      <c r="F302" s="29">
        <f t="shared" si="8"/>
        <v>4395</v>
      </c>
      <c r="H302" s="84">
        <v>4394967</v>
      </c>
      <c r="I302" s="84"/>
      <c r="J302" s="349"/>
    </row>
    <row r="303" spans="1:10" ht="11.1" customHeight="1">
      <c r="A303" s="248">
        <v>252000</v>
      </c>
      <c r="B303" s="250" t="s">
        <v>366</v>
      </c>
      <c r="F303" s="29">
        <f t="shared" si="8"/>
        <v>0</v>
      </c>
      <c r="H303" s="84">
        <v>-18</v>
      </c>
      <c r="I303" s="84"/>
      <c r="J303" s="350"/>
    </row>
    <row r="304" spans="1:10" ht="11.1" customHeight="1">
      <c r="A304" s="248">
        <v>235199</v>
      </c>
      <c r="B304" s="250" t="s">
        <v>367</v>
      </c>
      <c r="F304" s="29">
        <f t="shared" si="8"/>
        <v>-566</v>
      </c>
      <c r="H304" s="84">
        <v>-566176</v>
      </c>
      <c r="I304" s="84"/>
      <c r="J304" s="350"/>
    </row>
    <row r="305" spans="1:10" ht="11.1" customHeight="1">
      <c r="A305" s="373">
        <v>254911</v>
      </c>
      <c r="B305" s="350" t="s">
        <v>462</v>
      </c>
      <c r="F305" s="29">
        <f t="shared" si="8"/>
        <v>-753</v>
      </c>
      <c r="H305" s="84">
        <v>-752880</v>
      </c>
      <c r="I305" s="84"/>
      <c r="J305" s="350"/>
    </row>
    <row r="306" spans="1:10" ht="14.4">
      <c r="A306" s="373">
        <v>182302</v>
      </c>
      <c r="B306" s="350" t="s">
        <v>418</v>
      </c>
      <c r="F306" s="29">
        <f t="shared" si="8"/>
        <v>8464</v>
      </c>
      <c r="H306" s="84">
        <v>8463757</v>
      </c>
      <c r="I306" s="84"/>
      <c r="J306" s="350"/>
    </row>
    <row r="307" spans="1:10" ht="14.4">
      <c r="A307" s="373">
        <v>283302</v>
      </c>
      <c r="B307" s="350" t="s">
        <v>463</v>
      </c>
      <c r="F307" s="29">
        <f t="shared" si="8"/>
        <v>-1816</v>
      </c>
      <c r="H307" s="84">
        <v>-1816057</v>
      </c>
      <c r="I307" s="84"/>
      <c r="J307" s="350"/>
    </row>
    <row r="308" spans="1:10" ht="11.1" customHeight="1">
      <c r="A308" s="251"/>
      <c r="B308" s="252" t="s">
        <v>368</v>
      </c>
      <c r="F308" s="29">
        <f t="shared" si="8"/>
        <v>7549</v>
      </c>
      <c r="H308" s="84">
        <v>7549307</v>
      </c>
      <c r="I308" s="84"/>
      <c r="J308" s="350"/>
    </row>
    <row r="309" spans="1:10" ht="11.1" customHeight="1">
      <c r="A309" s="248">
        <v>186710</v>
      </c>
      <c r="B309" s="249" t="s">
        <v>369</v>
      </c>
      <c r="F309" s="29">
        <f t="shared" si="8"/>
        <v>0</v>
      </c>
      <c r="H309" s="84">
        <v>0</v>
      </c>
      <c r="I309" s="84"/>
      <c r="J309" s="349"/>
    </row>
    <row r="310" spans="1:10" ht="11.1" customHeight="1">
      <c r="A310" s="250"/>
      <c r="B310" s="246" t="s">
        <v>370</v>
      </c>
      <c r="F310" s="29">
        <f t="shared" si="8"/>
        <v>21241</v>
      </c>
      <c r="H310" s="84">
        <v>21241365</v>
      </c>
      <c r="I310" s="84"/>
      <c r="J310" s="346"/>
    </row>
    <row r="311" spans="1:10" ht="11.1" customHeight="1">
      <c r="A311" s="250"/>
      <c r="B311" s="246"/>
      <c r="F311" s="29">
        <f t="shared" si="8"/>
        <v>0</v>
      </c>
      <c r="H311" s="84"/>
      <c r="I311" s="84"/>
      <c r="J311" s="346"/>
    </row>
    <row r="312" spans="1:10" ht="11.1" customHeight="1">
      <c r="A312" s="250"/>
      <c r="B312" s="246" t="s">
        <v>371</v>
      </c>
      <c r="F312" s="29">
        <f t="shared" si="8"/>
        <v>348658</v>
      </c>
      <c r="H312" s="84">
        <v>348658022</v>
      </c>
      <c r="I312" s="84"/>
      <c r="J312" s="346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view="pageBreakPreview" zoomScaleNormal="100" zoomScaleSheetLayoutView="100" workbookViewId="0">
      <selection activeCell="G1" sqref="G1"/>
    </sheetView>
  </sheetViews>
  <sheetFormatPr defaultColWidth="10.6640625" defaultRowHeight="12"/>
  <cols>
    <col min="1" max="1" width="5.6640625" style="117" customWidth="1"/>
    <col min="2" max="3" width="1.6640625" style="93" customWidth="1"/>
    <col min="4" max="4" width="28.6640625" style="93" customWidth="1"/>
    <col min="5" max="5" width="17.33203125" style="95" customWidth="1"/>
    <col min="6" max="23" width="20.44140625" style="95" customWidth="1"/>
    <col min="24" max="16384" width="10.6640625" style="93"/>
  </cols>
  <sheetData>
    <row r="1" spans="1:23">
      <c r="F1" s="143" t="s">
        <v>169</v>
      </c>
      <c r="G1" s="143" t="s">
        <v>169</v>
      </c>
      <c r="H1" s="143" t="s">
        <v>169</v>
      </c>
      <c r="I1" s="143" t="s">
        <v>169</v>
      </c>
      <c r="J1" s="143" t="s">
        <v>169</v>
      </c>
      <c r="K1" s="143" t="s">
        <v>169</v>
      </c>
      <c r="L1" s="143" t="s">
        <v>169</v>
      </c>
      <c r="M1" s="143" t="s">
        <v>169</v>
      </c>
      <c r="N1" s="143" t="s">
        <v>169</v>
      </c>
      <c r="O1" s="143" t="s">
        <v>169</v>
      </c>
      <c r="P1" s="143" t="s">
        <v>169</v>
      </c>
      <c r="Q1" s="143" t="s">
        <v>169</v>
      </c>
      <c r="R1" s="143" t="s">
        <v>169</v>
      </c>
      <c r="S1" s="143" t="s">
        <v>169</v>
      </c>
      <c r="T1" s="143" t="s">
        <v>169</v>
      </c>
      <c r="U1" s="143" t="s">
        <v>169</v>
      </c>
      <c r="V1" s="143" t="s">
        <v>169</v>
      </c>
      <c r="W1" s="143" t="s">
        <v>169</v>
      </c>
    </row>
    <row r="2" spans="1:23" ht="12.75" customHeight="1">
      <c r="A2" s="92" t="str">
        <f>'ADJ DETAIL INPUT'!A2</f>
        <v>AVISTA UTILITIES</v>
      </c>
      <c r="E2" s="94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12.75" customHeight="1">
      <c r="A3" s="92" t="str">
        <f>'ADJ DETAIL INPUT'!A3</f>
        <v>WASHINGTON NATURAL GAS</v>
      </c>
      <c r="E3" s="94"/>
    </row>
    <row r="4" spans="1:23" ht="12.75" customHeight="1">
      <c r="A4" s="92" t="str">
        <f>'ADJ DETAIL INPUT'!A4</f>
        <v>TWELVE MONTHS ENDED DECEMBER 31, 2018</v>
      </c>
      <c r="E4" s="97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</row>
    <row r="5" spans="1:23">
      <c r="A5" s="92" t="str">
        <f>'ADJ DETAIL INPUT'!A5</f>
        <v xml:space="preserve">(000'S OF DOLLARS)   </v>
      </c>
      <c r="B5" s="92"/>
      <c r="C5" s="92"/>
      <c r="D5" s="92"/>
      <c r="E5" s="92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23" ht="12.75" customHeight="1">
      <c r="A6" s="92"/>
    </row>
    <row r="7" spans="1:23" s="100" customFormat="1" ht="11.4">
      <c r="A7" s="99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</row>
    <row r="8" spans="1:23" s="100" customFormat="1" ht="12" customHeight="1">
      <c r="A8" s="102"/>
      <c r="B8" s="103"/>
      <c r="C8" s="104"/>
      <c r="D8" s="105"/>
      <c r="E8" s="106" t="str">
        <f>'ADJ DETAIL INPUT'!E7</f>
        <v>Per</v>
      </c>
      <c r="F8" s="106" t="str">
        <f>'ADJ DETAIL INPUT'!F7</f>
        <v xml:space="preserve">Deferred </v>
      </c>
      <c r="G8" s="106" t="str">
        <f>'ADJ DETAIL INPUT'!G7</f>
        <v>Deferred</v>
      </c>
      <c r="H8" s="106" t="str">
        <f>'ADJ DETAIL INPUT'!H7</f>
        <v>Working</v>
      </c>
      <c r="I8" s="106" t="str">
        <f>'ADJ DETAIL INPUT'!I7</f>
        <v>Remove</v>
      </c>
      <c r="J8" s="106" t="str">
        <f>'ADJ DETAIL INPUT'!J7</f>
        <v xml:space="preserve">Eliminate </v>
      </c>
      <c r="K8" s="106" t="str">
        <f>'ADJ DETAIL INPUT'!K7</f>
        <v>Restate</v>
      </c>
      <c r="L8" s="106" t="str">
        <f>'ADJ DETAIL INPUT'!L7</f>
        <v>Uncollectible</v>
      </c>
      <c r="M8" s="106" t="str">
        <f>'ADJ DETAIL INPUT'!M7</f>
        <v>Regulatory</v>
      </c>
      <c r="N8" s="106" t="str">
        <f>'ADJ DETAIL INPUT'!N7</f>
        <v>Injuries</v>
      </c>
      <c r="O8" s="106" t="str">
        <f>'ADJ DETAIL INPUT'!O7</f>
        <v xml:space="preserve">FIT / </v>
      </c>
      <c r="P8" s="106" t="str">
        <f>'ADJ DETAIL INPUT'!P7</f>
        <v>Office Space</v>
      </c>
      <c r="Q8" s="106" t="str">
        <f>'ADJ DETAIL INPUT'!Q7</f>
        <v>Restate</v>
      </c>
      <c r="R8" s="106" t="str">
        <f>'ADJ DETAIL INPUT'!R7</f>
        <v>Net</v>
      </c>
      <c r="S8" s="106" t="str">
        <f>'ADJ DETAIL INPUT'!S7</f>
        <v xml:space="preserve">Weather </v>
      </c>
      <c r="T8" s="106" t="str">
        <f>'ADJ DETAIL INPUT'!T7</f>
        <v>Eliminate</v>
      </c>
      <c r="U8" s="106" t="str">
        <f>'ADJ DETAIL INPUT'!U7</f>
        <v>Misc. Restating</v>
      </c>
      <c r="V8" s="106" t="str">
        <f>'ADJ DETAIL INPUT'!V7</f>
        <v>Restating</v>
      </c>
      <c r="W8" s="106" t="str">
        <f>'ADJ DETAIL INPUT'!W7</f>
        <v>Restate</v>
      </c>
    </row>
    <row r="9" spans="1:23" s="100" customFormat="1">
      <c r="A9" s="107" t="s">
        <v>7</v>
      </c>
      <c r="B9" s="108"/>
      <c r="C9" s="109"/>
      <c r="D9" s="110"/>
      <c r="E9" s="111" t="str">
        <f>'ADJ DETAIL INPUT'!E8</f>
        <v xml:space="preserve">Results </v>
      </c>
      <c r="F9" s="111" t="str">
        <f>'ADJ DETAIL INPUT'!F8</f>
        <v>FIT</v>
      </c>
      <c r="G9" s="111" t="str">
        <f>'ADJ DETAIL INPUT'!G8</f>
        <v xml:space="preserve">Debits and </v>
      </c>
      <c r="H9" s="111" t="str">
        <f>'ADJ DETAIL INPUT'!H8</f>
        <v>Capital</v>
      </c>
      <c r="I9" s="111" t="str">
        <f>'ADJ DETAIL INPUT'!I8</f>
        <v>AMI</v>
      </c>
      <c r="J9" s="111" t="str">
        <f>'ADJ DETAIL INPUT'!J8</f>
        <v xml:space="preserve">B &amp; O </v>
      </c>
      <c r="K9" s="111" t="str">
        <f>'ADJ DETAIL INPUT'!K8</f>
        <v>Property</v>
      </c>
      <c r="L9" s="111" t="str">
        <f>'ADJ DETAIL INPUT'!L8</f>
        <v>Expense</v>
      </c>
      <c r="M9" s="111" t="str">
        <f>'ADJ DETAIL INPUT'!M8</f>
        <v>Expense</v>
      </c>
      <c r="N9" s="111" t="str">
        <f>'ADJ DETAIL INPUT'!N8</f>
        <v>&amp;</v>
      </c>
      <c r="O9" s="111" t="str">
        <f>'ADJ DETAIL INPUT'!O8</f>
        <v xml:space="preserve">DFIT </v>
      </c>
      <c r="P9" s="111" t="str">
        <f>'ADJ DETAIL INPUT'!P8</f>
        <v>Charges to</v>
      </c>
      <c r="Q9" s="111" t="str">
        <f>'ADJ DETAIL INPUT'!Q8</f>
        <v>Excise</v>
      </c>
      <c r="R9" s="111" t="str">
        <f>'ADJ DETAIL INPUT'!R8</f>
        <v>Gains</v>
      </c>
      <c r="S9" s="111" t="str">
        <f>'ADJ DETAIL INPUT'!S8</f>
        <v>Normalization /</v>
      </c>
      <c r="T9" s="111" t="str">
        <f>'ADJ DETAIL INPUT'!T8</f>
        <v>Adder</v>
      </c>
      <c r="U9" s="111" t="str">
        <f>'ADJ DETAIL INPUT'!U8</f>
        <v>Non-Util / Non-</v>
      </c>
      <c r="V9" s="111" t="str">
        <f>'ADJ DETAIL INPUT'!V8</f>
        <v>Incentives</v>
      </c>
      <c r="W9" s="111" t="str">
        <f>'ADJ DETAIL INPUT'!W8</f>
        <v>Debt</v>
      </c>
    </row>
    <row r="10" spans="1:23" s="100" customFormat="1" ht="11.4">
      <c r="A10" s="112" t="s">
        <v>15</v>
      </c>
      <c r="B10" s="113"/>
      <c r="C10" s="114"/>
      <c r="D10" s="115" t="s">
        <v>16</v>
      </c>
      <c r="E10" s="116" t="str">
        <f>'ADJ DETAIL INPUT'!E9</f>
        <v>Report</v>
      </c>
      <c r="F10" s="116" t="str">
        <f>'ADJ DETAIL INPUT'!F9</f>
        <v>Rate Base</v>
      </c>
      <c r="G10" s="116" t="str">
        <f>'ADJ DETAIL INPUT'!G9</f>
        <v>Credits</v>
      </c>
      <c r="H10" s="116"/>
      <c r="I10" s="116"/>
      <c r="J10" s="116" t="str">
        <f>'ADJ DETAIL INPUT'!J9</f>
        <v>Taxes</v>
      </c>
      <c r="K10" s="116" t="str">
        <f>'ADJ DETAIL INPUT'!K9</f>
        <v>Tax</v>
      </c>
      <c r="L10" s="116"/>
      <c r="M10" s="116"/>
      <c r="N10" s="116" t="str">
        <f>'ADJ DETAIL INPUT'!N9</f>
        <v>Damages</v>
      </c>
      <c r="O10" s="116" t="str">
        <f>'ADJ DETAIL INPUT'!O9</f>
        <v>Expense</v>
      </c>
      <c r="P10" s="116" t="str">
        <f>'ADJ DETAIL INPUT'!P9</f>
        <v>Non-Utility</v>
      </c>
      <c r="Q10" s="116" t="str">
        <f>'ADJ DETAIL INPUT'!Q9</f>
        <v>Taxes</v>
      </c>
      <c r="R10" s="116"/>
      <c r="S10" s="116" t="str">
        <f>'ADJ DETAIL INPUT'!S9</f>
        <v>Gas Cost Adjust</v>
      </c>
      <c r="T10" s="116" t="str">
        <f>'ADJ DETAIL INPUT'!T9</f>
        <v>Schedules</v>
      </c>
      <c r="U10" s="116" t="str">
        <f>'ADJ DETAIL INPUT'!U9</f>
        <v>Recurring Expense</v>
      </c>
      <c r="V10" s="116"/>
      <c r="W10" s="116" t="str">
        <f>'ADJ DETAIL INPUT'!W9</f>
        <v>Interest</v>
      </c>
    </row>
    <row r="11" spans="1:23" s="100" customFormat="1">
      <c r="A11" s="99"/>
      <c r="B11" s="133" t="s">
        <v>148</v>
      </c>
      <c r="E11" s="134">
        <f>'ADJ DETAIL INPUT'!E10</f>
        <v>1</v>
      </c>
      <c r="F11" s="134">
        <f>'ADJ DETAIL INPUT'!F10</f>
        <v>1.01</v>
      </c>
      <c r="G11" s="134">
        <f>'ADJ DETAIL INPUT'!G10</f>
        <v>1.02</v>
      </c>
      <c r="H11" s="134">
        <f>'ADJ DETAIL INPUT'!H10</f>
        <v>1.03</v>
      </c>
      <c r="I11" s="134">
        <f>'ADJ DETAIL INPUT'!I10</f>
        <v>1.04</v>
      </c>
      <c r="J11" s="134">
        <f>'ADJ DETAIL INPUT'!J10</f>
        <v>2.0099999999999998</v>
      </c>
      <c r="K11" s="134">
        <f>'ADJ DETAIL INPUT'!K10</f>
        <v>2.0199999999999996</v>
      </c>
      <c r="L11" s="134">
        <f>'ADJ DETAIL INPUT'!L10</f>
        <v>2.0299999999999994</v>
      </c>
      <c r="M11" s="134">
        <f>'ADJ DETAIL INPUT'!M10</f>
        <v>2.0399999999999991</v>
      </c>
      <c r="N11" s="134">
        <f>'ADJ DETAIL INPUT'!N10</f>
        <v>2.0499999999999989</v>
      </c>
      <c r="O11" s="134">
        <f>'ADJ DETAIL INPUT'!O10</f>
        <v>2.0599999999999987</v>
      </c>
      <c r="P11" s="134">
        <f>'ADJ DETAIL INPUT'!P10</f>
        <v>2.0699999999999985</v>
      </c>
      <c r="Q11" s="134">
        <f>'ADJ DETAIL INPUT'!Q10</f>
        <v>2.0799999999999983</v>
      </c>
      <c r="R11" s="134">
        <f>'ADJ DETAIL INPUT'!R10</f>
        <v>2.0899999999999981</v>
      </c>
      <c r="S11" s="134">
        <f>'ADJ DETAIL INPUT'!S10</f>
        <v>2.0999999999999979</v>
      </c>
      <c r="T11" s="134">
        <f>'ADJ DETAIL INPUT'!T10</f>
        <v>2.1099999999999977</v>
      </c>
      <c r="U11" s="134">
        <f>'ADJ DETAIL INPUT'!U10</f>
        <v>2.1199999999999974</v>
      </c>
      <c r="V11" s="134">
        <f>'ADJ DETAIL INPUT'!V10</f>
        <v>2.1299999999999972</v>
      </c>
      <c r="W11" s="134">
        <f>'ADJ DETAIL INPUT'!W10</f>
        <v>2.139999999999997</v>
      </c>
    </row>
    <row r="12" spans="1:23" s="100" customFormat="1">
      <c r="A12" s="99"/>
      <c r="B12" s="133" t="s">
        <v>149</v>
      </c>
      <c r="E12" s="101" t="str">
        <f>'ADJ DETAIL INPUT'!E11</f>
        <v>G-ROO</v>
      </c>
      <c r="F12" s="101" t="str">
        <f>'ADJ DETAIL INPUT'!F11</f>
        <v>G-DFIT</v>
      </c>
      <c r="G12" s="101" t="str">
        <f>'ADJ DETAIL INPUT'!G11</f>
        <v>G-DDC</v>
      </c>
      <c r="H12" s="101" t="str">
        <f>'ADJ DETAIL INPUT'!H11</f>
        <v>G-WC</v>
      </c>
      <c r="I12" s="101" t="str">
        <f>'ADJ DETAIL INPUT'!I11</f>
        <v>G-AMI</v>
      </c>
      <c r="J12" s="101" t="str">
        <f>'ADJ DETAIL INPUT'!J11</f>
        <v>G-EBO</v>
      </c>
      <c r="K12" s="101" t="str">
        <f>'ADJ DETAIL INPUT'!K11</f>
        <v>G-RPT</v>
      </c>
      <c r="L12" s="101" t="str">
        <f>'ADJ DETAIL INPUT'!L11</f>
        <v>G-UE</v>
      </c>
      <c r="M12" s="101" t="str">
        <f>'ADJ DETAIL INPUT'!M11</f>
        <v>G-RE</v>
      </c>
      <c r="N12" s="101" t="str">
        <f>'ADJ DETAIL INPUT'!N11</f>
        <v>G-ID</v>
      </c>
      <c r="O12" s="101" t="str">
        <f>'ADJ DETAIL INPUT'!O11</f>
        <v>G-FIT</v>
      </c>
      <c r="P12" s="101" t="str">
        <f>'ADJ DETAIL INPUT'!P11</f>
        <v>G-OSC</v>
      </c>
      <c r="Q12" s="101" t="str">
        <f>'ADJ DETAIL INPUT'!Q11</f>
        <v>G-RET</v>
      </c>
      <c r="R12" s="101" t="str">
        <f>'ADJ DETAIL INPUT'!R11</f>
        <v>G-NGL</v>
      </c>
      <c r="S12" s="101" t="str">
        <f>'ADJ DETAIL INPUT'!S11</f>
        <v>G-WNGC</v>
      </c>
      <c r="T12" s="101" t="str">
        <f>'ADJ DETAIL INPUT'!T11</f>
        <v>G-EAS</v>
      </c>
      <c r="U12" s="101" t="str">
        <f>'ADJ DETAIL INPUT'!U11</f>
        <v>G-MR</v>
      </c>
      <c r="V12" s="101" t="str">
        <f>'ADJ DETAIL INPUT'!V11</f>
        <v>G-RI</v>
      </c>
      <c r="W12" s="101" t="str">
        <f>'ADJ DETAIL INPUT'!W11</f>
        <v>G-DI</v>
      </c>
    </row>
    <row r="14" spans="1:23">
      <c r="B14" s="93" t="s">
        <v>25</v>
      </c>
    </row>
    <row r="15" spans="1:23" s="118" customFormat="1">
      <c r="A15" s="117">
        <v>1</v>
      </c>
      <c r="B15" s="118" t="s">
        <v>26</v>
      </c>
      <c r="E15" s="217">
        <f>'ADJ DETAIL INPUT'!E14</f>
        <v>140625</v>
      </c>
      <c r="F15" s="217">
        <f>'ADJ DETAIL INPUT'!F14</f>
        <v>0</v>
      </c>
      <c r="G15" s="217">
        <f>'ADJ DETAIL INPUT'!G14</f>
        <v>0</v>
      </c>
      <c r="H15" s="217">
        <f>'ADJ DETAIL INPUT'!H14</f>
        <v>0</v>
      </c>
      <c r="I15" s="217">
        <f>'ADJ DETAIL INPUT'!I14</f>
        <v>0</v>
      </c>
      <c r="J15" s="217">
        <f>'ADJ DETAIL INPUT'!J14</f>
        <v>-5070</v>
      </c>
      <c r="K15" s="217">
        <f>'ADJ DETAIL INPUT'!K14</f>
        <v>0</v>
      </c>
      <c r="L15" s="217">
        <f>'ADJ DETAIL INPUT'!L14</f>
        <v>0</v>
      </c>
      <c r="M15" s="217">
        <f>'ADJ DETAIL INPUT'!M14</f>
        <v>0</v>
      </c>
      <c r="N15" s="217">
        <f>'ADJ DETAIL INPUT'!N14</f>
        <v>0</v>
      </c>
      <c r="O15" s="217">
        <f>'ADJ DETAIL INPUT'!O14</f>
        <v>0</v>
      </c>
      <c r="P15" s="217">
        <f>'ADJ DETAIL INPUT'!P14</f>
        <v>0</v>
      </c>
      <c r="Q15" s="217">
        <f>'ADJ DETAIL INPUT'!Q14</f>
        <v>0</v>
      </c>
      <c r="R15" s="217">
        <f>'ADJ DETAIL INPUT'!R14</f>
        <v>0</v>
      </c>
      <c r="S15" s="217">
        <f>'ADJ DETAIL INPUT'!S14</f>
        <v>6259</v>
      </c>
      <c r="T15" s="217">
        <f>'ADJ DETAIL INPUT'!T14</f>
        <v>5056</v>
      </c>
      <c r="U15" s="217">
        <f>'ADJ DETAIL INPUT'!U14</f>
        <v>0</v>
      </c>
      <c r="V15" s="217">
        <f>'ADJ DETAIL INPUT'!V14</f>
        <v>0</v>
      </c>
      <c r="W15" s="217">
        <f>'ADJ DETAIL INPUT'!W14</f>
        <v>0</v>
      </c>
    </row>
    <row r="16" spans="1:23">
      <c r="A16" s="117">
        <v>2</v>
      </c>
      <c r="B16" s="119" t="s">
        <v>27</v>
      </c>
      <c r="D16" s="119"/>
      <c r="E16" s="137">
        <f>'ADJ DETAIL INPUT'!E15</f>
        <v>5088</v>
      </c>
      <c r="F16" s="137">
        <f>'ADJ DETAIL INPUT'!F15</f>
        <v>0</v>
      </c>
      <c r="G16" s="137">
        <f>'ADJ DETAIL INPUT'!G15</f>
        <v>0</v>
      </c>
      <c r="H16" s="137">
        <f>'ADJ DETAIL INPUT'!H15</f>
        <v>0</v>
      </c>
      <c r="I16" s="137">
        <f>'ADJ DETAIL INPUT'!I15</f>
        <v>0</v>
      </c>
      <c r="J16" s="137">
        <f>'ADJ DETAIL INPUT'!J15</f>
        <v>-128</v>
      </c>
      <c r="K16" s="137">
        <f>'ADJ DETAIL INPUT'!K15</f>
        <v>0</v>
      </c>
      <c r="L16" s="137">
        <f>'ADJ DETAIL INPUT'!L15</f>
        <v>0</v>
      </c>
      <c r="M16" s="137">
        <f>'ADJ DETAIL INPUT'!M15</f>
        <v>0</v>
      </c>
      <c r="N16" s="137">
        <f>'ADJ DETAIL INPUT'!N15</f>
        <v>0</v>
      </c>
      <c r="O16" s="137">
        <f>'ADJ DETAIL INPUT'!O15</f>
        <v>0</v>
      </c>
      <c r="P16" s="137">
        <f>'ADJ DETAIL INPUT'!P15</f>
        <v>0</v>
      </c>
      <c r="Q16" s="137">
        <f>'ADJ DETAIL INPUT'!Q15</f>
        <v>0</v>
      </c>
      <c r="R16" s="137">
        <f>'ADJ DETAIL INPUT'!R15</f>
        <v>0</v>
      </c>
      <c r="S16" s="137">
        <f>'ADJ DETAIL INPUT'!S15</f>
        <v>0</v>
      </c>
      <c r="T16" s="137">
        <f>'ADJ DETAIL INPUT'!T15</f>
        <v>0</v>
      </c>
      <c r="U16" s="137">
        <f>'ADJ DETAIL INPUT'!U15</f>
        <v>0</v>
      </c>
      <c r="V16" s="137">
        <f>'ADJ DETAIL INPUT'!V15</f>
        <v>0</v>
      </c>
      <c r="W16" s="137">
        <f>'ADJ DETAIL INPUT'!W15</f>
        <v>0</v>
      </c>
    </row>
    <row r="17" spans="1:23">
      <c r="A17" s="117">
        <v>3</v>
      </c>
      <c r="B17" s="119" t="s">
        <v>28</v>
      </c>
      <c r="D17" s="119"/>
      <c r="E17" s="138">
        <f>'ADJ DETAIL INPUT'!E16</f>
        <v>50681</v>
      </c>
      <c r="F17" s="138">
        <f>'ADJ DETAIL INPUT'!F16</f>
        <v>0</v>
      </c>
      <c r="G17" s="138">
        <f>'ADJ DETAIL INPUT'!G16</f>
        <v>0</v>
      </c>
      <c r="H17" s="138">
        <f>'ADJ DETAIL INPUT'!H16</f>
        <v>0</v>
      </c>
      <c r="I17" s="138">
        <f>'ADJ DETAIL INPUT'!I16</f>
        <v>0</v>
      </c>
      <c r="J17" s="138">
        <f>'ADJ DETAIL INPUT'!J16</f>
        <v>0</v>
      </c>
      <c r="K17" s="138">
        <f>'ADJ DETAIL INPUT'!K16</f>
        <v>0</v>
      </c>
      <c r="L17" s="138">
        <f>'ADJ DETAIL INPUT'!L16</f>
        <v>0</v>
      </c>
      <c r="M17" s="138">
        <f>'ADJ DETAIL INPUT'!M16</f>
        <v>0</v>
      </c>
      <c r="N17" s="138">
        <f>'ADJ DETAIL INPUT'!N16</f>
        <v>0</v>
      </c>
      <c r="O17" s="138">
        <f>'ADJ DETAIL INPUT'!O16</f>
        <v>0</v>
      </c>
      <c r="P17" s="138">
        <f>'ADJ DETAIL INPUT'!P16</f>
        <v>0</v>
      </c>
      <c r="Q17" s="138">
        <f>'ADJ DETAIL INPUT'!Q16</f>
        <v>0</v>
      </c>
      <c r="R17" s="138">
        <f>'ADJ DETAIL INPUT'!R16</f>
        <v>0</v>
      </c>
      <c r="S17" s="138">
        <f>'ADJ DETAIL INPUT'!S16</f>
        <v>-3321</v>
      </c>
      <c r="T17" s="138">
        <f>'ADJ DETAIL INPUT'!T16</f>
        <v>-51690</v>
      </c>
      <c r="U17" s="138">
        <f>'ADJ DETAIL INPUT'!U16</f>
        <v>114</v>
      </c>
      <c r="V17" s="138">
        <f>'ADJ DETAIL INPUT'!V16</f>
        <v>0</v>
      </c>
      <c r="W17" s="138">
        <f>'ADJ DETAIL INPUT'!W16</f>
        <v>0</v>
      </c>
    </row>
    <row r="18" spans="1:23">
      <c r="A18" s="117">
        <v>4</v>
      </c>
      <c r="B18" s="93" t="s">
        <v>29</v>
      </c>
      <c r="C18" s="119"/>
      <c r="D18" s="119"/>
      <c r="E18" s="137">
        <f>SUM(E15:E17)</f>
        <v>196394</v>
      </c>
      <c r="F18" s="137">
        <f t="shared" ref="F18:S18" si="0">SUM(F15:F17)</f>
        <v>0</v>
      </c>
      <c r="G18" s="137">
        <f t="shared" si="0"/>
        <v>0</v>
      </c>
      <c r="H18" s="137">
        <f t="shared" si="0"/>
        <v>0</v>
      </c>
      <c r="I18" s="137">
        <f t="shared" ref="I18" si="1">SUM(I15:I17)</f>
        <v>0</v>
      </c>
      <c r="J18" s="137">
        <f t="shared" si="0"/>
        <v>-5198</v>
      </c>
      <c r="K18" s="137">
        <f t="shared" si="0"/>
        <v>0</v>
      </c>
      <c r="L18" s="137">
        <f t="shared" si="0"/>
        <v>0</v>
      </c>
      <c r="M18" s="137">
        <f t="shared" si="0"/>
        <v>0</v>
      </c>
      <c r="N18" s="137">
        <f t="shared" si="0"/>
        <v>0</v>
      </c>
      <c r="O18" s="137">
        <f t="shared" si="0"/>
        <v>0</v>
      </c>
      <c r="P18" s="137">
        <f t="shared" si="0"/>
        <v>0</v>
      </c>
      <c r="Q18" s="137">
        <f t="shared" si="0"/>
        <v>0</v>
      </c>
      <c r="R18" s="137">
        <f t="shared" si="0"/>
        <v>0</v>
      </c>
      <c r="S18" s="137">
        <f t="shared" si="0"/>
        <v>2938</v>
      </c>
      <c r="T18" s="137">
        <f t="shared" ref="T18:U18" si="2">SUM(T15:T17)</f>
        <v>-46634</v>
      </c>
      <c r="U18" s="137">
        <f t="shared" si="2"/>
        <v>114</v>
      </c>
      <c r="V18" s="137">
        <f t="shared" ref="V18" si="3">SUM(V15:V17)</f>
        <v>0</v>
      </c>
      <c r="W18" s="137">
        <f>SUM(W15:W17)</f>
        <v>0</v>
      </c>
    </row>
    <row r="19" spans="1:23">
      <c r="C19" s="119"/>
      <c r="D19" s="119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>
      <c r="B20" s="93" t="s">
        <v>30</v>
      </c>
      <c r="C20" s="119"/>
      <c r="D20" s="119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>
      <c r="B21" s="119" t="s">
        <v>167</v>
      </c>
      <c r="D21" s="119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>
      <c r="A22" s="117">
        <v>5</v>
      </c>
      <c r="C22" s="119" t="s">
        <v>31</v>
      </c>
      <c r="D22" s="119"/>
      <c r="E22" s="137">
        <f>'ADJ DETAIL INPUT'!E21</f>
        <v>90669</v>
      </c>
      <c r="F22" s="137">
        <f>'ADJ DETAIL INPUT'!F21</f>
        <v>0</v>
      </c>
      <c r="G22" s="137">
        <f>'ADJ DETAIL INPUT'!G21</f>
        <v>0</v>
      </c>
      <c r="H22" s="137">
        <f>'ADJ DETAIL INPUT'!H21</f>
        <v>0</v>
      </c>
      <c r="I22" s="137">
        <f>'ADJ DETAIL INPUT'!I21</f>
        <v>0</v>
      </c>
      <c r="J22" s="137">
        <f>'ADJ DETAIL INPUT'!J21</f>
        <v>0</v>
      </c>
      <c r="K22" s="137">
        <f>'ADJ DETAIL INPUT'!K21</f>
        <v>0</v>
      </c>
      <c r="L22" s="137">
        <f>'ADJ DETAIL INPUT'!L21</f>
        <v>0</v>
      </c>
      <c r="M22" s="137">
        <f>'ADJ DETAIL INPUT'!M21</f>
        <v>0</v>
      </c>
      <c r="N22" s="137">
        <f>'ADJ DETAIL INPUT'!N21</f>
        <v>0</v>
      </c>
      <c r="O22" s="137">
        <f>'ADJ DETAIL INPUT'!O21</f>
        <v>0</v>
      </c>
      <c r="P22" s="137">
        <f>'ADJ DETAIL INPUT'!P21</f>
        <v>0</v>
      </c>
      <c r="Q22" s="137">
        <f>'ADJ DETAIL INPUT'!Q21</f>
        <v>0</v>
      </c>
      <c r="R22" s="137">
        <f>'ADJ DETAIL INPUT'!R21</f>
        <v>0</v>
      </c>
      <c r="S22" s="137">
        <f>'ADJ DETAIL INPUT'!S21</f>
        <v>2651</v>
      </c>
      <c r="T22" s="137">
        <f>'ADJ DETAIL INPUT'!T21</f>
        <v>-41801</v>
      </c>
      <c r="U22" s="137">
        <f>'ADJ DETAIL INPUT'!U21</f>
        <v>0</v>
      </c>
      <c r="V22" s="137">
        <f>'ADJ DETAIL INPUT'!V21</f>
        <v>0</v>
      </c>
      <c r="W22" s="137">
        <f>'ADJ DETAIL INPUT'!W21</f>
        <v>0</v>
      </c>
    </row>
    <row r="23" spans="1:23">
      <c r="A23" s="117">
        <v>6</v>
      </c>
      <c r="C23" s="119" t="s">
        <v>32</v>
      </c>
      <c r="D23" s="119"/>
      <c r="E23" s="137">
        <f>'ADJ DETAIL INPUT'!E22</f>
        <v>955</v>
      </c>
      <c r="F23" s="137">
        <f>'ADJ DETAIL INPUT'!F22</f>
        <v>0</v>
      </c>
      <c r="G23" s="137">
        <f>'ADJ DETAIL INPUT'!G22</f>
        <v>0</v>
      </c>
      <c r="H23" s="137">
        <f>'ADJ DETAIL INPUT'!H22</f>
        <v>0</v>
      </c>
      <c r="I23" s="137">
        <f>'ADJ DETAIL INPUT'!I22</f>
        <v>0</v>
      </c>
      <c r="J23" s="137">
        <f>'ADJ DETAIL INPUT'!J22</f>
        <v>0</v>
      </c>
      <c r="K23" s="137">
        <f>'ADJ DETAIL INPUT'!K22</f>
        <v>0</v>
      </c>
      <c r="L23" s="137">
        <f>'ADJ DETAIL INPUT'!L22</f>
        <v>0</v>
      </c>
      <c r="M23" s="137">
        <f>'ADJ DETAIL INPUT'!M22</f>
        <v>0</v>
      </c>
      <c r="N23" s="137">
        <f>'ADJ DETAIL INPUT'!N22</f>
        <v>0</v>
      </c>
      <c r="O23" s="137">
        <f>'ADJ DETAIL INPUT'!O22</f>
        <v>0</v>
      </c>
      <c r="P23" s="137">
        <f>'ADJ DETAIL INPUT'!P22</f>
        <v>0</v>
      </c>
      <c r="Q23" s="137">
        <f>'ADJ DETAIL INPUT'!Q22</f>
        <v>0</v>
      </c>
      <c r="R23" s="137">
        <f>'ADJ DETAIL INPUT'!R22</f>
        <v>0</v>
      </c>
      <c r="S23" s="137">
        <f>'ADJ DETAIL INPUT'!S22</f>
        <v>4</v>
      </c>
      <c r="T23" s="137">
        <f>'ADJ DETAIL INPUT'!T22</f>
        <v>0</v>
      </c>
      <c r="U23" s="137">
        <f>'ADJ DETAIL INPUT'!U22</f>
        <v>0</v>
      </c>
      <c r="V23" s="137">
        <f>'ADJ DETAIL INPUT'!V22</f>
        <v>0</v>
      </c>
      <c r="W23" s="137">
        <f>'ADJ DETAIL INPUT'!W22</f>
        <v>0</v>
      </c>
    </row>
    <row r="24" spans="1:23">
      <c r="A24" s="117">
        <v>7</v>
      </c>
      <c r="C24" s="119" t="s">
        <v>33</v>
      </c>
      <c r="D24" s="119"/>
      <c r="E24" s="138">
        <f>'ADJ DETAIL INPUT'!E23</f>
        <v>-292</v>
      </c>
      <c r="F24" s="138">
        <f>'ADJ DETAIL INPUT'!F23</f>
        <v>0</v>
      </c>
      <c r="G24" s="138">
        <f>'ADJ DETAIL INPUT'!G23</f>
        <v>0</v>
      </c>
      <c r="H24" s="138">
        <f>'ADJ DETAIL INPUT'!H23</f>
        <v>0</v>
      </c>
      <c r="I24" s="138">
        <f>'ADJ DETAIL INPUT'!I23</f>
        <v>0</v>
      </c>
      <c r="J24" s="138">
        <f>'ADJ DETAIL INPUT'!J23</f>
        <v>0</v>
      </c>
      <c r="K24" s="138">
        <f>'ADJ DETAIL INPUT'!K23</f>
        <v>0</v>
      </c>
      <c r="L24" s="138">
        <f>'ADJ DETAIL INPUT'!L23</f>
        <v>0</v>
      </c>
      <c r="M24" s="138">
        <f>'ADJ DETAIL INPUT'!M23</f>
        <v>0</v>
      </c>
      <c r="N24" s="138">
        <f>'ADJ DETAIL INPUT'!N23</f>
        <v>0</v>
      </c>
      <c r="O24" s="138">
        <f>'ADJ DETAIL INPUT'!O23</f>
        <v>0</v>
      </c>
      <c r="P24" s="138">
        <f>'ADJ DETAIL INPUT'!P23</f>
        <v>0</v>
      </c>
      <c r="Q24" s="138">
        <f>'ADJ DETAIL INPUT'!Q23</f>
        <v>0</v>
      </c>
      <c r="R24" s="138">
        <f>'ADJ DETAIL INPUT'!R23</f>
        <v>0</v>
      </c>
      <c r="S24" s="138">
        <f>'ADJ DETAIL INPUT'!S23</f>
        <v>0</v>
      </c>
      <c r="T24" s="138">
        <f>'ADJ DETAIL INPUT'!T23</f>
        <v>292</v>
      </c>
      <c r="U24" s="138">
        <f>'ADJ DETAIL INPUT'!U23</f>
        <v>0</v>
      </c>
      <c r="V24" s="138">
        <f>'ADJ DETAIL INPUT'!V23</f>
        <v>0</v>
      </c>
      <c r="W24" s="138">
        <f>'ADJ DETAIL INPUT'!W23</f>
        <v>0</v>
      </c>
    </row>
    <row r="25" spans="1:23">
      <c r="A25" s="117">
        <v>8</v>
      </c>
      <c r="B25" s="119" t="s">
        <v>34</v>
      </c>
      <c r="C25" s="119"/>
      <c r="E25" s="139">
        <f>SUM(E22:E24)</f>
        <v>91332</v>
      </c>
      <c r="F25" s="139">
        <f t="shared" ref="F25:S25" si="4">SUM(F22:F24)</f>
        <v>0</v>
      </c>
      <c r="G25" s="139">
        <f t="shared" si="4"/>
        <v>0</v>
      </c>
      <c r="H25" s="139">
        <f t="shared" si="4"/>
        <v>0</v>
      </c>
      <c r="I25" s="139">
        <f t="shared" ref="I25" si="5">SUM(I22:I24)</f>
        <v>0</v>
      </c>
      <c r="J25" s="139">
        <f t="shared" si="4"/>
        <v>0</v>
      </c>
      <c r="K25" s="139">
        <f t="shared" si="4"/>
        <v>0</v>
      </c>
      <c r="L25" s="139">
        <f t="shared" si="4"/>
        <v>0</v>
      </c>
      <c r="M25" s="139">
        <f t="shared" si="4"/>
        <v>0</v>
      </c>
      <c r="N25" s="139">
        <f t="shared" si="4"/>
        <v>0</v>
      </c>
      <c r="O25" s="139">
        <f t="shared" si="4"/>
        <v>0</v>
      </c>
      <c r="P25" s="139">
        <f t="shared" si="4"/>
        <v>0</v>
      </c>
      <c r="Q25" s="139">
        <f t="shared" si="4"/>
        <v>0</v>
      </c>
      <c r="R25" s="139">
        <f t="shared" si="4"/>
        <v>0</v>
      </c>
      <c r="S25" s="139">
        <f t="shared" si="4"/>
        <v>2655</v>
      </c>
      <c r="T25" s="139">
        <f t="shared" ref="T25:U25" si="6">SUM(T22:T24)</f>
        <v>-41509</v>
      </c>
      <c r="U25" s="139">
        <f t="shared" si="6"/>
        <v>0</v>
      </c>
      <c r="V25" s="139">
        <f t="shared" ref="V25" si="7">SUM(V22:V24)</f>
        <v>0</v>
      </c>
      <c r="W25" s="139">
        <f>SUM(W22:W24)</f>
        <v>0</v>
      </c>
    </row>
    <row r="26" spans="1:23">
      <c r="B26" s="119"/>
      <c r="C26" s="119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>
      <c r="B27" s="119" t="s">
        <v>35</v>
      </c>
      <c r="D27" s="119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</row>
    <row r="28" spans="1:23">
      <c r="A28" s="117">
        <v>9</v>
      </c>
      <c r="C28" s="119" t="s">
        <v>36</v>
      </c>
      <c r="D28" s="119"/>
      <c r="E28" s="137">
        <f>'ADJ DETAIL INPUT'!E27</f>
        <v>1532</v>
      </c>
      <c r="F28" s="137">
        <f>'ADJ DETAIL INPUT'!F27</f>
        <v>0</v>
      </c>
      <c r="G28" s="137">
        <f>'ADJ DETAIL INPUT'!G27</f>
        <v>0</v>
      </c>
      <c r="H28" s="137">
        <f>'ADJ DETAIL INPUT'!H27</f>
        <v>0</v>
      </c>
      <c r="I28" s="137">
        <f>'ADJ DETAIL INPUT'!I27</f>
        <v>0</v>
      </c>
      <c r="J28" s="137">
        <f>'ADJ DETAIL INPUT'!J27</f>
        <v>0</v>
      </c>
      <c r="K28" s="137">
        <f>'ADJ DETAIL INPUT'!K27</f>
        <v>0</v>
      </c>
      <c r="L28" s="137">
        <f>'ADJ DETAIL INPUT'!L27</f>
        <v>0</v>
      </c>
      <c r="M28" s="137">
        <f>'ADJ DETAIL INPUT'!M27</f>
        <v>0</v>
      </c>
      <c r="N28" s="137">
        <f>'ADJ DETAIL INPUT'!N27</f>
        <v>0</v>
      </c>
      <c r="O28" s="137">
        <f>'ADJ DETAIL INPUT'!O27</f>
        <v>0</v>
      </c>
      <c r="P28" s="137">
        <f>'ADJ DETAIL INPUT'!P27</f>
        <v>0</v>
      </c>
      <c r="Q28" s="137">
        <f>'ADJ DETAIL INPUT'!Q27</f>
        <v>0</v>
      </c>
      <c r="R28" s="137">
        <f>'ADJ DETAIL INPUT'!R27</f>
        <v>0</v>
      </c>
      <c r="S28" s="137">
        <f>'ADJ DETAIL INPUT'!S27</f>
        <v>0</v>
      </c>
      <c r="T28" s="137">
        <f>'ADJ DETAIL INPUT'!T27</f>
        <v>0</v>
      </c>
      <c r="U28" s="137">
        <f>'ADJ DETAIL INPUT'!U27</f>
        <v>0</v>
      </c>
      <c r="V28" s="137">
        <f>'ADJ DETAIL INPUT'!V27</f>
        <v>0</v>
      </c>
      <c r="W28" s="137">
        <f>'ADJ DETAIL INPUT'!W27</f>
        <v>0</v>
      </c>
    </row>
    <row r="29" spans="1:23">
      <c r="A29" s="117">
        <v>10</v>
      </c>
      <c r="C29" s="119" t="s">
        <v>163</v>
      </c>
      <c r="D29" s="119"/>
      <c r="E29" s="137">
        <f>'ADJ DETAIL INPUT'!E28</f>
        <v>627</v>
      </c>
      <c r="F29" s="137">
        <f>'ADJ DETAIL INPUT'!F28</f>
        <v>0</v>
      </c>
      <c r="G29" s="137">
        <f>'ADJ DETAIL INPUT'!G28</f>
        <v>0</v>
      </c>
      <c r="H29" s="137">
        <f>'ADJ DETAIL INPUT'!H28</f>
        <v>0</v>
      </c>
      <c r="I29" s="137">
        <f>'ADJ DETAIL INPUT'!I28</f>
        <v>0</v>
      </c>
      <c r="J29" s="137">
        <f>'ADJ DETAIL INPUT'!J28</f>
        <v>0</v>
      </c>
      <c r="K29" s="137">
        <f>'ADJ DETAIL INPUT'!K28</f>
        <v>0</v>
      </c>
      <c r="L29" s="137">
        <f>'ADJ DETAIL INPUT'!L28</f>
        <v>0</v>
      </c>
      <c r="M29" s="137">
        <f>'ADJ DETAIL INPUT'!M28</f>
        <v>0</v>
      </c>
      <c r="N29" s="137">
        <f>'ADJ DETAIL INPUT'!N28</f>
        <v>0</v>
      </c>
      <c r="O29" s="137">
        <f>'ADJ DETAIL INPUT'!O28</f>
        <v>0</v>
      </c>
      <c r="P29" s="137">
        <f>'ADJ DETAIL INPUT'!P28</f>
        <v>0</v>
      </c>
      <c r="Q29" s="137">
        <f>'ADJ DETAIL INPUT'!Q28</f>
        <v>0</v>
      </c>
      <c r="R29" s="137">
        <f>'ADJ DETAIL INPUT'!R28</f>
        <v>0</v>
      </c>
      <c r="S29" s="137">
        <f>'ADJ DETAIL INPUT'!S28</f>
        <v>0</v>
      </c>
      <c r="T29" s="137">
        <f>'ADJ DETAIL INPUT'!T28</f>
        <v>0</v>
      </c>
      <c r="U29" s="137">
        <f>'ADJ DETAIL INPUT'!U28</f>
        <v>0</v>
      </c>
      <c r="V29" s="137">
        <f>'ADJ DETAIL INPUT'!V28</f>
        <v>0</v>
      </c>
      <c r="W29" s="137">
        <f>'ADJ DETAIL INPUT'!W28</f>
        <v>0</v>
      </c>
    </row>
    <row r="30" spans="1:23">
      <c r="A30" s="117">
        <v>11</v>
      </c>
      <c r="C30" s="119" t="s">
        <v>20</v>
      </c>
      <c r="D30" s="119"/>
      <c r="E30" s="138">
        <f>'ADJ DETAIL INPUT'!E29</f>
        <v>302</v>
      </c>
      <c r="F30" s="138">
        <f>'ADJ DETAIL INPUT'!F29</f>
        <v>0</v>
      </c>
      <c r="G30" s="138">
        <f>'ADJ DETAIL INPUT'!G29</f>
        <v>0</v>
      </c>
      <c r="H30" s="138">
        <f>'ADJ DETAIL INPUT'!H29</f>
        <v>0</v>
      </c>
      <c r="I30" s="138">
        <f>'ADJ DETAIL INPUT'!I29</f>
        <v>0</v>
      </c>
      <c r="J30" s="138">
        <f>'ADJ DETAIL INPUT'!J29</f>
        <v>0</v>
      </c>
      <c r="K30" s="138">
        <f>'ADJ DETAIL INPUT'!K29</f>
        <v>-78</v>
      </c>
      <c r="L30" s="138">
        <f>'ADJ DETAIL INPUT'!L29</f>
        <v>0</v>
      </c>
      <c r="M30" s="138">
        <f>'ADJ DETAIL INPUT'!M29</f>
        <v>0</v>
      </c>
      <c r="N30" s="138">
        <f>'ADJ DETAIL INPUT'!N29</f>
        <v>0</v>
      </c>
      <c r="O30" s="138">
        <f>'ADJ DETAIL INPUT'!O29</f>
        <v>0</v>
      </c>
      <c r="P30" s="138">
        <f>'ADJ DETAIL INPUT'!P29</f>
        <v>0</v>
      </c>
      <c r="Q30" s="138">
        <f>'ADJ DETAIL INPUT'!Q29</f>
        <v>0</v>
      </c>
      <c r="R30" s="138">
        <f>'ADJ DETAIL INPUT'!R29</f>
        <v>0</v>
      </c>
      <c r="S30" s="138">
        <f>'ADJ DETAIL INPUT'!S29</f>
        <v>0</v>
      </c>
      <c r="T30" s="138">
        <f>'ADJ DETAIL INPUT'!T29</f>
        <v>0</v>
      </c>
      <c r="U30" s="138">
        <f>'ADJ DETAIL INPUT'!U29</f>
        <v>0</v>
      </c>
      <c r="V30" s="138">
        <f>'ADJ DETAIL INPUT'!V29</f>
        <v>0</v>
      </c>
      <c r="W30" s="138">
        <f>'ADJ DETAIL INPUT'!W29</f>
        <v>0</v>
      </c>
    </row>
    <row r="31" spans="1:23">
      <c r="A31" s="117">
        <v>12</v>
      </c>
      <c r="B31" s="119" t="s">
        <v>37</v>
      </c>
      <c r="C31" s="119"/>
      <c r="E31" s="137">
        <f t="shared" ref="E31" si="8">SUM(E28:E30)</f>
        <v>2461</v>
      </c>
      <c r="F31" s="137">
        <f t="shared" ref="F31:S31" si="9">SUM(F28:F30)</f>
        <v>0</v>
      </c>
      <c r="G31" s="137">
        <f t="shared" si="9"/>
        <v>0</v>
      </c>
      <c r="H31" s="137">
        <f t="shared" si="9"/>
        <v>0</v>
      </c>
      <c r="I31" s="137">
        <f t="shared" ref="I31" si="10">SUM(I28:I30)</f>
        <v>0</v>
      </c>
      <c r="J31" s="137">
        <f t="shared" si="9"/>
        <v>0</v>
      </c>
      <c r="K31" s="137">
        <f t="shared" si="9"/>
        <v>-78</v>
      </c>
      <c r="L31" s="137">
        <f t="shared" si="9"/>
        <v>0</v>
      </c>
      <c r="M31" s="137">
        <f t="shared" si="9"/>
        <v>0</v>
      </c>
      <c r="N31" s="137">
        <f t="shared" si="9"/>
        <v>0</v>
      </c>
      <c r="O31" s="137">
        <f t="shared" si="9"/>
        <v>0</v>
      </c>
      <c r="P31" s="137">
        <f t="shared" si="9"/>
        <v>0</v>
      </c>
      <c r="Q31" s="137">
        <f t="shared" si="9"/>
        <v>0</v>
      </c>
      <c r="R31" s="137">
        <f t="shared" si="9"/>
        <v>0</v>
      </c>
      <c r="S31" s="137">
        <f t="shared" si="9"/>
        <v>0</v>
      </c>
      <c r="T31" s="137">
        <f t="shared" ref="T31:U31" si="11">SUM(T28:T30)</f>
        <v>0</v>
      </c>
      <c r="U31" s="137">
        <f t="shared" si="11"/>
        <v>0</v>
      </c>
      <c r="V31" s="137">
        <f t="shared" ref="V31" si="12">SUM(V28:V30)</f>
        <v>0</v>
      </c>
      <c r="W31" s="137">
        <f>SUM(W28:W30)</f>
        <v>0</v>
      </c>
    </row>
    <row r="32" spans="1:23">
      <c r="B32" s="119"/>
      <c r="C32" s="11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</row>
    <row r="33" spans="1:23">
      <c r="B33" s="119" t="s">
        <v>38</v>
      </c>
      <c r="D33" s="119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</row>
    <row r="34" spans="1:23">
      <c r="A34" s="117">
        <v>13</v>
      </c>
      <c r="C34" s="119" t="s">
        <v>36</v>
      </c>
      <c r="D34" s="119"/>
      <c r="E34" s="137">
        <f>'ADJ DETAIL INPUT'!E33</f>
        <v>12316</v>
      </c>
      <c r="F34" s="137">
        <f>'ADJ DETAIL INPUT'!F33</f>
        <v>0</v>
      </c>
      <c r="G34" s="137">
        <f>'ADJ DETAIL INPUT'!G33</f>
        <v>0</v>
      </c>
      <c r="H34" s="137">
        <f>'ADJ DETAIL INPUT'!H33</f>
        <v>0</v>
      </c>
      <c r="I34" s="137">
        <f>'ADJ DETAIL INPUT'!I33</f>
        <v>0</v>
      </c>
      <c r="J34" s="137">
        <f>'ADJ DETAIL INPUT'!J33</f>
        <v>0</v>
      </c>
      <c r="K34" s="137">
        <f>'ADJ DETAIL INPUT'!K33</f>
        <v>0</v>
      </c>
      <c r="L34" s="137">
        <f>'ADJ DETAIL INPUT'!L33</f>
        <v>0</v>
      </c>
      <c r="M34" s="137">
        <f>'ADJ DETAIL INPUT'!M33</f>
        <v>0</v>
      </c>
      <c r="N34" s="137">
        <f>'ADJ DETAIL INPUT'!N33</f>
        <v>0</v>
      </c>
      <c r="O34" s="137">
        <f>'ADJ DETAIL INPUT'!O33</f>
        <v>0</v>
      </c>
      <c r="P34" s="137">
        <f>'ADJ DETAIL INPUT'!P33</f>
        <v>0</v>
      </c>
      <c r="Q34" s="137">
        <f>'ADJ DETAIL INPUT'!Q33</f>
        <v>0</v>
      </c>
      <c r="R34" s="137">
        <f>'ADJ DETAIL INPUT'!R33</f>
        <v>0</v>
      </c>
      <c r="S34" s="137">
        <f>'ADJ DETAIL INPUT'!S33</f>
        <v>0</v>
      </c>
      <c r="T34" s="137">
        <f>'ADJ DETAIL INPUT'!T33</f>
        <v>0</v>
      </c>
      <c r="U34" s="137">
        <f>'ADJ DETAIL INPUT'!U33</f>
        <v>-8</v>
      </c>
      <c r="V34" s="137">
        <f>'ADJ DETAIL INPUT'!V33</f>
        <v>0</v>
      </c>
      <c r="W34" s="137">
        <f>'ADJ DETAIL INPUT'!W33</f>
        <v>0</v>
      </c>
    </row>
    <row r="35" spans="1:23">
      <c r="A35" s="117">
        <v>14</v>
      </c>
      <c r="C35" s="119" t="s">
        <v>163</v>
      </c>
      <c r="D35" s="119"/>
      <c r="E35" s="139">
        <f>'ADJ DETAIL INPUT'!E34</f>
        <v>11642</v>
      </c>
      <c r="F35" s="139">
        <f>'ADJ DETAIL INPUT'!F34</f>
        <v>0</v>
      </c>
      <c r="G35" s="139">
        <f>'ADJ DETAIL INPUT'!G34</f>
        <v>0</v>
      </c>
      <c r="H35" s="139">
        <f>'ADJ DETAIL INPUT'!H34</f>
        <v>0</v>
      </c>
      <c r="I35" s="139">
        <f>'ADJ DETAIL INPUT'!I34</f>
        <v>0</v>
      </c>
      <c r="J35" s="139">
        <f>'ADJ DETAIL INPUT'!J34</f>
        <v>0</v>
      </c>
      <c r="K35" s="139">
        <f>'ADJ DETAIL INPUT'!K34</f>
        <v>0</v>
      </c>
      <c r="L35" s="139">
        <f>'ADJ DETAIL INPUT'!L34</f>
        <v>0</v>
      </c>
      <c r="M35" s="139">
        <f>'ADJ DETAIL INPUT'!M34</f>
        <v>0</v>
      </c>
      <c r="N35" s="139">
        <f>'ADJ DETAIL INPUT'!N34</f>
        <v>0</v>
      </c>
      <c r="O35" s="139">
        <f>'ADJ DETAIL INPUT'!O34</f>
        <v>0</v>
      </c>
      <c r="P35" s="139">
        <f>'ADJ DETAIL INPUT'!P34</f>
        <v>0</v>
      </c>
      <c r="Q35" s="139">
        <f>'ADJ DETAIL INPUT'!Q34</f>
        <v>0</v>
      </c>
      <c r="R35" s="139">
        <f>'ADJ DETAIL INPUT'!R34</f>
        <v>-13</v>
      </c>
      <c r="S35" s="139">
        <f>'ADJ DETAIL INPUT'!S34</f>
        <v>0</v>
      </c>
      <c r="T35" s="139">
        <f>'ADJ DETAIL INPUT'!T34</f>
        <v>0</v>
      </c>
      <c r="U35" s="139">
        <f>'ADJ DETAIL INPUT'!U34</f>
        <v>0</v>
      </c>
      <c r="V35" s="139">
        <f>'ADJ DETAIL INPUT'!V34</f>
        <v>0</v>
      </c>
      <c r="W35" s="139">
        <f>'ADJ DETAIL INPUT'!W34</f>
        <v>0</v>
      </c>
    </row>
    <row r="36" spans="1:23">
      <c r="A36" s="117">
        <v>15</v>
      </c>
      <c r="C36" s="119" t="s">
        <v>20</v>
      </c>
      <c r="D36" s="119"/>
      <c r="E36" s="138">
        <f>'ADJ DETAIL INPUT'!E35</f>
        <v>14128</v>
      </c>
      <c r="F36" s="138">
        <f>'ADJ DETAIL INPUT'!F35</f>
        <v>0</v>
      </c>
      <c r="G36" s="138">
        <f>'ADJ DETAIL INPUT'!G35</f>
        <v>0</v>
      </c>
      <c r="H36" s="138">
        <f>'ADJ DETAIL INPUT'!H35</f>
        <v>0</v>
      </c>
      <c r="I36" s="138">
        <f>'ADJ DETAIL INPUT'!I35</f>
        <v>0</v>
      </c>
      <c r="J36" s="138">
        <f>'ADJ DETAIL INPUT'!J35</f>
        <v>-5184</v>
      </c>
      <c r="K36" s="138">
        <f>'ADJ DETAIL INPUT'!K35</f>
        <v>80</v>
      </c>
      <c r="L36" s="138">
        <f>'ADJ DETAIL INPUT'!L35</f>
        <v>0</v>
      </c>
      <c r="M36" s="138">
        <f>'ADJ DETAIL INPUT'!M35</f>
        <v>0</v>
      </c>
      <c r="N36" s="138">
        <f>'ADJ DETAIL INPUT'!N35</f>
        <v>0</v>
      </c>
      <c r="O36" s="138">
        <f>'ADJ DETAIL INPUT'!O35</f>
        <v>0</v>
      </c>
      <c r="P36" s="138">
        <f>'ADJ DETAIL INPUT'!P35</f>
        <v>0</v>
      </c>
      <c r="Q36" s="138">
        <f>'ADJ DETAIL INPUT'!Q35</f>
        <v>0</v>
      </c>
      <c r="R36" s="138">
        <f>'ADJ DETAIL INPUT'!R35</f>
        <v>0</v>
      </c>
      <c r="S36" s="138">
        <f>'ADJ DETAIL INPUT'!S35</f>
        <v>240</v>
      </c>
      <c r="T36" s="138">
        <f>'ADJ DETAIL INPUT'!T35</f>
        <v>194</v>
      </c>
      <c r="U36" s="138">
        <f>'ADJ DETAIL INPUT'!U35</f>
        <v>0</v>
      </c>
      <c r="V36" s="138">
        <f>'ADJ DETAIL INPUT'!V35</f>
        <v>0</v>
      </c>
      <c r="W36" s="138">
        <f>'ADJ DETAIL INPUT'!W35</f>
        <v>0</v>
      </c>
    </row>
    <row r="37" spans="1:23" ht="12.9" customHeight="1">
      <c r="A37" s="117">
        <v>16</v>
      </c>
      <c r="B37" s="119" t="s">
        <v>39</v>
      </c>
      <c r="C37" s="119"/>
      <c r="E37" s="137">
        <f t="shared" ref="E37" si="13">SUM(E34:E36)</f>
        <v>38086</v>
      </c>
      <c r="F37" s="137">
        <f t="shared" ref="F37:S37" si="14">SUM(F34:F36)</f>
        <v>0</v>
      </c>
      <c r="G37" s="137">
        <f t="shared" si="14"/>
        <v>0</v>
      </c>
      <c r="H37" s="137">
        <f t="shared" si="14"/>
        <v>0</v>
      </c>
      <c r="I37" s="137">
        <f t="shared" ref="I37" si="15">SUM(I34:I36)</f>
        <v>0</v>
      </c>
      <c r="J37" s="137">
        <f t="shared" si="14"/>
        <v>-5184</v>
      </c>
      <c r="K37" s="137">
        <f t="shared" si="14"/>
        <v>80</v>
      </c>
      <c r="L37" s="137">
        <f t="shared" si="14"/>
        <v>0</v>
      </c>
      <c r="M37" s="137">
        <f t="shared" si="14"/>
        <v>0</v>
      </c>
      <c r="N37" s="137">
        <f t="shared" si="14"/>
        <v>0</v>
      </c>
      <c r="O37" s="137">
        <f t="shared" si="14"/>
        <v>0</v>
      </c>
      <c r="P37" s="137">
        <f t="shared" si="14"/>
        <v>0</v>
      </c>
      <c r="Q37" s="137">
        <f t="shared" si="14"/>
        <v>0</v>
      </c>
      <c r="R37" s="137">
        <f t="shared" si="14"/>
        <v>-13</v>
      </c>
      <c r="S37" s="137">
        <f t="shared" si="14"/>
        <v>240</v>
      </c>
      <c r="T37" s="137">
        <f t="shared" ref="T37:U37" si="16">SUM(T34:T36)</f>
        <v>194</v>
      </c>
      <c r="U37" s="137">
        <f t="shared" si="16"/>
        <v>-8</v>
      </c>
      <c r="V37" s="137">
        <f t="shared" ref="V37" si="17">SUM(V34:V36)</f>
        <v>0</v>
      </c>
      <c r="W37" s="137">
        <f>SUM(W34:W36)</f>
        <v>0</v>
      </c>
    </row>
    <row r="38" spans="1:23" ht="12.9" customHeight="1">
      <c r="C38" s="119"/>
      <c r="D38" s="119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</row>
    <row r="39" spans="1:23" ht="12.9" customHeight="1">
      <c r="A39" s="117">
        <v>17</v>
      </c>
      <c r="B39" s="93" t="s">
        <v>40</v>
      </c>
      <c r="C39" s="119"/>
      <c r="D39" s="119"/>
      <c r="E39" s="137">
        <f>'ADJ DETAIL INPUT'!E38</f>
        <v>7234</v>
      </c>
      <c r="F39" s="137">
        <f>'ADJ DETAIL INPUT'!F38</f>
        <v>0</v>
      </c>
      <c r="G39" s="137">
        <f>'ADJ DETAIL INPUT'!G38</f>
        <v>10</v>
      </c>
      <c r="H39" s="137">
        <f>'ADJ DETAIL INPUT'!H38</f>
        <v>0</v>
      </c>
      <c r="I39" s="137">
        <f>'ADJ DETAIL INPUT'!I38</f>
        <v>0</v>
      </c>
      <c r="J39" s="137">
        <f>'ADJ DETAIL INPUT'!J38</f>
        <v>0</v>
      </c>
      <c r="K39" s="137">
        <f>'ADJ DETAIL INPUT'!K38</f>
        <v>0</v>
      </c>
      <c r="L39" s="137">
        <f>'ADJ DETAIL INPUT'!L38</f>
        <v>-320</v>
      </c>
      <c r="M39" s="137">
        <f>'ADJ DETAIL INPUT'!M38</f>
        <v>0</v>
      </c>
      <c r="N39" s="137">
        <f>'ADJ DETAIL INPUT'!N38</f>
        <v>0</v>
      </c>
      <c r="O39" s="137">
        <f>'ADJ DETAIL INPUT'!O38</f>
        <v>0</v>
      </c>
      <c r="P39" s="137">
        <f>'ADJ DETAIL INPUT'!P38</f>
        <v>0</v>
      </c>
      <c r="Q39" s="137">
        <f>'ADJ DETAIL INPUT'!Q38</f>
        <v>0</v>
      </c>
      <c r="R39" s="137">
        <f>'ADJ DETAIL INPUT'!R38</f>
        <v>0</v>
      </c>
      <c r="S39" s="137">
        <f>'ADJ DETAIL INPUT'!S38</f>
        <v>24</v>
      </c>
      <c r="T39" s="137">
        <f>'ADJ DETAIL INPUT'!T38</f>
        <v>19</v>
      </c>
      <c r="U39" s="137">
        <f>'ADJ DETAIL INPUT'!U38</f>
        <v>0</v>
      </c>
      <c r="V39" s="137">
        <f>'ADJ DETAIL INPUT'!V38</f>
        <v>0</v>
      </c>
      <c r="W39" s="137">
        <f>'ADJ DETAIL INPUT'!W38</f>
        <v>0</v>
      </c>
    </row>
    <row r="40" spans="1:23">
      <c r="A40" s="117">
        <v>18</v>
      </c>
      <c r="B40" s="93" t="s">
        <v>41</v>
      </c>
      <c r="C40" s="119"/>
      <c r="D40" s="119"/>
      <c r="E40" s="137">
        <f>'ADJ DETAIL INPUT'!E39</f>
        <v>8093</v>
      </c>
      <c r="F40" s="137">
        <f>'ADJ DETAIL INPUT'!F39</f>
        <v>0</v>
      </c>
      <c r="G40" s="137">
        <f>'ADJ DETAIL INPUT'!G39</f>
        <v>0</v>
      </c>
      <c r="H40" s="137">
        <f>'ADJ DETAIL INPUT'!H39</f>
        <v>0</v>
      </c>
      <c r="I40" s="137">
        <f>'ADJ DETAIL INPUT'!I39</f>
        <v>0</v>
      </c>
      <c r="J40" s="137">
        <f>'ADJ DETAIL INPUT'!J39</f>
        <v>0</v>
      </c>
      <c r="K40" s="137">
        <f>'ADJ DETAIL INPUT'!K39</f>
        <v>0</v>
      </c>
      <c r="L40" s="137">
        <f>'ADJ DETAIL INPUT'!L39</f>
        <v>0</v>
      </c>
      <c r="M40" s="137">
        <f>'ADJ DETAIL INPUT'!M39</f>
        <v>0</v>
      </c>
      <c r="N40" s="137">
        <f>'ADJ DETAIL INPUT'!N39</f>
        <v>0</v>
      </c>
      <c r="O40" s="137">
        <f>'ADJ DETAIL INPUT'!O39</f>
        <v>0</v>
      </c>
      <c r="P40" s="137">
        <f>'ADJ DETAIL INPUT'!P39</f>
        <v>0</v>
      </c>
      <c r="Q40" s="137">
        <f>'ADJ DETAIL INPUT'!Q39</f>
        <v>0</v>
      </c>
      <c r="R40" s="137">
        <f>'ADJ DETAIL INPUT'!R39</f>
        <v>0</v>
      </c>
      <c r="S40" s="137">
        <f>'ADJ DETAIL INPUT'!S39</f>
        <v>0</v>
      </c>
      <c r="T40" s="137">
        <f>'ADJ DETAIL INPUT'!T39</f>
        <v>-6860</v>
      </c>
      <c r="U40" s="137">
        <f>'ADJ DETAIL INPUT'!U39</f>
        <v>-1</v>
      </c>
      <c r="V40" s="137">
        <f>'ADJ DETAIL INPUT'!V39</f>
        <v>0</v>
      </c>
      <c r="W40" s="137">
        <f>'ADJ DETAIL INPUT'!W39</f>
        <v>0</v>
      </c>
    </row>
    <row r="41" spans="1:23">
      <c r="A41" s="117">
        <v>19</v>
      </c>
      <c r="B41" s="93" t="s">
        <v>42</v>
      </c>
      <c r="C41" s="119"/>
      <c r="D41" s="119"/>
      <c r="E41" s="137">
        <f>'ADJ DETAIL INPUT'!E40</f>
        <v>0</v>
      </c>
      <c r="F41" s="137">
        <f>'ADJ DETAIL INPUT'!F40</f>
        <v>0</v>
      </c>
      <c r="G41" s="137">
        <f>'ADJ DETAIL INPUT'!G40</f>
        <v>0</v>
      </c>
      <c r="H41" s="137">
        <f>'ADJ DETAIL INPUT'!H40</f>
        <v>0</v>
      </c>
      <c r="I41" s="137">
        <f>'ADJ DETAIL INPUT'!I40</f>
        <v>0</v>
      </c>
      <c r="J41" s="137">
        <f>'ADJ DETAIL INPUT'!J40</f>
        <v>0</v>
      </c>
      <c r="K41" s="137">
        <f>'ADJ DETAIL INPUT'!K40</f>
        <v>0</v>
      </c>
      <c r="L41" s="137">
        <f>'ADJ DETAIL INPUT'!L40</f>
        <v>0</v>
      </c>
      <c r="M41" s="137">
        <f>'ADJ DETAIL INPUT'!M40</f>
        <v>0</v>
      </c>
      <c r="N41" s="137">
        <f>'ADJ DETAIL INPUT'!N40</f>
        <v>0</v>
      </c>
      <c r="O41" s="137">
        <f>'ADJ DETAIL INPUT'!O40</f>
        <v>0</v>
      </c>
      <c r="P41" s="137">
        <f>'ADJ DETAIL INPUT'!P40</f>
        <v>0</v>
      </c>
      <c r="Q41" s="137">
        <f>'ADJ DETAIL INPUT'!Q40</f>
        <v>0</v>
      </c>
      <c r="R41" s="137">
        <f>'ADJ DETAIL INPUT'!R40</f>
        <v>0</v>
      </c>
      <c r="S41" s="137">
        <f>'ADJ DETAIL INPUT'!S40</f>
        <v>0</v>
      </c>
      <c r="T41" s="137">
        <f>'ADJ DETAIL INPUT'!T40</f>
        <v>0</v>
      </c>
      <c r="U41" s="137">
        <f>'ADJ DETAIL INPUT'!U40</f>
        <v>0</v>
      </c>
      <c r="V41" s="137">
        <f>'ADJ DETAIL INPUT'!V40</f>
        <v>0</v>
      </c>
      <c r="W41" s="137">
        <f>'ADJ DETAIL INPUT'!W40</f>
        <v>0</v>
      </c>
    </row>
    <row r="42" spans="1:23">
      <c r="C42" s="119"/>
      <c r="D42" s="119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</row>
    <row r="43" spans="1:23">
      <c r="B43" s="93" t="s">
        <v>43</v>
      </c>
      <c r="C43" s="119"/>
      <c r="D43" s="119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</row>
    <row r="44" spans="1:23">
      <c r="A44" s="117">
        <v>20</v>
      </c>
      <c r="C44" s="119" t="s">
        <v>36</v>
      </c>
      <c r="D44" s="119"/>
      <c r="E44" s="137">
        <f>'ADJ DETAIL INPUT'!E43</f>
        <v>15045</v>
      </c>
      <c r="F44" s="137">
        <f>'ADJ DETAIL INPUT'!F43</f>
        <v>0</v>
      </c>
      <c r="G44" s="137">
        <f>'ADJ DETAIL INPUT'!G43</f>
        <v>0</v>
      </c>
      <c r="H44" s="137">
        <f>'ADJ DETAIL INPUT'!H43</f>
        <v>0</v>
      </c>
      <c r="I44" s="137">
        <f>'ADJ DETAIL INPUT'!I43</f>
        <v>0</v>
      </c>
      <c r="J44" s="137">
        <f>'ADJ DETAIL INPUT'!J43</f>
        <v>0</v>
      </c>
      <c r="K44" s="137">
        <f>'ADJ DETAIL INPUT'!K43</f>
        <v>0</v>
      </c>
      <c r="L44" s="137">
        <f>'ADJ DETAIL INPUT'!L43</f>
        <v>0</v>
      </c>
      <c r="M44" s="137">
        <f>'ADJ DETAIL INPUT'!M43</f>
        <v>-50</v>
      </c>
      <c r="N44" s="137">
        <f>'ADJ DETAIL INPUT'!N43</f>
        <v>54</v>
      </c>
      <c r="O44" s="137">
        <f>'ADJ DETAIL INPUT'!O43</f>
        <v>0</v>
      </c>
      <c r="P44" s="137">
        <f>'ADJ DETAIL INPUT'!P43</f>
        <v>-17</v>
      </c>
      <c r="Q44" s="137">
        <f>'ADJ DETAIL INPUT'!Q43</f>
        <v>0</v>
      </c>
      <c r="R44" s="137">
        <f>'ADJ DETAIL INPUT'!R43</f>
        <v>0</v>
      </c>
      <c r="S44" s="137">
        <f>'ADJ DETAIL INPUT'!S43</f>
        <v>13</v>
      </c>
      <c r="T44" s="137">
        <f>'ADJ DETAIL INPUT'!T43</f>
        <v>10</v>
      </c>
      <c r="U44" s="137">
        <f>'ADJ DETAIL INPUT'!U43</f>
        <v>-371</v>
      </c>
      <c r="V44" s="137">
        <f>'ADJ DETAIL INPUT'!V43</f>
        <v>-72</v>
      </c>
      <c r="W44" s="137">
        <f>'ADJ DETAIL INPUT'!W43</f>
        <v>0</v>
      </c>
    </row>
    <row r="45" spans="1:23">
      <c r="A45" s="117">
        <v>21</v>
      </c>
      <c r="C45" s="119" t="s">
        <v>163</v>
      </c>
      <c r="D45" s="119"/>
      <c r="E45" s="137">
        <f>'ADJ DETAIL INPUT'!E44</f>
        <v>8492</v>
      </c>
      <c r="F45" s="137">
        <f>'ADJ DETAIL INPUT'!F44</f>
        <v>0</v>
      </c>
      <c r="G45" s="137">
        <f>'ADJ DETAIL INPUT'!G44</f>
        <v>0</v>
      </c>
      <c r="H45" s="137">
        <f>'ADJ DETAIL INPUT'!H44</f>
        <v>0</v>
      </c>
      <c r="I45" s="137">
        <f>'ADJ DETAIL INPUT'!I44</f>
        <v>0</v>
      </c>
      <c r="J45" s="137">
        <f>'ADJ DETAIL INPUT'!J44</f>
        <v>0</v>
      </c>
      <c r="K45" s="137">
        <f>'ADJ DETAIL INPUT'!K44</f>
        <v>0</v>
      </c>
      <c r="L45" s="137">
        <f>'ADJ DETAIL INPUT'!L44</f>
        <v>0</v>
      </c>
      <c r="M45" s="137">
        <f>'ADJ DETAIL INPUT'!M44</f>
        <v>0</v>
      </c>
      <c r="N45" s="137">
        <f>'ADJ DETAIL INPUT'!N44</f>
        <v>0</v>
      </c>
      <c r="O45" s="137">
        <f>'ADJ DETAIL INPUT'!O44</f>
        <v>0</v>
      </c>
      <c r="P45" s="137">
        <f>'ADJ DETAIL INPUT'!P44</f>
        <v>0</v>
      </c>
      <c r="Q45" s="137">
        <f>'ADJ DETAIL INPUT'!Q44</f>
        <v>0</v>
      </c>
      <c r="R45" s="137">
        <f>'ADJ DETAIL INPUT'!R44</f>
        <v>0</v>
      </c>
      <c r="S45" s="137">
        <f>'ADJ DETAIL INPUT'!S44</f>
        <v>0</v>
      </c>
      <c r="T45" s="137">
        <f>'ADJ DETAIL INPUT'!T44</f>
        <v>0</v>
      </c>
      <c r="U45" s="137">
        <f>'ADJ DETAIL INPUT'!U44</f>
        <v>0</v>
      </c>
      <c r="V45" s="137">
        <f>'ADJ DETAIL INPUT'!V44</f>
        <v>0</v>
      </c>
      <c r="W45" s="137">
        <f>'ADJ DETAIL INPUT'!W44</f>
        <v>0</v>
      </c>
    </row>
    <row r="46" spans="1:23">
      <c r="A46" s="117">
        <v>22</v>
      </c>
      <c r="C46" s="8" t="s">
        <v>373</v>
      </c>
      <c r="D46" s="119"/>
      <c r="E46" s="137">
        <f>'ADJ DETAIL INPUT'!E45</f>
        <v>-1559</v>
      </c>
      <c r="F46" s="137">
        <f>'ADJ DETAIL INPUT'!F45</f>
        <v>0</v>
      </c>
      <c r="G46" s="137">
        <f>'ADJ DETAIL INPUT'!G45</f>
        <v>0</v>
      </c>
      <c r="H46" s="137">
        <f>'ADJ DETAIL INPUT'!H45</f>
        <v>0</v>
      </c>
      <c r="I46" s="137">
        <f>'ADJ DETAIL INPUT'!I45</f>
        <v>0</v>
      </c>
      <c r="J46" s="137">
        <f>'ADJ DETAIL INPUT'!J45</f>
        <v>0</v>
      </c>
      <c r="K46" s="137">
        <f>'ADJ DETAIL INPUT'!K45</f>
        <v>0</v>
      </c>
      <c r="L46" s="137">
        <f>'ADJ DETAIL INPUT'!L45</f>
        <v>0</v>
      </c>
      <c r="M46" s="137">
        <f>'ADJ DETAIL INPUT'!M45</f>
        <v>0</v>
      </c>
      <c r="N46" s="137">
        <f>'ADJ DETAIL INPUT'!N45</f>
        <v>0</v>
      </c>
      <c r="O46" s="137">
        <f>'ADJ DETAIL INPUT'!O45</f>
        <v>0</v>
      </c>
      <c r="P46" s="137">
        <f>'ADJ DETAIL INPUT'!P45</f>
        <v>0</v>
      </c>
      <c r="Q46" s="137">
        <f>'ADJ DETAIL INPUT'!Q45</f>
        <v>0</v>
      </c>
      <c r="R46" s="137">
        <f>'ADJ DETAIL INPUT'!R45</f>
        <v>0</v>
      </c>
      <c r="S46" s="137">
        <f>'ADJ DETAIL INPUT'!S45</f>
        <v>0</v>
      </c>
      <c r="T46" s="137">
        <f>'ADJ DETAIL INPUT'!T45</f>
        <v>1083</v>
      </c>
      <c r="U46" s="137">
        <f>'ADJ DETAIL INPUT'!U45</f>
        <v>0</v>
      </c>
      <c r="V46" s="137">
        <f>'ADJ DETAIL INPUT'!V45</f>
        <v>0</v>
      </c>
      <c r="W46" s="137">
        <f>'ADJ DETAIL INPUT'!W45</f>
        <v>0</v>
      </c>
    </row>
    <row r="47" spans="1:23">
      <c r="A47" s="117">
        <v>23</v>
      </c>
      <c r="C47" s="119" t="s">
        <v>20</v>
      </c>
      <c r="D47" s="119"/>
      <c r="E47" s="138">
        <f>'ADJ DETAIL INPUT'!E46</f>
        <v>0</v>
      </c>
      <c r="F47" s="138">
        <f>'ADJ DETAIL INPUT'!F46</f>
        <v>0</v>
      </c>
      <c r="G47" s="138">
        <f>'ADJ DETAIL INPUT'!G46</f>
        <v>0</v>
      </c>
      <c r="H47" s="138">
        <f>'ADJ DETAIL INPUT'!H46</f>
        <v>0</v>
      </c>
      <c r="I47" s="138">
        <f>'ADJ DETAIL INPUT'!I46</f>
        <v>0</v>
      </c>
      <c r="J47" s="138">
        <f>'ADJ DETAIL INPUT'!J46</f>
        <v>0</v>
      </c>
      <c r="K47" s="138">
        <f>'ADJ DETAIL INPUT'!K46</f>
        <v>0</v>
      </c>
      <c r="L47" s="138">
        <f>'ADJ DETAIL INPUT'!L46</f>
        <v>0</v>
      </c>
      <c r="M47" s="138">
        <f>'ADJ DETAIL INPUT'!M46</f>
        <v>0</v>
      </c>
      <c r="N47" s="138">
        <f>'ADJ DETAIL INPUT'!N46</f>
        <v>0</v>
      </c>
      <c r="O47" s="138">
        <f>'ADJ DETAIL INPUT'!O46</f>
        <v>0</v>
      </c>
      <c r="P47" s="138">
        <f>'ADJ DETAIL INPUT'!P46</f>
        <v>0</v>
      </c>
      <c r="Q47" s="138">
        <f>'ADJ DETAIL INPUT'!Q46</f>
        <v>0</v>
      </c>
      <c r="R47" s="138">
        <f>'ADJ DETAIL INPUT'!R46</f>
        <v>0</v>
      </c>
      <c r="S47" s="138">
        <f>'ADJ DETAIL INPUT'!S46</f>
        <v>0</v>
      </c>
      <c r="T47" s="138">
        <f>'ADJ DETAIL INPUT'!T46</f>
        <v>0</v>
      </c>
      <c r="U47" s="138">
        <f>'ADJ DETAIL INPUT'!U46</f>
        <v>0</v>
      </c>
      <c r="V47" s="138">
        <f>'ADJ DETAIL INPUT'!V46</f>
        <v>0</v>
      </c>
      <c r="W47" s="138">
        <f>'ADJ DETAIL INPUT'!W46</f>
        <v>0</v>
      </c>
    </row>
    <row r="48" spans="1:23">
      <c r="A48" s="117">
        <v>24</v>
      </c>
      <c r="B48" s="119" t="s">
        <v>44</v>
      </c>
      <c r="C48" s="119"/>
      <c r="E48" s="138">
        <f>SUM(E44:E47)</f>
        <v>21978</v>
      </c>
      <c r="F48" s="138">
        <f t="shared" ref="F48:S48" si="18">SUM(F44:F47)</f>
        <v>0</v>
      </c>
      <c r="G48" s="138">
        <f t="shared" si="18"/>
        <v>0</v>
      </c>
      <c r="H48" s="138">
        <f t="shared" si="18"/>
        <v>0</v>
      </c>
      <c r="I48" s="138">
        <f t="shared" ref="I48" si="19">SUM(I44:I47)</f>
        <v>0</v>
      </c>
      <c r="J48" s="138">
        <f t="shared" si="18"/>
        <v>0</v>
      </c>
      <c r="K48" s="138">
        <f t="shared" si="18"/>
        <v>0</v>
      </c>
      <c r="L48" s="138">
        <f t="shared" si="18"/>
        <v>0</v>
      </c>
      <c r="M48" s="138">
        <f t="shared" si="18"/>
        <v>-50</v>
      </c>
      <c r="N48" s="138">
        <f t="shared" si="18"/>
        <v>54</v>
      </c>
      <c r="O48" s="138">
        <f t="shared" si="18"/>
        <v>0</v>
      </c>
      <c r="P48" s="138">
        <f t="shared" si="18"/>
        <v>-17</v>
      </c>
      <c r="Q48" s="138">
        <f t="shared" si="18"/>
        <v>0</v>
      </c>
      <c r="R48" s="138">
        <f t="shared" si="18"/>
        <v>0</v>
      </c>
      <c r="S48" s="138">
        <f t="shared" si="18"/>
        <v>13</v>
      </c>
      <c r="T48" s="138">
        <f t="shared" ref="T48:U48" si="20">SUM(T44:T47)</f>
        <v>1093</v>
      </c>
      <c r="U48" s="138">
        <f t="shared" si="20"/>
        <v>-371</v>
      </c>
      <c r="V48" s="138">
        <f t="shared" ref="V48" si="21">SUM(V44:V47)</f>
        <v>-72</v>
      </c>
      <c r="W48" s="138">
        <f>SUM(W44:W47)</f>
        <v>0</v>
      </c>
    </row>
    <row r="49" spans="1:23" ht="19.5" customHeight="1">
      <c r="A49" s="117">
        <v>25</v>
      </c>
      <c r="B49" s="93" t="s">
        <v>45</v>
      </c>
      <c r="C49" s="119"/>
      <c r="D49" s="119"/>
      <c r="E49" s="138">
        <f t="shared" ref="E49" si="22">E21+E25+E31+E37+E39+E40+E41+E48</f>
        <v>169184</v>
      </c>
      <c r="F49" s="138">
        <f t="shared" ref="F49:S49" si="23">F21+F25+F31+F37+F39+F40+F41+F48</f>
        <v>0</v>
      </c>
      <c r="G49" s="138">
        <f t="shared" si="23"/>
        <v>10</v>
      </c>
      <c r="H49" s="138">
        <f t="shared" si="23"/>
        <v>0</v>
      </c>
      <c r="I49" s="138">
        <f t="shared" ref="I49" si="24">I21+I25+I31+I37+I39+I40+I41+I48</f>
        <v>0</v>
      </c>
      <c r="J49" s="138">
        <f t="shared" si="23"/>
        <v>-5184</v>
      </c>
      <c r="K49" s="138">
        <f t="shared" si="23"/>
        <v>2</v>
      </c>
      <c r="L49" s="138">
        <f t="shared" si="23"/>
        <v>-320</v>
      </c>
      <c r="M49" s="138">
        <f t="shared" si="23"/>
        <v>-50</v>
      </c>
      <c r="N49" s="138">
        <f t="shared" si="23"/>
        <v>54</v>
      </c>
      <c r="O49" s="138">
        <f t="shared" si="23"/>
        <v>0</v>
      </c>
      <c r="P49" s="138">
        <f t="shared" si="23"/>
        <v>-17</v>
      </c>
      <c r="Q49" s="138">
        <f t="shared" si="23"/>
        <v>0</v>
      </c>
      <c r="R49" s="138">
        <f t="shared" si="23"/>
        <v>-13</v>
      </c>
      <c r="S49" s="138">
        <f t="shared" si="23"/>
        <v>2932</v>
      </c>
      <c r="T49" s="138">
        <f t="shared" ref="T49:U49" si="25">T21+T25+T31+T37+T39+T40+T41+T48</f>
        <v>-47063</v>
      </c>
      <c r="U49" s="138">
        <f t="shared" si="25"/>
        <v>-380</v>
      </c>
      <c r="V49" s="138">
        <f t="shared" ref="V49" si="26">V21+V25+V31+V37+V39+V40+V41+V48</f>
        <v>-72</v>
      </c>
      <c r="W49" s="138">
        <f>W21+W25+W31+W37+W39+W40+W41+W48</f>
        <v>0</v>
      </c>
    </row>
    <row r="50" spans="1:23">
      <c r="C50" s="119"/>
      <c r="D50" s="119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1:23" ht="12.9" customHeight="1">
      <c r="A51" s="117">
        <v>26</v>
      </c>
      <c r="B51" s="93" t="s">
        <v>46</v>
      </c>
      <c r="C51" s="119"/>
      <c r="D51" s="119"/>
      <c r="E51" s="137">
        <f>E18-E49</f>
        <v>27210</v>
      </c>
      <c r="F51" s="137">
        <f t="shared" ref="F51:S51" si="27">F18-F49</f>
        <v>0</v>
      </c>
      <c r="G51" s="137">
        <f t="shared" si="27"/>
        <v>-10</v>
      </c>
      <c r="H51" s="137">
        <f t="shared" si="27"/>
        <v>0</v>
      </c>
      <c r="I51" s="137">
        <f t="shared" ref="I51" si="28">I18-I49</f>
        <v>0</v>
      </c>
      <c r="J51" s="137">
        <f t="shared" si="27"/>
        <v>-14</v>
      </c>
      <c r="K51" s="137">
        <f t="shared" si="27"/>
        <v>-2</v>
      </c>
      <c r="L51" s="137">
        <f t="shared" si="27"/>
        <v>320</v>
      </c>
      <c r="M51" s="137">
        <f t="shared" si="27"/>
        <v>50</v>
      </c>
      <c r="N51" s="137">
        <f t="shared" si="27"/>
        <v>-54</v>
      </c>
      <c r="O51" s="137">
        <f t="shared" si="27"/>
        <v>0</v>
      </c>
      <c r="P51" s="137">
        <f t="shared" si="27"/>
        <v>17</v>
      </c>
      <c r="Q51" s="137">
        <f t="shared" si="27"/>
        <v>0</v>
      </c>
      <c r="R51" s="137">
        <f t="shared" si="27"/>
        <v>13</v>
      </c>
      <c r="S51" s="137">
        <f t="shared" si="27"/>
        <v>6</v>
      </c>
      <c r="T51" s="137">
        <f t="shared" ref="T51:U51" si="29">T18-T49</f>
        <v>429</v>
      </c>
      <c r="U51" s="137">
        <f t="shared" si="29"/>
        <v>494</v>
      </c>
      <c r="V51" s="137">
        <f t="shared" ref="V51" si="30">V18-V49</f>
        <v>72</v>
      </c>
      <c r="W51" s="137">
        <f>W18-W49</f>
        <v>0</v>
      </c>
    </row>
    <row r="52" spans="1:23" ht="12.9" customHeight="1">
      <c r="C52" s="119"/>
      <c r="D52" s="119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</row>
    <row r="53" spans="1:23" ht="12.9" customHeight="1">
      <c r="B53" s="93" t="s">
        <v>47</v>
      </c>
      <c r="C53" s="119"/>
      <c r="D53" s="119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</row>
    <row r="54" spans="1:23">
      <c r="A54" s="117">
        <v>27</v>
      </c>
      <c r="B54" s="119" t="s">
        <v>48</v>
      </c>
      <c r="D54" s="119"/>
      <c r="E54" s="137">
        <f>'ADJ DETAIL INPUT'!E53</f>
        <v>2557</v>
      </c>
      <c r="F54" s="137">
        <f>'ADJ DETAIL INPUT'!F53</f>
        <v>0</v>
      </c>
      <c r="G54" s="137">
        <f>'ADJ DETAIL INPUT'!G53</f>
        <v>-2.1</v>
      </c>
      <c r="H54" s="137">
        <f>'ADJ DETAIL INPUT'!H53</f>
        <v>0</v>
      </c>
      <c r="I54" s="137">
        <f>'ADJ DETAIL INPUT'!I53</f>
        <v>0</v>
      </c>
      <c r="J54" s="137">
        <f>'ADJ DETAIL INPUT'!J53</f>
        <v>-2.94</v>
      </c>
      <c r="K54" s="137">
        <f>'ADJ DETAIL INPUT'!K53</f>
        <v>-0.42</v>
      </c>
      <c r="L54" s="137">
        <f>'ADJ DETAIL INPUT'!L53</f>
        <v>67.2</v>
      </c>
      <c r="M54" s="137">
        <f>'ADJ DETAIL INPUT'!M53</f>
        <v>10.5</v>
      </c>
      <c r="N54" s="137">
        <f>'ADJ DETAIL INPUT'!N53</f>
        <v>-11.34</v>
      </c>
      <c r="O54" s="137">
        <f>'ADJ DETAIL INPUT'!O53</f>
        <v>0</v>
      </c>
      <c r="P54" s="137">
        <f>'ADJ DETAIL INPUT'!P53</f>
        <v>3.57</v>
      </c>
      <c r="Q54" s="137">
        <f>'ADJ DETAIL INPUT'!Q53</f>
        <v>0</v>
      </c>
      <c r="R54" s="137">
        <f>'ADJ DETAIL INPUT'!R53</f>
        <v>2.73</v>
      </c>
      <c r="S54" s="137">
        <f>'ADJ DETAIL INPUT'!S53</f>
        <v>1.26</v>
      </c>
      <c r="T54" s="137">
        <f>'ADJ DETAIL INPUT'!T53</f>
        <v>90.09</v>
      </c>
      <c r="U54" s="137">
        <f>'ADJ DETAIL INPUT'!U53</f>
        <v>103.74</v>
      </c>
      <c r="V54" s="137">
        <f>'ADJ DETAIL INPUT'!V53</f>
        <v>15.12</v>
      </c>
      <c r="W54" s="137">
        <f>'ADJ DETAIL INPUT'!W53</f>
        <v>59</v>
      </c>
    </row>
    <row r="55" spans="1:23">
      <c r="A55" s="117">
        <v>28</v>
      </c>
      <c r="B55" s="119" t="s">
        <v>147</v>
      </c>
      <c r="D55" s="119"/>
      <c r="E55" s="137">
        <f>'ADJ DETAIL INPUT'!E54</f>
        <v>0</v>
      </c>
      <c r="F55" s="137">
        <f>'ADJ DETAIL INPUT'!F54</f>
        <v>7.4109209999999983</v>
      </c>
      <c r="G55" s="137">
        <f>'ADJ DETAIL INPUT'!G54</f>
        <v>4.1600999999999999E-2</v>
      </c>
      <c r="H55" s="137">
        <f>'ADJ DETAIL INPUT'!H54</f>
        <v>0</v>
      </c>
      <c r="I55" s="137">
        <f>'ADJ DETAIL INPUT'!I54</f>
        <v>35.883833999999993</v>
      </c>
      <c r="J55" s="137">
        <f>'ADJ DETAIL INPUT'!J54</f>
        <v>0</v>
      </c>
      <c r="K55" s="137">
        <f>'ADJ DETAIL INPUT'!K54</f>
        <v>0</v>
      </c>
      <c r="L55" s="137">
        <f>'ADJ DETAIL INPUT'!L54</f>
        <v>0</v>
      </c>
      <c r="M55" s="137">
        <f>'ADJ DETAIL INPUT'!M54</f>
        <v>0</v>
      </c>
      <c r="N55" s="137">
        <f>'ADJ DETAIL INPUT'!N54</f>
        <v>0</v>
      </c>
      <c r="O55" s="137">
        <f>'ADJ DETAIL INPUT'!O54</f>
        <v>0</v>
      </c>
      <c r="P55" s="137">
        <f>'ADJ DETAIL INPUT'!P54</f>
        <v>0</v>
      </c>
      <c r="Q55" s="137">
        <f>'ADJ DETAIL INPUT'!Q54</f>
        <v>0</v>
      </c>
      <c r="R55" s="137">
        <f>'ADJ DETAIL INPUT'!R54</f>
        <v>0</v>
      </c>
      <c r="S55" s="137">
        <f>'ADJ DETAIL INPUT'!S54</f>
        <v>0</v>
      </c>
      <c r="T55" s="137">
        <f>'ADJ DETAIL INPUT'!T54</f>
        <v>0</v>
      </c>
      <c r="U55" s="137">
        <f>'ADJ DETAIL INPUT'!U54</f>
        <v>0</v>
      </c>
      <c r="V55" s="137">
        <f>'ADJ DETAIL INPUT'!V54</f>
        <v>0</v>
      </c>
      <c r="W55" s="137">
        <f>'ADJ DETAIL INPUT'!W54</f>
        <v>0</v>
      </c>
    </row>
    <row r="56" spans="1:23">
      <c r="A56" s="117">
        <v>29</v>
      </c>
      <c r="B56" s="119" t="s">
        <v>49</v>
      </c>
      <c r="D56" s="119"/>
      <c r="E56" s="137">
        <f>'ADJ DETAIL INPUT'!E55</f>
        <v>54</v>
      </c>
      <c r="F56" s="137">
        <f>'ADJ DETAIL INPUT'!F55</f>
        <v>0</v>
      </c>
      <c r="G56" s="137">
        <f>'ADJ DETAIL INPUT'!G55</f>
        <v>0</v>
      </c>
      <c r="H56" s="137">
        <f>'ADJ DETAIL INPUT'!H55</f>
        <v>0</v>
      </c>
      <c r="I56" s="137">
        <f>'ADJ DETAIL INPUT'!I55</f>
        <v>0</v>
      </c>
      <c r="J56" s="137">
        <f>'ADJ DETAIL INPUT'!J55</f>
        <v>0</v>
      </c>
      <c r="K56" s="137">
        <f>'ADJ DETAIL INPUT'!K55</f>
        <v>0</v>
      </c>
      <c r="L56" s="137">
        <f>'ADJ DETAIL INPUT'!L55</f>
        <v>0</v>
      </c>
      <c r="M56" s="137">
        <f>'ADJ DETAIL INPUT'!M55</f>
        <v>0</v>
      </c>
      <c r="N56" s="137">
        <f>'ADJ DETAIL INPUT'!N55</f>
        <v>0</v>
      </c>
      <c r="O56" s="137">
        <f>'ADJ DETAIL INPUT'!O55</f>
        <v>0</v>
      </c>
      <c r="P56" s="137">
        <f>'ADJ DETAIL INPUT'!P55</f>
        <v>0</v>
      </c>
      <c r="Q56" s="137">
        <f>'ADJ DETAIL INPUT'!Q55</f>
        <v>0</v>
      </c>
      <c r="R56" s="137">
        <f>'ADJ DETAIL INPUT'!R55</f>
        <v>0</v>
      </c>
      <c r="S56" s="137">
        <f>'ADJ DETAIL INPUT'!S55</f>
        <v>0</v>
      </c>
      <c r="T56" s="137">
        <f>'ADJ DETAIL INPUT'!T55</f>
        <v>339</v>
      </c>
      <c r="U56" s="137">
        <f>'ADJ DETAIL INPUT'!U55</f>
        <v>0</v>
      </c>
      <c r="V56" s="137">
        <f>'ADJ DETAIL INPUT'!V55</f>
        <v>0</v>
      </c>
      <c r="W56" s="137">
        <f>'ADJ DETAIL INPUT'!W55</f>
        <v>0</v>
      </c>
    </row>
    <row r="57" spans="1:23">
      <c r="A57" s="117">
        <v>30</v>
      </c>
      <c r="B57" s="119" t="s">
        <v>50</v>
      </c>
      <c r="D57" s="119"/>
      <c r="E57" s="138">
        <f>'ADJ DETAIL INPUT'!E56</f>
        <v>-15</v>
      </c>
      <c r="F57" s="138">
        <f>'ADJ DETAIL INPUT'!F56</f>
        <v>0</v>
      </c>
      <c r="G57" s="138">
        <f>'ADJ DETAIL INPUT'!G56</f>
        <v>0</v>
      </c>
      <c r="H57" s="138">
        <f>'ADJ DETAIL INPUT'!H56</f>
        <v>0</v>
      </c>
      <c r="I57" s="138">
        <f>'ADJ DETAIL INPUT'!I56</f>
        <v>0</v>
      </c>
      <c r="J57" s="138">
        <f>'ADJ DETAIL INPUT'!J56</f>
        <v>0</v>
      </c>
      <c r="K57" s="138">
        <f>'ADJ DETAIL INPUT'!K56</f>
        <v>0</v>
      </c>
      <c r="L57" s="138">
        <f>'ADJ DETAIL INPUT'!L56</f>
        <v>0</v>
      </c>
      <c r="M57" s="138">
        <f>'ADJ DETAIL INPUT'!M56</f>
        <v>0</v>
      </c>
      <c r="N57" s="138">
        <f>'ADJ DETAIL INPUT'!N56</f>
        <v>0</v>
      </c>
      <c r="O57" s="138">
        <f>'ADJ DETAIL INPUT'!O56</f>
        <v>0</v>
      </c>
      <c r="P57" s="138">
        <f>'ADJ DETAIL INPUT'!P56</f>
        <v>0</v>
      </c>
      <c r="Q57" s="138">
        <f>'ADJ DETAIL INPUT'!Q56</f>
        <v>0</v>
      </c>
      <c r="R57" s="138">
        <f>'ADJ DETAIL INPUT'!R56</f>
        <v>0</v>
      </c>
      <c r="S57" s="138">
        <f>'ADJ DETAIL INPUT'!S56</f>
        <v>0</v>
      </c>
      <c r="T57" s="138">
        <f>'ADJ DETAIL INPUT'!T56</f>
        <v>0</v>
      </c>
      <c r="U57" s="138">
        <f>'ADJ DETAIL INPUT'!U56</f>
        <v>0</v>
      </c>
      <c r="V57" s="138">
        <f>'ADJ DETAIL INPUT'!V56</f>
        <v>0</v>
      </c>
      <c r="W57" s="138">
        <f>'ADJ DETAIL INPUT'!W56</f>
        <v>0</v>
      </c>
    </row>
    <row r="58" spans="1:23"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</row>
    <row r="59" spans="1:23" s="118" customFormat="1" ht="12.6" thickBot="1">
      <c r="A59" s="117">
        <v>31</v>
      </c>
      <c r="B59" s="118" t="s">
        <v>51</v>
      </c>
      <c r="E59" s="256">
        <f>E51-SUM(E54:E57)</f>
        <v>24614</v>
      </c>
      <c r="F59" s="256">
        <f t="shared" ref="F59:S59" si="31">F51-SUM(F54:F57)</f>
        <v>-7.4109209999999983</v>
      </c>
      <c r="G59" s="256">
        <f t="shared" si="31"/>
        <v>-7.9416010000000004</v>
      </c>
      <c r="H59" s="256">
        <f t="shared" si="31"/>
        <v>0</v>
      </c>
      <c r="I59" s="256">
        <f t="shared" ref="I59" si="32">I51-SUM(I54:I57)</f>
        <v>-35.883833999999993</v>
      </c>
      <c r="J59" s="256">
        <f t="shared" si="31"/>
        <v>-11.06</v>
      </c>
      <c r="K59" s="256">
        <f t="shared" si="31"/>
        <v>-1.58</v>
      </c>
      <c r="L59" s="256">
        <f t="shared" si="31"/>
        <v>252.8</v>
      </c>
      <c r="M59" s="256">
        <f t="shared" si="31"/>
        <v>39.5</v>
      </c>
      <c r="N59" s="256">
        <f t="shared" si="31"/>
        <v>-42.66</v>
      </c>
      <c r="O59" s="256">
        <f t="shared" si="31"/>
        <v>0</v>
      </c>
      <c r="P59" s="256">
        <f t="shared" si="31"/>
        <v>13.43</v>
      </c>
      <c r="Q59" s="256">
        <f t="shared" si="31"/>
        <v>0</v>
      </c>
      <c r="R59" s="256">
        <f t="shared" si="31"/>
        <v>10.27</v>
      </c>
      <c r="S59" s="256">
        <f t="shared" si="31"/>
        <v>4.74</v>
      </c>
      <c r="T59" s="256">
        <f t="shared" ref="T59:U59" si="33">T51-SUM(T54:T57)</f>
        <v>-9.0000000000031832E-2</v>
      </c>
      <c r="U59" s="256">
        <f t="shared" si="33"/>
        <v>390.26</v>
      </c>
      <c r="V59" s="256">
        <f t="shared" ref="V59" si="34">V51-SUM(V54:V57)</f>
        <v>56.88</v>
      </c>
      <c r="W59" s="256">
        <f>W51-SUM(W54:W57)</f>
        <v>-59</v>
      </c>
    </row>
    <row r="60" spans="1:23" ht="12.6" thickTop="1"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</row>
    <row r="61" spans="1:23">
      <c r="B61" s="93" t="s">
        <v>92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</row>
    <row r="62" spans="1:23">
      <c r="B62" s="93" t="s">
        <v>93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</row>
    <row r="63" spans="1:23">
      <c r="A63" s="117">
        <v>32</v>
      </c>
      <c r="B63" s="119"/>
      <c r="C63" s="119" t="s">
        <v>35</v>
      </c>
      <c r="D63" s="119"/>
      <c r="E63" s="217">
        <f>'ADJ DETAIL INPUT'!E62</f>
        <v>28442</v>
      </c>
      <c r="F63" s="217">
        <f>'ADJ DETAIL INPUT'!F62</f>
        <v>0</v>
      </c>
      <c r="G63" s="217">
        <f>'ADJ DETAIL INPUT'!G62</f>
        <v>0</v>
      </c>
      <c r="H63" s="217">
        <f>'ADJ DETAIL INPUT'!H62</f>
        <v>0</v>
      </c>
      <c r="I63" s="217">
        <f>'ADJ DETAIL INPUT'!I62</f>
        <v>0</v>
      </c>
      <c r="J63" s="217">
        <f>'ADJ DETAIL INPUT'!J62</f>
        <v>0</v>
      </c>
      <c r="K63" s="217">
        <f>'ADJ DETAIL INPUT'!K62</f>
        <v>0</v>
      </c>
      <c r="L63" s="217">
        <f>'ADJ DETAIL INPUT'!L62</f>
        <v>0</v>
      </c>
      <c r="M63" s="217">
        <f>'ADJ DETAIL INPUT'!M62</f>
        <v>0</v>
      </c>
      <c r="N63" s="217">
        <f>'ADJ DETAIL INPUT'!N62</f>
        <v>0</v>
      </c>
      <c r="O63" s="217">
        <f>'ADJ DETAIL INPUT'!O62</f>
        <v>0</v>
      </c>
      <c r="P63" s="217">
        <f>'ADJ DETAIL INPUT'!P62</f>
        <v>0</v>
      </c>
      <c r="Q63" s="217">
        <f>'ADJ DETAIL INPUT'!Q62</f>
        <v>0</v>
      </c>
      <c r="R63" s="217">
        <f>'ADJ DETAIL INPUT'!R62</f>
        <v>0</v>
      </c>
      <c r="S63" s="217">
        <f>'ADJ DETAIL INPUT'!S62</f>
        <v>0</v>
      </c>
      <c r="T63" s="217">
        <f>'ADJ DETAIL INPUT'!T62</f>
        <v>0</v>
      </c>
      <c r="U63" s="217">
        <f>'ADJ DETAIL INPUT'!U62</f>
        <v>0</v>
      </c>
      <c r="V63" s="217">
        <f>'ADJ DETAIL INPUT'!V62</f>
        <v>0</v>
      </c>
      <c r="W63" s="217">
        <f>'ADJ DETAIL INPUT'!W62</f>
        <v>0</v>
      </c>
    </row>
    <row r="64" spans="1:23">
      <c r="A64" s="117">
        <v>33</v>
      </c>
      <c r="B64" s="119"/>
      <c r="C64" s="119" t="s">
        <v>52</v>
      </c>
      <c r="D64" s="119"/>
      <c r="E64" s="137">
        <f>'ADJ DETAIL INPUT'!E63</f>
        <v>462636</v>
      </c>
      <c r="F64" s="137">
        <f>'ADJ DETAIL INPUT'!F63</f>
        <v>0</v>
      </c>
      <c r="G64" s="137">
        <f>'ADJ DETAIL INPUT'!G63</f>
        <v>0</v>
      </c>
      <c r="H64" s="137">
        <f>'ADJ DETAIL INPUT'!H63</f>
        <v>0</v>
      </c>
      <c r="I64" s="137">
        <f>'ADJ DETAIL INPUT'!I63</f>
        <v>-7041</v>
      </c>
      <c r="J64" s="137">
        <f>'ADJ DETAIL INPUT'!J63</f>
        <v>0</v>
      </c>
      <c r="K64" s="137">
        <f>'ADJ DETAIL INPUT'!K63</f>
        <v>0</v>
      </c>
      <c r="L64" s="137">
        <f>'ADJ DETAIL INPUT'!L63</f>
        <v>0</v>
      </c>
      <c r="M64" s="137">
        <f>'ADJ DETAIL INPUT'!M63</f>
        <v>0</v>
      </c>
      <c r="N64" s="137">
        <f>'ADJ DETAIL INPUT'!N63</f>
        <v>0</v>
      </c>
      <c r="O64" s="137">
        <f>'ADJ DETAIL INPUT'!O63</f>
        <v>0</v>
      </c>
      <c r="P64" s="137">
        <f>'ADJ DETAIL INPUT'!P63</f>
        <v>0</v>
      </c>
      <c r="Q64" s="137">
        <f>'ADJ DETAIL INPUT'!Q63</f>
        <v>0</v>
      </c>
      <c r="R64" s="137">
        <f>'ADJ DETAIL INPUT'!R63</f>
        <v>0</v>
      </c>
      <c r="S64" s="137">
        <f>'ADJ DETAIL INPUT'!S63</f>
        <v>0</v>
      </c>
      <c r="T64" s="137">
        <f>'ADJ DETAIL INPUT'!T63</f>
        <v>0</v>
      </c>
      <c r="U64" s="137">
        <f>'ADJ DETAIL INPUT'!U63</f>
        <v>0</v>
      </c>
      <c r="V64" s="137">
        <f>'ADJ DETAIL INPUT'!V63</f>
        <v>0</v>
      </c>
      <c r="W64" s="137">
        <f>'ADJ DETAIL INPUT'!W63</f>
        <v>0</v>
      </c>
    </row>
    <row r="65" spans="1:23">
      <c r="A65" s="117">
        <v>34</v>
      </c>
      <c r="B65" s="119"/>
      <c r="C65" s="119" t="s">
        <v>53</v>
      </c>
      <c r="D65" s="119"/>
      <c r="E65" s="138">
        <f>'ADJ DETAIL INPUT'!E64</f>
        <v>114053</v>
      </c>
      <c r="F65" s="138">
        <f>'ADJ DETAIL INPUT'!F64</f>
        <v>0</v>
      </c>
      <c r="G65" s="138">
        <f>'ADJ DETAIL INPUT'!G64</f>
        <v>0</v>
      </c>
      <c r="H65" s="138">
        <f>'ADJ DETAIL INPUT'!H64</f>
        <v>0</v>
      </c>
      <c r="I65" s="138">
        <f>'ADJ DETAIL INPUT'!I64</f>
        <v>0</v>
      </c>
      <c r="J65" s="138">
        <f>'ADJ DETAIL INPUT'!J64</f>
        <v>0</v>
      </c>
      <c r="K65" s="138">
        <f>'ADJ DETAIL INPUT'!K64</f>
        <v>0</v>
      </c>
      <c r="L65" s="138">
        <f>'ADJ DETAIL INPUT'!L64</f>
        <v>0</v>
      </c>
      <c r="M65" s="138">
        <f>'ADJ DETAIL INPUT'!M64</f>
        <v>0</v>
      </c>
      <c r="N65" s="138">
        <f>'ADJ DETAIL INPUT'!N64</f>
        <v>0</v>
      </c>
      <c r="O65" s="138">
        <f>'ADJ DETAIL INPUT'!O64</f>
        <v>0</v>
      </c>
      <c r="P65" s="138">
        <f>'ADJ DETAIL INPUT'!P64</f>
        <v>0</v>
      </c>
      <c r="Q65" s="138">
        <f>'ADJ DETAIL INPUT'!Q64</f>
        <v>0</v>
      </c>
      <c r="R65" s="138">
        <f>'ADJ DETAIL INPUT'!R64</f>
        <v>0</v>
      </c>
      <c r="S65" s="138">
        <f>'ADJ DETAIL INPUT'!S64</f>
        <v>0</v>
      </c>
      <c r="T65" s="138">
        <f>'ADJ DETAIL INPUT'!T64</f>
        <v>0</v>
      </c>
      <c r="U65" s="138">
        <f>'ADJ DETAIL INPUT'!U64</f>
        <v>0</v>
      </c>
      <c r="V65" s="138">
        <f>'ADJ DETAIL INPUT'!V64</f>
        <v>0</v>
      </c>
      <c r="W65" s="138">
        <f>'ADJ DETAIL INPUT'!W64</f>
        <v>0</v>
      </c>
    </row>
    <row r="66" spans="1:23" ht="18" customHeight="1">
      <c r="A66" s="117">
        <v>35</v>
      </c>
      <c r="B66" s="119" t="s">
        <v>54</v>
      </c>
      <c r="C66" s="119"/>
      <c r="E66" s="137">
        <f>SUM(E63:E65)</f>
        <v>605131</v>
      </c>
      <c r="F66" s="137">
        <f t="shared" ref="F66:S66" si="35">SUM(F63:F65)</f>
        <v>0</v>
      </c>
      <c r="G66" s="137">
        <f t="shared" si="35"/>
        <v>0</v>
      </c>
      <c r="H66" s="137">
        <f t="shared" si="35"/>
        <v>0</v>
      </c>
      <c r="I66" s="137">
        <f t="shared" ref="I66" si="36">SUM(I63:I65)</f>
        <v>-7041</v>
      </c>
      <c r="J66" s="137">
        <f t="shared" si="35"/>
        <v>0</v>
      </c>
      <c r="K66" s="137">
        <f t="shared" si="35"/>
        <v>0</v>
      </c>
      <c r="L66" s="137">
        <f t="shared" si="35"/>
        <v>0</v>
      </c>
      <c r="M66" s="137">
        <f t="shared" si="35"/>
        <v>0</v>
      </c>
      <c r="N66" s="137">
        <f t="shared" si="35"/>
        <v>0</v>
      </c>
      <c r="O66" s="137">
        <f t="shared" si="35"/>
        <v>0</v>
      </c>
      <c r="P66" s="137">
        <f t="shared" si="35"/>
        <v>0</v>
      </c>
      <c r="Q66" s="137">
        <f t="shared" si="35"/>
        <v>0</v>
      </c>
      <c r="R66" s="137">
        <f t="shared" si="35"/>
        <v>0</v>
      </c>
      <c r="S66" s="137">
        <f t="shared" si="35"/>
        <v>0</v>
      </c>
      <c r="T66" s="137">
        <f t="shared" ref="T66:U66" si="37">SUM(T63:T65)</f>
        <v>0</v>
      </c>
      <c r="U66" s="137">
        <f t="shared" si="37"/>
        <v>0</v>
      </c>
      <c r="V66" s="137">
        <f t="shared" ref="V66" si="38">SUM(V63:V65)</f>
        <v>0</v>
      </c>
      <c r="W66" s="137">
        <f>SUM(W63:W65)</f>
        <v>0</v>
      </c>
    </row>
    <row r="67" spans="1:23" ht="12.75" customHeight="1">
      <c r="B67" s="119"/>
      <c r="C67" s="119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</row>
    <row r="68" spans="1:23">
      <c r="B68" s="119" t="s">
        <v>165</v>
      </c>
      <c r="C68" s="119"/>
      <c r="D68" s="119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</row>
    <row r="69" spans="1:23">
      <c r="A69" s="117">
        <v>36</v>
      </c>
      <c r="B69" s="119"/>
      <c r="C69" s="119" t="s">
        <v>35</v>
      </c>
      <c r="D69" s="119"/>
      <c r="E69" s="137">
        <f>'ADJ DETAIL INPUT'!E68</f>
        <v>-11051</v>
      </c>
      <c r="F69" s="137">
        <f>'ADJ DETAIL INPUT'!F68</f>
        <v>0</v>
      </c>
      <c r="G69" s="137">
        <f>'ADJ DETAIL INPUT'!G68</f>
        <v>0</v>
      </c>
      <c r="H69" s="137">
        <f>'ADJ DETAIL INPUT'!H68</f>
        <v>0</v>
      </c>
      <c r="I69" s="137">
        <f>'ADJ DETAIL INPUT'!I68</f>
        <v>0</v>
      </c>
      <c r="J69" s="137">
        <f>'ADJ DETAIL INPUT'!J68</f>
        <v>0</v>
      </c>
      <c r="K69" s="137">
        <f>'ADJ DETAIL INPUT'!K68</f>
        <v>0</v>
      </c>
      <c r="L69" s="137">
        <f>'ADJ DETAIL INPUT'!L68</f>
        <v>0</v>
      </c>
      <c r="M69" s="137">
        <f>'ADJ DETAIL INPUT'!M68</f>
        <v>0</v>
      </c>
      <c r="N69" s="137">
        <f>'ADJ DETAIL INPUT'!N68</f>
        <v>0</v>
      </c>
      <c r="O69" s="137">
        <f>'ADJ DETAIL INPUT'!O68</f>
        <v>0</v>
      </c>
      <c r="P69" s="137">
        <f>'ADJ DETAIL INPUT'!P68</f>
        <v>0</v>
      </c>
      <c r="Q69" s="137">
        <f>'ADJ DETAIL INPUT'!Q68</f>
        <v>0</v>
      </c>
      <c r="R69" s="137">
        <f>'ADJ DETAIL INPUT'!R68</f>
        <v>0</v>
      </c>
      <c r="S69" s="137">
        <f>'ADJ DETAIL INPUT'!S68</f>
        <v>0</v>
      </c>
      <c r="T69" s="137">
        <f>'ADJ DETAIL INPUT'!T68</f>
        <v>0</v>
      </c>
      <c r="U69" s="137">
        <f>'ADJ DETAIL INPUT'!U68</f>
        <v>0</v>
      </c>
      <c r="V69" s="137">
        <f>'ADJ DETAIL INPUT'!V68</f>
        <v>0</v>
      </c>
      <c r="W69" s="137">
        <f>'ADJ DETAIL INPUT'!W68</f>
        <v>0</v>
      </c>
    </row>
    <row r="70" spans="1:23">
      <c r="A70" s="117">
        <v>37</v>
      </c>
      <c r="B70" s="119"/>
      <c r="C70" s="119" t="s">
        <v>52</v>
      </c>
      <c r="D70" s="119"/>
      <c r="E70" s="137">
        <f>'ADJ DETAIL INPUT'!E69</f>
        <v>-145402</v>
      </c>
      <c r="F70" s="137">
        <f>'ADJ DETAIL INPUT'!F69</f>
        <v>0</v>
      </c>
      <c r="G70" s="137">
        <f>'ADJ DETAIL INPUT'!G69</f>
        <v>0</v>
      </c>
      <c r="H70" s="137">
        <f>'ADJ DETAIL INPUT'!H69</f>
        <v>0</v>
      </c>
      <c r="I70" s="137">
        <f>'ADJ DETAIL INPUT'!I69</f>
        <v>433</v>
      </c>
      <c r="J70" s="137">
        <f>'ADJ DETAIL INPUT'!J69</f>
        <v>0</v>
      </c>
      <c r="K70" s="137">
        <f>'ADJ DETAIL INPUT'!K69</f>
        <v>0</v>
      </c>
      <c r="L70" s="137">
        <f>'ADJ DETAIL INPUT'!L69</f>
        <v>0</v>
      </c>
      <c r="M70" s="137">
        <f>'ADJ DETAIL INPUT'!M69</f>
        <v>0</v>
      </c>
      <c r="N70" s="137">
        <f>'ADJ DETAIL INPUT'!N69</f>
        <v>0</v>
      </c>
      <c r="O70" s="137">
        <f>'ADJ DETAIL INPUT'!O69</f>
        <v>0</v>
      </c>
      <c r="P70" s="137">
        <f>'ADJ DETAIL INPUT'!P69</f>
        <v>0</v>
      </c>
      <c r="Q70" s="137">
        <f>'ADJ DETAIL INPUT'!Q69</f>
        <v>0</v>
      </c>
      <c r="R70" s="137">
        <f>'ADJ DETAIL INPUT'!R69</f>
        <v>0</v>
      </c>
      <c r="S70" s="137">
        <f>'ADJ DETAIL INPUT'!S69</f>
        <v>0</v>
      </c>
      <c r="T70" s="137">
        <f>'ADJ DETAIL INPUT'!T69</f>
        <v>0</v>
      </c>
      <c r="U70" s="137">
        <f>'ADJ DETAIL INPUT'!U69</f>
        <v>0</v>
      </c>
      <c r="V70" s="137">
        <f>'ADJ DETAIL INPUT'!V69</f>
        <v>0</v>
      </c>
      <c r="W70" s="137">
        <f>'ADJ DETAIL INPUT'!W69</f>
        <v>0</v>
      </c>
    </row>
    <row r="71" spans="1:23">
      <c r="A71" s="117">
        <v>38</v>
      </c>
      <c r="B71" s="119"/>
      <c r="C71" s="119" t="s">
        <v>53</v>
      </c>
      <c r="D71" s="119"/>
      <c r="E71" s="138">
        <f>'ADJ DETAIL INPUT'!E70</f>
        <v>-32354</v>
      </c>
      <c r="F71" s="138">
        <f>'ADJ DETAIL INPUT'!F70</f>
        <v>0</v>
      </c>
      <c r="G71" s="138">
        <f>'ADJ DETAIL INPUT'!G70</f>
        <v>0</v>
      </c>
      <c r="H71" s="138">
        <f>'ADJ DETAIL INPUT'!H70</f>
        <v>0</v>
      </c>
      <c r="I71" s="138">
        <f>'ADJ DETAIL INPUT'!I70</f>
        <v>0</v>
      </c>
      <c r="J71" s="138">
        <f>'ADJ DETAIL INPUT'!J70</f>
        <v>0</v>
      </c>
      <c r="K71" s="138">
        <f>'ADJ DETAIL INPUT'!K70</f>
        <v>0</v>
      </c>
      <c r="L71" s="138">
        <f>'ADJ DETAIL INPUT'!L70</f>
        <v>0</v>
      </c>
      <c r="M71" s="138">
        <f>'ADJ DETAIL INPUT'!M70</f>
        <v>0</v>
      </c>
      <c r="N71" s="138">
        <f>'ADJ DETAIL INPUT'!N70</f>
        <v>0</v>
      </c>
      <c r="O71" s="138">
        <f>'ADJ DETAIL INPUT'!O70</f>
        <v>0</v>
      </c>
      <c r="P71" s="138">
        <f>'ADJ DETAIL INPUT'!P70</f>
        <v>0</v>
      </c>
      <c r="Q71" s="138">
        <f>'ADJ DETAIL INPUT'!Q70</f>
        <v>0</v>
      </c>
      <c r="R71" s="138">
        <f>'ADJ DETAIL INPUT'!R70</f>
        <v>0</v>
      </c>
      <c r="S71" s="138">
        <f>'ADJ DETAIL INPUT'!S70</f>
        <v>0</v>
      </c>
      <c r="T71" s="138">
        <f>'ADJ DETAIL INPUT'!T70</f>
        <v>0</v>
      </c>
      <c r="U71" s="138">
        <f>'ADJ DETAIL INPUT'!U70</f>
        <v>0</v>
      </c>
      <c r="V71" s="138">
        <f>'ADJ DETAIL INPUT'!V70</f>
        <v>0</v>
      </c>
      <c r="W71" s="138">
        <f>'ADJ DETAIL INPUT'!W70</f>
        <v>0</v>
      </c>
    </row>
    <row r="72" spans="1:23">
      <c r="A72" s="117">
        <v>39</v>
      </c>
      <c r="B72" s="119" t="s">
        <v>377</v>
      </c>
      <c r="C72" s="119"/>
      <c r="E72" s="140">
        <f>SUM(E69:E71)</f>
        <v>-188807</v>
      </c>
      <c r="F72" s="140">
        <f t="shared" ref="F72:S72" si="39">SUM(F69:F71)</f>
        <v>0</v>
      </c>
      <c r="G72" s="140">
        <f t="shared" si="39"/>
        <v>0</v>
      </c>
      <c r="H72" s="140">
        <f t="shared" si="39"/>
        <v>0</v>
      </c>
      <c r="I72" s="140">
        <f t="shared" ref="I72" si="40">SUM(I69:I71)</f>
        <v>433</v>
      </c>
      <c r="J72" s="140">
        <f t="shared" si="39"/>
        <v>0</v>
      </c>
      <c r="K72" s="140">
        <f t="shared" si="39"/>
        <v>0</v>
      </c>
      <c r="L72" s="140">
        <f t="shared" si="39"/>
        <v>0</v>
      </c>
      <c r="M72" s="140">
        <f t="shared" si="39"/>
        <v>0</v>
      </c>
      <c r="N72" s="140">
        <f t="shared" si="39"/>
        <v>0</v>
      </c>
      <c r="O72" s="140">
        <f t="shared" si="39"/>
        <v>0</v>
      </c>
      <c r="P72" s="140">
        <f t="shared" si="39"/>
        <v>0</v>
      </c>
      <c r="Q72" s="140">
        <f t="shared" si="39"/>
        <v>0</v>
      </c>
      <c r="R72" s="140">
        <f t="shared" si="39"/>
        <v>0</v>
      </c>
      <c r="S72" s="140">
        <f t="shared" si="39"/>
        <v>0</v>
      </c>
      <c r="T72" s="140">
        <f t="shared" ref="T72:U72" si="41">SUM(T69:T71)</f>
        <v>0</v>
      </c>
      <c r="U72" s="140">
        <f t="shared" si="41"/>
        <v>0</v>
      </c>
      <c r="V72" s="140">
        <f t="shared" ref="V72" si="42">SUM(V69:V71)</f>
        <v>0</v>
      </c>
      <c r="W72" s="140">
        <f>SUM(W69:W71)</f>
        <v>0</v>
      </c>
    </row>
    <row r="73" spans="1:23">
      <c r="A73" s="117">
        <v>40</v>
      </c>
      <c r="B73" s="119" t="s">
        <v>142</v>
      </c>
      <c r="C73" s="119"/>
      <c r="D73" s="119"/>
      <c r="E73" s="141">
        <f>E66+E72</f>
        <v>416324</v>
      </c>
      <c r="F73" s="141">
        <f t="shared" ref="F73:S73" si="43">F66+F72</f>
        <v>0</v>
      </c>
      <c r="G73" s="141">
        <f t="shared" si="43"/>
        <v>0</v>
      </c>
      <c r="H73" s="141">
        <f t="shared" si="43"/>
        <v>0</v>
      </c>
      <c r="I73" s="141">
        <f t="shared" ref="I73" si="44">I66+I72</f>
        <v>-6608</v>
      </c>
      <c r="J73" s="141">
        <f t="shared" si="43"/>
        <v>0</v>
      </c>
      <c r="K73" s="141">
        <f t="shared" si="43"/>
        <v>0</v>
      </c>
      <c r="L73" s="141">
        <f t="shared" si="43"/>
        <v>0</v>
      </c>
      <c r="M73" s="141">
        <f t="shared" si="43"/>
        <v>0</v>
      </c>
      <c r="N73" s="141">
        <f t="shared" si="43"/>
        <v>0</v>
      </c>
      <c r="O73" s="141">
        <f t="shared" si="43"/>
        <v>0</v>
      </c>
      <c r="P73" s="141">
        <f t="shared" si="43"/>
        <v>0</v>
      </c>
      <c r="Q73" s="141">
        <f t="shared" si="43"/>
        <v>0</v>
      </c>
      <c r="R73" s="141">
        <f t="shared" si="43"/>
        <v>0</v>
      </c>
      <c r="S73" s="141">
        <f t="shared" si="43"/>
        <v>0</v>
      </c>
      <c r="T73" s="141">
        <f t="shared" ref="T73:U73" si="45">T66+T72</f>
        <v>0</v>
      </c>
      <c r="U73" s="141">
        <f t="shared" si="45"/>
        <v>0</v>
      </c>
      <c r="V73" s="141">
        <f t="shared" ref="V73" si="46">V66+V72</f>
        <v>0</v>
      </c>
      <c r="W73" s="141">
        <f>W66+W72</f>
        <v>0</v>
      </c>
    </row>
    <row r="74" spans="1:23" s="122" customFormat="1" ht="18.899999999999999" customHeight="1">
      <c r="A74" s="120">
        <v>41</v>
      </c>
      <c r="B74" s="121" t="s">
        <v>168</v>
      </c>
      <c r="C74" s="121"/>
      <c r="D74" s="121"/>
      <c r="E74" s="138">
        <f>'ADJ DETAIL INPUT'!E73</f>
        <v>-88908</v>
      </c>
      <c r="F74" s="138">
        <f>'ADJ DETAIL INPUT'!F73</f>
        <v>-1247</v>
      </c>
      <c r="G74" s="138">
        <f>'ADJ DETAIL INPUT'!G73</f>
        <v>0</v>
      </c>
      <c r="H74" s="138">
        <f>'ADJ DETAIL INPUT'!H73</f>
        <v>0</v>
      </c>
      <c r="I74" s="138">
        <f>'ADJ DETAIL INPUT'!I73</f>
        <v>570</v>
      </c>
      <c r="J74" s="138">
        <f>'ADJ DETAIL INPUT'!J73</f>
        <v>0</v>
      </c>
      <c r="K74" s="138">
        <f>'ADJ DETAIL INPUT'!K73</f>
        <v>0</v>
      </c>
      <c r="L74" s="138">
        <f>'ADJ DETAIL INPUT'!L73</f>
        <v>0</v>
      </c>
      <c r="M74" s="138">
        <f>'ADJ DETAIL INPUT'!M73</f>
        <v>0</v>
      </c>
      <c r="N74" s="138">
        <f>'ADJ DETAIL INPUT'!N73</f>
        <v>0</v>
      </c>
      <c r="O74" s="138">
        <f>'ADJ DETAIL INPUT'!O73</f>
        <v>0</v>
      </c>
      <c r="P74" s="138">
        <f>'ADJ DETAIL INPUT'!P73</f>
        <v>0</v>
      </c>
      <c r="Q74" s="138">
        <f>'ADJ DETAIL INPUT'!Q73</f>
        <v>0</v>
      </c>
      <c r="R74" s="138">
        <f>'ADJ DETAIL INPUT'!R73</f>
        <v>0</v>
      </c>
      <c r="S74" s="138">
        <f>'ADJ DETAIL INPUT'!S73</f>
        <v>0</v>
      </c>
      <c r="T74" s="138">
        <f>'ADJ DETAIL INPUT'!T73</f>
        <v>0</v>
      </c>
      <c r="U74" s="138">
        <f>'ADJ DETAIL INPUT'!U73</f>
        <v>0</v>
      </c>
      <c r="V74" s="138">
        <f>'ADJ DETAIL INPUT'!V73</f>
        <v>0</v>
      </c>
      <c r="W74" s="138">
        <f>'ADJ DETAIL INPUT'!W73</f>
        <v>0</v>
      </c>
    </row>
    <row r="75" spans="1:23" s="122" customFormat="1" ht="18.899999999999999" customHeight="1">
      <c r="A75" s="120">
        <v>42</v>
      </c>
      <c r="B75" s="121" t="s">
        <v>166</v>
      </c>
      <c r="C75" s="121"/>
      <c r="D75" s="121"/>
      <c r="E75" s="141">
        <f>E73+E74</f>
        <v>327416</v>
      </c>
      <c r="F75" s="141">
        <f t="shared" ref="F75:S75" si="47">F73+F74</f>
        <v>-1247</v>
      </c>
      <c r="G75" s="141">
        <f t="shared" si="47"/>
        <v>0</v>
      </c>
      <c r="H75" s="141">
        <f t="shared" si="47"/>
        <v>0</v>
      </c>
      <c r="I75" s="141">
        <f t="shared" ref="I75" si="48">I73+I74</f>
        <v>-6038</v>
      </c>
      <c r="J75" s="141">
        <f t="shared" si="47"/>
        <v>0</v>
      </c>
      <c r="K75" s="141">
        <f t="shared" si="47"/>
        <v>0</v>
      </c>
      <c r="L75" s="141">
        <f t="shared" si="47"/>
        <v>0</v>
      </c>
      <c r="M75" s="141">
        <f t="shared" si="47"/>
        <v>0</v>
      </c>
      <c r="N75" s="141">
        <f t="shared" si="47"/>
        <v>0</v>
      </c>
      <c r="O75" s="141">
        <f t="shared" si="47"/>
        <v>0</v>
      </c>
      <c r="P75" s="141">
        <f t="shared" si="47"/>
        <v>0</v>
      </c>
      <c r="Q75" s="141">
        <f t="shared" si="47"/>
        <v>0</v>
      </c>
      <c r="R75" s="141">
        <f t="shared" si="47"/>
        <v>0</v>
      </c>
      <c r="S75" s="141">
        <f t="shared" si="47"/>
        <v>0</v>
      </c>
      <c r="T75" s="141">
        <f t="shared" ref="T75:U75" si="49">T73+T74</f>
        <v>0</v>
      </c>
      <c r="U75" s="141">
        <f t="shared" si="49"/>
        <v>0</v>
      </c>
      <c r="V75" s="141">
        <f t="shared" ref="V75" si="50">V73+V74</f>
        <v>0</v>
      </c>
      <c r="W75" s="141">
        <f>W73+W74</f>
        <v>0</v>
      </c>
    </row>
    <row r="76" spans="1:23">
      <c r="A76" s="117">
        <v>43</v>
      </c>
      <c r="B76" s="119" t="s">
        <v>56</v>
      </c>
      <c r="C76" s="119"/>
      <c r="D76" s="119"/>
      <c r="E76" s="137">
        <f>'ADJ DETAIL INPUT'!E75</f>
        <v>8355</v>
      </c>
      <c r="F76" s="137">
        <f>'ADJ DETAIL INPUT'!F75</f>
        <v>0</v>
      </c>
      <c r="G76" s="137">
        <f>'ADJ DETAIL INPUT'!G75</f>
        <v>0</v>
      </c>
      <c r="H76" s="137">
        <f>'ADJ DETAIL INPUT'!H75</f>
        <v>0</v>
      </c>
      <c r="I76" s="137">
        <f>'ADJ DETAIL INPUT'!I75</f>
        <v>0</v>
      </c>
      <c r="J76" s="137">
        <f>'ADJ DETAIL INPUT'!J75</f>
        <v>0</v>
      </c>
      <c r="K76" s="137">
        <f>'ADJ DETAIL INPUT'!K75</f>
        <v>0</v>
      </c>
      <c r="L76" s="137">
        <f>'ADJ DETAIL INPUT'!L75</f>
        <v>0</v>
      </c>
      <c r="M76" s="137">
        <f>'ADJ DETAIL INPUT'!M75</f>
        <v>0</v>
      </c>
      <c r="N76" s="137">
        <f>'ADJ DETAIL INPUT'!N75</f>
        <v>0</v>
      </c>
      <c r="O76" s="137">
        <f>'ADJ DETAIL INPUT'!O75</f>
        <v>0</v>
      </c>
      <c r="P76" s="137">
        <f>'ADJ DETAIL INPUT'!P75</f>
        <v>0</v>
      </c>
      <c r="Q76" s="137">
        <f>'ADJ DETAIL INPUT'!Q75</f>
        <v>0</v>
      </c>
      <c r="R76" s="137">
        <f>'ADJ DETAIL INPUT'!R75</f>
        <v>0</v>
      </c>
      <c r="S76" s="137">
        <f>'ADJ DETAIL INPUT'!S75</f>
        <v>0</v>
      </c>
      <c r="T76" s="137">
        <f>'ADJ DETAIL INPUT'!T75</f>
        <v>0</v>
      </c>
      <c r="U76" s="137">
        <f>'ADJ DETAIL INPUT'!U75</f>
        <v>0</v>
      </c>
      <c r="V76" s="137">
        <f>'ADJ DETAIL INPUT'!V75</f>
        <v>0</v>
      </c>
      <c r="W76" s="137">
        <f>'ADJ DETAIL INPUT'!W75</f>
        <v>0</v>
      </c>
    </row>
    <row r="77" spans="1:23" s="122" customFormat="1">
      <c r="A77" s="120">
        <v>44</v>
      </c>
      <c r="B77" s="121" t="s">
        <v>57</v>
      </c>
      <c r="C77" s="121"/>
      <c r="D77" s="121"/>
      <c r="E77" s="137">
        <f>'ADJ DETAIL INPUT'!E76</f>
        <v>0</v>
      </c>
      <c r="F77" s="137">
        <f>'ADJ DETAIL INPUT'!F76</f>
        <v>0</v>
      </c>
      <c r="G77" s="137">
        <f>'ADJ DETAIL INPUT'!G76</f>
        <v>0</v>
      </c>
      <c r="H77" s="137">
        <f>'ADJ DETAIL INPUT'!H76</f>
        <v>0</v>
      </c>
      <c r="I77" s="137">
        <f>'ADJ DETAIL INPUT'!I76</f>
        <v>0</v>
      </c>
      <c r="J77" s="137">
        <f>'ADJ DETAIL INPUT'!J76</f>
        <v>0</v>
      </c>
      <c r="K77" s="137">
        <f>'ADJ DETAIL INPUT'!K76</f>
        <v>0</v>
      </c>
      <c r="L77" s="137">
        <f>'ADJ DETAIL INPUT'!L76</f>
        <v>0</v>
      </c>
      <c r="M77" s="137">
        <f>'ADJ DETAIL INPUT'!M76</f>
        <v>0</v>
      </c>
      <c r="N77" s="137">
        <f>'ADJ DETAIL INPUT'!N76</f>
        <v>0</v>
      </c>
      <c r="O77" s="137">
        <f>'ADJ DETAIL INPUT'!O76</f>
        <v>0</v>
      </c>
      <c r="P77" s="137">
        <f>'ADJ DETAIL INPUT'!P76</f>
        <v>0</v>
      </c>
      <c r="Q77" s="137">
        <f>'ADJ DETAIL INPUT'!Q76</f>
        <v>0</v>
      </c>
      <c r="R77" s="137">
        <f>'ADJ DETAIL INPUT'!R76</f>
        <v>0</v>
      </c>
      <c r="S77" s="137">
        <f>'ADJ DETAIL INPUT'!S76</f>
        <v>0</v>
      </c>
      <c r="T77" s="137">
        <f>'ADJ DETAIL INPUT'!T76</f>
        <v>0</v>
      </c>
      <c r="U77" s="137">
        <f>'ADJ DETAIL INPUT'!U76</f>
        <v>0</v>
      </c>
      <c r="V77" s="137">
        <f>'ADJ DETAIL INPUT'!V76</f>
        <v>0</v>
      </c>
      <c r="W77" s="137">
        <f>'ADJ DETAIL INPUT'!W76</f>
        <v>0</v>
      </c>
    </row>
    <row r="78" spans="1:23" s="122" customFormat="1">
      <c r="A78" s="120">
        <v>45</v>
      </c>
      <c r="B78" s="121" t="s">
        <v>378</v>
      </c>
      <c r="C78" s="121"/>
      <c r="D78" s="121"/>
      <c r="E78" s="137">
        <f>'ADJ DETAIL INPUT'!E77</f>
        <v>5338</v>
      </c>
      <c r="F78" s="137">
        <f>'ADJ DETAIL INPUT'!F77</f>
        <v>0</v>
      </c>
      <c r="G78" s="137">
        <f>'ADJ DETAIL INPUT'!G77</f>
        <v>-7</v>
      </c>
      <c r="H78" s="137">
        <f>'ADJ DETAIL INPUT'!H77</f>
        <v>0</v>
      </c>
      <c r="I78" s="137">
        <f>'ADJ DETAIL INPUT'!I77</f>
        <v>0</v>
      </c>
      <c r="J78" s="137">
        <f>'ADJ DETAIL INPUT'!J77</f>
        <v>0</v>
      </c>
      <c r="K78" s="137">
        <f>'ADJ DETAIL INPUT'!K77</f>
        <v>0</v>
      </c>
      <c r="L78" s="137">
        <f>'ADJ DETAIL INPUT'!L77</f>
        <v>0</v>
      </c>
      <c r="M78" s="137">
        <f>'ADJ DETAIL INPUT'!M77</f>
        <v>0</v>
      </c>
      <c r="N78" s="137">
        <f>'ADJ DETAIL INPUT'!N77</f>
        <v>0</v>
      </c>
      <c r="O78" s="137">
        <f>'ADJ DETAIL INPUT'!O77</f>
        <v>0</v>
      </c>
      <c r="P78" s="137">
        <f>'ADJ DETAIL INPUT'!P77</f>
        <v>0</v>
      </c>
      <c r="Q78" s="137">
        <f>'ADJ DETAIL INPUT'!Q77</f>
        <v>0</v>
      </c>
      <c r="R78" s="137">
        <f>'ADJ DETAIL INPUT'!R77</f>
        <v>0</v>
      </c>
      <c r="S78" s="137">
        <f>'ADJ DETAIL INPUT'!S77</f>
        <v>0</v>
      </c>
      <c r="T78" s="137">
        <f>'ADJ DETAIL INPUT'!T77</f>
        <v>0</v>
      </c>
      <c r="U78" s="137">
        <f>'ADJ DETAIL INPUT'!U77</f>
        <v>0</v>
      </c>
      <c r="V78" s="137">
        <f>'ADJ DETAIL INPUT'!V77</f>
        <v>0</v>
      </c>
      <c r="W78" s="137">
        <f>'ADJ DETAIL INPUT'!W77</f>
        <v>0</v>
      </c>
    </row>
    <row r="79" spans="1:23">
      <c r="A79" s="117">
        <v>46</v>
      </c>
      <c r="B79" s="119" t="s">
        <v>143</v>
      </c>
      <c r="C79" s="119"/>
      <c r="D79" s="119"/>
      <c r="E79" s="138">
        <f>'ADJ DETAIL INPUT'!E78</f>
        <v>7549</v>
      </c>
      <c r="F79" s="138">
        <f>'ADJ DETAIL INPUT'!F78</f>
        <v>0</v>
      </c>
      <c r="G79" s="138">
        <f>'ADJ DETAIL INPUT'!G78</f>
        <v>0</v>
      </c>
      <c r="H79" s="138">
        <f>'ADJ DETAIL INPUT'!H78</f>
        <v>0</v>
      </c>
      <c r="I79" s="138">
        <f>'ADJ DETAIL INPUT'!I78</f>
        <v>0</v>
      </c>
      <c r="J79" s="138">
        <f>'ADJ DETAIL INPUT'!J78</f>
        <v>0</v>
      </c>
      <c r="K79" s="138">
        <f>'ADJ DETAIL INPUT'!K78</f>
        <v>0</v>
      </c>
      <c r="L79" s="138">
        <f>'ADJ DETAIL INPUT'!L78</f>
        <v>0</v>
      </c>
      <c r="M79" s="138">
        <f>'ADJ DETAIL INPUT'!M78</f>
        <v>0</v>
      </c>
      <c r="N79" s="138">
        <f>'ADJ DETAIL INPUT'!N78</f>
        <v>0</v>
      </c>
      <c r="O79" s="138">
        <f>'ADJ DETAIL INPUT'!O78</f>
        <v>0</v>
      </c>
      <c r="P79" s="138">
        <f>'ADJ DETAIL INPUT'!P78</f>
        <v>0</v>
      </c>
      <c r="Q79" s="138">
        <f>'ADJ DETAIL INPUT'!Q78</f>
        <v>0</v>
      </c>
      <c r="R79" s="138">
        <f>'ADJ DETAIL INPUT'!R78</f>
        <v>0</v>
      </c>
      <c r="S79" s="138">
        <f>'ADJ DETAIL INPUT'!S78</f>
        <v>0</v>
      </c>
      <c r="T79" s="138">
        <f>'ADJ DETAIL INPUT'!T78</f>
        <v>0</v>
      </c>
      <c r="U79" s="138">
        <f>'ADJ DETAIL INPUT'!U78</f>
        <v>0</v>
      </c>
      <c r="V79" s="138">
        <f>'ADJ DETAIL INPUT'!V78</f>
        <v>0</v>
      </c>
      <c r="W79" s="138">
        <f>'ADJ DETAIL INPUT'!W78</f>
        <v>0</v>
      </c>
    </row>
    <row r="81" spans="1:23"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</row>
    <row r="82" spans="1:23" s="255" customFormat="1" thickBot="1">
      <c r="A82" s="99">
        <v>47</v>
      </c>
      <c r="B82" s="255" t="s">
        <v>58</v>
      </c>
      <c r="E82" s="257">
        <f>E75+E76+E77+E79+E78</f>
        <v>348658</v>
      </c>
      <c r="F82" s="257">
        <f t="shared" ref="F82:S82" si="51">F75+F76+F77+F79+F78</f>
        <v>-1247</v>
      </c>
      <c r="G82" s="257">
        <f t="shared" si="51"/>
        <v>-7</v>
      </c>
      <c r="H82" s="257">
        <f t="shared" si="51"/>
        <v>0</v>
      </c>
      <c r="I82" s="257">
        <f t="shared" ref="I82" si="52">I75+I76+I77+I79+I78</f>
        <v>-6038</v>
      </c>
      <c r="J82" s="257">
        <f t="shared" si="51"/>
        <v>0</v>
      </c>
      <c r="K82" s="257">
        <f t="shared" si="51"/>
        <v>0</v>
      </c>
      <c r="L82" s="257">
        <f t="shared" si="51"/>
        <v>0</v>
      </c>
      <c r="M82" s="257">
        <f t="shared" si="51"/>
        <v>0</v>
      </c>
      <c r="N82" s="257">
        <f t="shared" si="51"/>
        <v>0</v>
      </c>
      <c r="O82" s="257">
        <f t="shared" si="51"/>
        <v>0</v>
      </c>
      <c r="P82" s="257">
        <f t="shared" si="51"/>
        <v>0</v>
      </c>
      <c r="Q82" s="257">
        <f t="shared" si="51"/>
        <v>0</v>
      </c>
      <c r="R82" s="257">
        <f t="shared" si="51"/>
        <v>0</v>
      </c>
      <c r="S82" s="257">
        <f t="shared" si="51"/>
        <v>0</v>
      </c>
      <c r="T82" s="257">
        <f t="shared" ref="T82:U82" si="53">T75+T76+T77+T79+T78</f>
        <v>0</v>
      </c>
      <c r="U82" s="257">
        <f t="shared" si="53"/>
        <v>0</v>
      </c>
      <c r="V82" s="257">
        <f t="shared" ref="V82" si="54">V75+V76+V77+V79+V78</f>
        <v>0</v>
      </c>
      <c r="W82" s="257">
        <f>W75+W76+W77+W79+W78</f>
        <v>0</v>
      </c>
    </row>
    <row r="83" spans="1:23" ht="18" customHeight="1" thickTop="1">
      <c r="E83" s="216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</row>
    <row r="84" spans="1:23"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</row>
    <row r="85" spans="1:23"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</row>
    <row r="86" spans="1:23" s="124" customFormat="1">
      <c r="A86" s="123"/>
      <c r="D86" s="125"/>
      <c r="E86" s="262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</row>
    <row r="87" spans="1:23" s="124" customFormat="1">
      <c r="A87" s="127"/>
      <c r="D87" s="125"/>
      <c r="E87" s="261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</row>
    <row r="88" spans="1:23" s="124" customFormat="1">
      <c r="A88" s="127"/>
      <c r="D88" s="125"/>
      <c r="E88" s="142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</row>
    <row r="89" spans="1:23" s="124" customFormat="1">
      <c r="A89" s="127"/>
      <c r="D89" s="125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</row>
    <row r="90" spans="1:23" s="124" customFormat="1">
      <c r="A90" s="127"/>
      <c r="D90" s="125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</row>
    <row r="91" spans="1:23" s="124" customFormat="1">
      <c r="A91" s="127"/>
      <c r="D91" s="125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</row>
    <row r="92" spans="1:23" s="124" customFormat="1">
      <c r="A92" s="123"/>
      <c r="D92" s="125"/>
      <c r="E92" s="126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</row>
    <row r="93" spans="1:23" s="124" customFormat="1">
      <c r="A93" s="127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</row>
    <row r="94" spans="1:23" s="124" customFormat="1">
      <c r="A94" s="127"/>
      <c r="D94" s="125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</row>
    <row r="95" spans="1:23" s="124" customFormat="1">
      <c r="A95" s="127"/>
      <c r="D95" s="125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</row>
    <row r="96" spans="1:23" s="124" customFormat="1">
      <c r="A96" s="127"/>
      <c r="D96" s="128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</row>
    <row r="97" spans="1:23" s="124" customFormat="1">
      <c r="A97" s="127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</row>
    <row r="98" spans="1:23" s="124" customFormat="1">
      <c r="A98" s="127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18" manualBreakCount="18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E8002718A36D46A3E3F8FEA2EBA44E" ma:contentTypeVersion="56" ma:contentTypeDescription="" ma:contentTypeScope="" ma:versionID="20edc9aceaeb0e9b60e9283b293be5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2019-08-22T07:00:00+00:00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5D29F7-D138-4945-B001-85A7A8654038}"/>
</file>

<file path=customXml/itemProps2.xml><?xml version="1.0" encoding="utf-8"?>
<ds:datastoreItem xmlns:ds="http://schemas.openxmlformats.org/officeDocument/2006/customXml" ds:itemID="{76277357-60AD-446D-971B-6D9E2737C5E2}"/>
</file>

<file path=customXml/itemProps3.xml><?xml version="1.0" encoding="utf-8"?>
<ds:datastoreItem xmlns:ds="http://schemas.openxmlformats.org/officeDocument/2006/customXml" ds:itemID="{62AB0346-FDAE-474B-ADCA-D127C28890AD}"/>
</file>

<file path=customXml/itemProps4.xml><?xml version="1.0" encoding="utf-8"?>
<ds:datastoreItem xmlns:ds="http://schemas.openxmlformats.org/officeDocument/2006/customXml" ds:itemID="{F876A333-6B57-43BD-AC4C-3BF918BD2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ADJ SUMMARY</vt:lpstr>
      <vt:lpstr>ADJ DETAIL INPUT</vt:lpstr>
      <vt:lpstr>RR SUMMARY</vt:lpstr>
      <vt:lpstr>CF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tlk</cp:lastModifiedBy>
  <cp:lastPrinted>2019-05-01T23:18:59Z</cp:lastPrinted>
  <dcterms:created xsi:type="dcterms:W3CDTF">1997-05-15T21:41:44Z</dcterms:created>
  <dcterms:modified xsi:type="dcterms:W3CDTF">2019-05-01T23:19:05Z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0x0101006E56B4D1795A2E4DB2F0B01679ED314A0067E8002718A36D46A3E3F8FEA2EBA44E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