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0" yWindow="120" windowWidth="15180" windowHeight="7815" firstSheet="1" activeTab="1"/>
  </bookViews>
  <sheets>
    <sheet name="WUTC_LYNNWOOD_SF" sheetId="5" state="hidden" r:id="rId1"/>
    <sheet name="WUTC_AW of Kent (SeaTac)_SF" sheetId="11" r:id="rId2"/>
    <sheet name="Value" sheetId="4" r:id="rId3"/>
    <sheet name="Commodity Tonnages" sheetId="2" r:id="rId4"/>
    <sheet name="Pricing" sheetId="3" r:id="rId5"/>
    <sheet name="Single Family" sheetId="6" r:id="rId6"/>
  </sheets>
  <externalReferences>
    <externalReference r:id="rId7"/>
  </externalReferences>
  <definedNames>
    <definedName name="color">#REF!</definedName>
    <definedName name="_xlnm.Print_Area" localSheetId="4">Pricing!$A$1:$L$19</definedName>
    <definedName name="_xlnm.Print_Area" localSheetId="5">'Single Family'!$A$7:$N$102</definedName>
    <definedName name="_xlnm.Print_Area" localSheetId="1">'WUTC_AW of Kent (SeaTac)_SF'!$A$1:$P$69</definedName>
    <definedName name="_xlnm.Print_Area" localSheetId="0">WUTC_LYNNWOOD_SF!$A$1:$K$82</definedName>
    <definedName name="_xlnm.Print_Titles" localSheetId="5">'Single Family'!$A:$B,'Single Family'!$1:$6</definedName>
  </definedNames>
  <calcPr calcId="145621"/>
</workbook>
</file>

<file path=xl/calcChain.xml><?xml version="1.0" encoding="utf-8"?>
<calcChain xmlns="http://schemas.openxmlformats.org/spreadsheetml/2006/main">
  <c r="O26" i="11" l="1"/>
  <c r="G52" i="11" l="1"/>
  <c r="O7" i="4"/>
  <c r="O8" i="4"/>
  <c r="O9" i="4"/>
  <c r="O10" i="4"/>
  <c r="O11" i="4"/>
  <c r="O12" i="4"/>
  <c r="O13" i="4"/>
  <c r="O14" i="4"/>
  <c r="O15" i="4"/>
  <c r="O16" i="4"/>
  <c r="O17" i="4"/>
  <c r="B28" i="11" l="1"/>
  <c r="I67" i="11" l="1"/>
  <c r="O79" i="6" l="1"/>
  <c r="Q7" i="6" l="1"/>
  <c r="E9" i="6"/>
  <c r="E10" i="6" s="1"/>
  <c r="E34" i="6" s="1"/>
  <c r="D23" i="6"/>
  <c r="E23" i="6" s="1"/>
  <c r="F23" i="6" s="1"/>
  <c r="G23" i="6" s="1"/>
  <c r="D22" i="6"/>
  <c r="D21" i="6"/>
  <c r="E21" i="6" s="1"/>
  <c r="F21" i="6" s="1"/>
  <c r="D20" i="6"/>
  <c r="E20" i="6"/>
  <c r="F20" i="6" s="1"/>
  <c r="G20" i="6" s="1"/>
  <c r="D19" i="6"/>
  <c r="G18" i="6"/>
  <c r="D18" i="6"/>
  <c r="E18" i="6" s="1"/>
  <c r="F18" i="6" s="1"/>
  <c r="D17" i="6"/>
  <c r="E16" i="6"/>
  <c r="F16" i="6" s="1"/>
  <c r="G16" i="6" s="1"/>
  <c r="H16" i="6" s="1"/>
  <c r="I16" i="6" s="1"/>
  <c r="J16" i="6" s="1"/>
  <c r="K16" i="6" s="1"/>
  <c r="D16" i="6"/>
  <c r="D15" i="6"/>
  <c r="D14" i="6"/>
  <c r="E14" i="6" s="1"/>
  <c r="F14" i="6" s="1"/>
  <c r="G14" i="6" s="1"/>
  <c r="E13" i="6"/>
  <c r="F13" i="6" s="1"/>
  <c r="D13" i="6"/>
  <c r="N57" i="11"/>
  <c r="B11" i="11"/>
  <c r="F36" i="11" s="1"/>
  <c r="F37" i="11" s="1"/>
  <c r="O7" i="11"/>
  <c r="O6" i="11"/>
  <c r="O5" i="11"/>
  <c r="H14" i="3"/>
  <c r="H12" i="3"/>
  <c r="H11" i="3"/>
  <c r="H6" i="3"/>
  <c r="D14" i="3"/>
  <c r="D12" i="3"/>
  <c r="D11" i="3"/>
  <c r="D6" i="3"/>
  <c r="C14" i="3"/>
  <c r="C12" i="3"/>
  <c r="C10" i="3"/>
  <c r="C9" i="3"/>
  <c r="C8" i="3"/>
  <c r="I10" i="3"/>
  <c r="J8" i="3"/>
  <c r="J7" i="3"/>
  <c r="F12" i="3"/>
  <c r="K14" i="3"/>
  <c r="K13" i="3"/>
  <c r="K10" i="3"/>
  <c r="K9" i="3"/>
  <c r="K7" i="3"/>
  <c r="K6" i="3"/>
  <c r="G13" i="3"/>
  <c r="G10" i="3"/>
  <c r="G8" i="3"/>
  <c r="C9" i="6"/>
  <c r="C10" i="6" s="1"/>
  <c r="A8" i="11"/>
  <c r="K8" i="11" s="1"/>
  <c r="A6" i="3"/>
  <c r="A6" i="4" s="1"/>
  <c r="A6" i="2"/>
  <c r="A7" i="2" s="1"/>
  <c r="C7" i="3"/>
  <c r="F7" i="3"/>
  <c r="I8" i="3"/>
  <c r="D9" i="3"/>
  <c r="F9" i="3"/>
  <c r="H9" i="3"/>
  <c r="C11" i="3"/>
  <c r="K11" i="3"/>
  <c r="G12" i="3"/>
  <c r="I12" i="3"/>
  <c r="J12" i="3"/>
  <c r="H13" i="3"/>
  <c r="D9" i="6"/>
  <c r="D10" i="6" s="1"/>
  <c r="F9" i="6"/>
  <c r="F10" i="6" s="1"/>
  <c r="G9" i="6"/>
  <c r="G10" i="6" s="1"/>
  <c r="G28" i="6" s="1"/>
  <c r="H9" i="6"/>
  <c r="H10" i="6" s="1"/>
  <c r="H27" i="6" s="1"/>
  <c r="I9" i="6"/>
  <c r="I10" i="6" s="1"/>
  <c r="I30" i="6" s="1"/>
  <c r="J9" i="6"/>
  <c r="J10" i="6" s="1"/>
  <c r="J33" i="6" s="1"/>
  <c r="J61" i="6" s="1"/>
  <c r="J88" i="6" s="1"/>
  <c r="K9" i="6"/>
  <c r="K10" i="6" s="1"/>
  <c r="K30" i="6" s="1"/>
  <c r="L9" i="6"/>
  <c r="L10" i="6" s="1"/>
  <c r="L32" i="6" s="1"/>
  <c r="M9" i="6"/>
  <c r="M10" i="6" s="1"/>
  <c r="N9" i="6"/>
  <c r="N10" i="6" s="1"/>
  <c r="B23" i="11"/>
  <c r="F40" i="11" s="1"/>
  <c r="F41" i="11" s="1"/>
  <c r="A2" i="2"/>
  <c r="A2" i="4"/>
  <c r="A2" i="3"/>
  <c r="D6" i="6"/>
  <c r="E6" i="6" s="1"/>
  <c r="F6" i="6" s="1"/>
  <c r="G6" i="6" s="1"/>
  <c r="H6" i="6" s="1"/>
  <c r="I6" i="6" s="1"/>
  <c r="J6" i="6" s="1"/>
  <c r="K6" i="6" s="1"/>
  <c r="L6" i="6" s="1"/>
  <c r="M6" i="6" s="1"/>
  <c r="N6" i="6" s="1"/>
  <c r="B105" i="6"/>
  <c r="J8" i="11"/>
  <c r="J9" i="11"/>
  <c r="J10" i="11"/>
  <c r="J21" i="11"/>
  <c r="J13" i="11"/>
  <c r="J14" i="11"/>
  <c r="J15" i="11"/>
  <c r="J16" i="11"/>
  <c r="J17" i="11"/>
  <c r="J18" i="11"/>
  <c r="J19" i="11"/>
  <c r="J20" i="11"/>
  <c r="B11" i="5"/>
  <c r="F34" i="5" s="1"/>
  <c r="F35" i="5"/>
  <c r="F41" i="5" s="1"/>
  <c r="G41" i="5" s="1"/>
  <c r="B24" i="5"/>
  <c r="F38" i="5" s="1"/>
  <c r="F39" i="5" s="1"/>
  <c r="D11" i="5"/>
  <c r="D26" i="5" s="1"/>
  <c r="D24" i="5"/>
  <c r="J14" i="5"/>
  <c r="F14" i="5"/>
  <c r="J8" i="5"/>
  <c r="J9" i="5"/>
  <c r="J22" i="5"/>
  <c r="J13" i="5"/>
  <c r="J15" i="5"/>
  <c r="J16" i="5"/>
  <c r="J17" i="5"/>
  <c r="J18" i="5"/>
  <c r="J19" i="5"/>
  <c r="J20" i="5"/>
  <c r="J21" i="5"/>
  <c r="F22" i="5"/>
  <c r="F19" i="5"/>
  <c r="F20" i="5"/>
  <c r="F21" i="5"/>
  <c r="F8" i="5"/>
  <c r="F9" i="5"/>
  <c r="F13" i="5"/>
  <c r="F15" i="5"/>
  <c r="F16" i="5"/>
  <c r="F17" i="5"/>
  <c r="F18" i="5"/>
  <c r="G31" i="5"/>
  <c r="G44" i="5" s="1"/>
  <c r="G51" i="5" s="1"/>
  <c r="I7" i="3"/>
  <c r="F11" i="3"/>
  <c r="H8" i="3"/>
  <c r="G9" i="3"/>
  <c r="I15" i="3"/>
  <c r="G14" i="3"/>
  <c r="J10" i="3"/>
  <c r="D10" i="3"/>
  <c r="J6" i="3"/>
  <c r="I6" i="3"/>
  <c r="K16" i="3"/>
  <c r="F16" i="3"/>
  <c r="K15" i="3"/>
  <c r="J15" i="3"/>
  <c r="G17" i="3"/>
  <c r="H17" i="3"/>
  <c r="H16" i="3"/>
  <c r="C17" i="3"/>
  <c r="C16" i="3"/>
  <c r="K17" i="3"/>
  <c r="J14" i="3"/>
  <c r="G7" i="3"/>
  <c r="C15" i="3"/>
  <c r="F6" i="3"/>
  <c r="G15" i="3"/>
  <c r="K8" i="3"/>
  <c r="J9" i="3"/>
  <c r="I9" i="3"/>
  <c r="I11" i="3"/>
  <c r="K12" i="3"/>
  <c r="I13" i="3"/>
  <c r="D8" i="3"/>
  <c r="F17" i="3"/>
  <c r="F8" i="3"/>
  <c r="C13" i="3"/>
  <c r="E6" i="3"/>
  <c r="H10" i="3"/>
  <c r="G11" i="3"/>
  <c r="L6" i="3"/>
  <c r="D16" i="3"/>
  <c r="D15" i="3"/>
  <c r="J13" i="3"/>
  <c r="D13" i="3"/>
  <c r="H7" i="3"/>
  <c r="H15" i="3"/>
  <c r="F10" i="3"/>
  <c r="F13" i="3"/>
  <c r="I14" i="3"/>
  <c r="D7" i="3"/>
  <c r="J17" i="3"/>
  <c r="I17" i="3"/>
  <c r="D17" i="3"/>
  <c r="I16" i="3"/>
  <c r="J16" i="3"/>
  <c r="F15" i="3"/>
  <c r="G6" i="3"/>
  <c r="F14" i="3"/>
  <c r="J11" i="3"/>
  <c r="C6" i="3"/>
  <c r="G16" i="3"/>
  <c r="E22" i="6"/>
  <c r="G13" i="6"/>
  <c r="H13" i="6" s="1"/>
  <c r="I13" i="6" s="1"/>
  <c r="J13" i="6" s="1"/>
  <c r="K13" i="6" s="1"/>
  <c r="L13" i="6" s="1"/>
  <c r="M13" i="6" s="1"/>
  <c r="H14" i="6"/>
  <c r="E19" i="6"/>
  <c r="F22" i="6"/>
  <c r="G22" i="6" s="1"/>
  <c r="H22" i="6" s="1"/>
  <c r="I22" i="6" s="1"/>
  <c r="H18" i="6"/>
  <c r="I18" i="6" s="1"/>
  <c r="J18" i="6" s="1"/>
  <c r="F19" i="6"/>
  <c r="G19" i="6" s="1"/>
  <c r="K18" i="6"/>
  <c r="L18" i="6" s="1"/>
  <c r="M18" i="6" s="1"/>
  <c r="N18" i="6" s="1"/>
  <c r="J22" i="6"/>
  <c r="K22" i="6" s="1"/>
  <c r="L16" i="6"/>
  <c r="M16" i="6" s="1"/>
  <c r="N16" i="6" s="1"/>
  <c r="H19" i="6"/>
  <c r="A9" i="11"/>
  <c r="A10" i="11" s="1"/>
  <c r="I19" i="6"/>
  <c r="J19" i="6" s="1"/>
  <c r="K19" i="6"/>
  <c r="L17" i="3"/>
  <c r="E17" i="3"/>
  <c r="F43" i="11" l="1"/>
  <c r="G43" i="11" s="1"/>
  <c r="E27" i="6"/>
  <c r="E55" i="6" s="1"/>
  <c r="E82" i="6" s="1"/>
  <c r="H33" i="6"/>
  <c r="H61" i="6" s="1"/>
  <c r="H88" i="6" s="1"/>
  <c r="K9" i="11"/>
  <c r="I36" i="6"/>
  <c r="I64" i="6" s="1"/>
  <c r="G33" i="6"/>
  <c r="G61" i="6" s="1"/>
  <c r="G88" i="6" s="1"/>
  <c r="K10" i="11"/>
  <c r="A13" i="11"/>
  <c r="K13" i="11" s="1"/>
  <c r="C36" i="11"/>
  <c r="A7" i="3"/>
  <c r="A7" i="4" s="1"/>
  <c r="A8" i="2"/>
  <c r="G56" i="6"/>
  <c r="G83" i="6" s="1"/>
  <c r="K10" i="2"/>
  <c r="K10" i="4" s="1"/>
  <c r="F14" i="2"/>
  <c r="F14" i="4" s="1"/>
  <c r="K58" i="6"/>
  <c r="K85" i="6" s="1"/>
  <c r="C37" i="6"/>
  <c r="H6" i="2" s="1"/>
  <c r="H6" i="4" s="1"/>
  <c r="C34" i="6"/>
  <c r="C27" i="6"/>
  <c r="C35" i="6"/>
  <c r="C33" i="6"/>
  <c r="C61" i="6" s="1"/>
  <c r="C88" i="6" s="1"/>
  <c r="C36" i="6"/>
  <c r="C64" i="6" s="1"/>
  <c r="C91" i="6" s="1"/>
  <c r="L30" i="6"/>
  <c r="L58" i="6" s="1"/>
  <c r="L85" i="6" s="1"/>
  <c r="K27" i="6"/>
  <c r="G14" i="2" s="1"/>
  <c r="G14" i="4" s="1"/>
  <c r="J30" i="6"/>
  <c r="F13" i="2" s="1"/>
  <c r="F13" i="4" s="1"/>
  <c r="F12" i="2"/>
  <c r="F12" i="4" s="1"/>
  <c r="I58" i="6"/>
  <c r="I85" i="6" s="1"/>
  <c r="M30" i="6"/>
  <c r="M27" i="6"/>
  <c r="M32" i="6"/>
  <c r="C15" i="2"/>
  <c r="C15" i="4" s="1"/>
  <c r="L60" i="6"/>
  <c r="L87" i="6" s="1"/>
  <c r="N32" i="6"/>
  <c r="N27" i="6"/>
  <c r="N30" i="6"/>
  <c r="K32" i="6"/>
  <c r="F32" i="6"/>
  <c r="F33" i="6"/>
  <c r="F61" i="6" s="1"/>
  <c r="F88" i="6" s="1"/>
  <c r="F37" i="6"/>
  <c r="H9" i="2" s="1"/>
  <c r="H9" i="4" s="1"/>
  <c r="E35" i="6"/>
  <c r="E8" i="2" s="1"/>
  <c r="D8" i="2"/>
  <c r="D8" i="4" s="1"/>
  <c r="E62" i="6"/>
  <c r="E89" i="6" s="1"/>
  <c r="D35" i="6"/>
  <c r="D34" i="6"/>
  <c r="D7" i="2" s="1"/>
  <c r="D30" i="6"/>
  <c r="F7" i="2" s="1"/>
  <c r="D37" i="6"/>
  <c r="H7" i="2" s="1"/>
  <c r="H7" i="4" s="1"/>
  <c r="D32" i="6"/>
  <c r="D36" i="6"/>
  <c r="D27" i="6"/>
  <c r="D28" i="6"/>
  <c r="D56" i="6" s="1"/>
  <c r="D83" i="6" s="1"/>
  <c r="D33" i="6"/>
  <c r="D61" i="6" s="1"/>
  <c r="D88" i="6" s="1"/>
  <c r="E36" i="6"/>
  <c r="G8" i="2"/>
  <c r="G8" i="4" s="1"/>
  <c r="C30" i="6"/>
  <c r="C28" i="6"/>
  <c r="C31" i="6"/>
  <c r="I6" i="2" s="1"/>
  <c r="C32" i="6"/>
  <c r="C29" i="6"/>
  <c r="C57" i="6" s="1"/>
  <c r="C84" i="6" s="1"/>
  <c r="B25" i="11"/>
  <c r="G21" i="6"/>
  <c r="F35" i="6"/>
  <c r="G11" i="2"/>
  <c r="G11" i="4" s="1"/>
  <c r="H55" i="6"/>
  <c r="I14" i="6"/>
  <c r="J14" i="6" s="1"/>
  <c r="K14" i="6" s="1"/>
  <c r="H28" i="6"/>
  <c r="L22" i="6"/>
  <c r="M22" i="6" s="1"/>
  <c r="K36" i="6"/>
  <c r="J32" i="6"/>
  <c r="J36" i="6"/>
  <c r="J27" i="6"/>
  <c r="F36" i="6"/>
  <c r="F28" i="6"/>
  <c r="F34" i="6"/>
  <c r="F27" i="6"/>
  <c r="F30" i="6"/>
  <c r="L19" i="6"/>
  <c r="K33" i="6"/>
  <c r="K61" i="6" s="1"/>
  <c r="K88" i="6" s="1"/>
  <c r="J25" i="11"/>
  <c r="L27" i="6"/>
  <c r="L36" i="6"/>
  <c r="I27" i="6"/>
  <c r="I32" i="6"/>
  <c r="I33" i="6"/>
  <c r="I61" i="6" s="1"/>
  <c r="E17" i="6"/>
  <c r="F17" i="6" s="1"/>
  <c r="D31" i="6"/>
  <c r="H20" i="6"/>
  <c r="G34" i="6"/>
  <c r="H23" i="6"/>
  <c r="I23" i="6" s="1"/>
  <c r="J23" i="6" s="1"/>
  <c r="G37" i="6"/>
  <c r="H10" i="2" s="1"/>
  <c r="H10" i="4" s="1"/>
  <c r="J26" i="5"/>
  <c r="G50" i="5" s="1"/>
  <c r="G53" i="5" s="1"/>
  <c r="I53" i="5" s="1"/>
  <c r="E7" i="3"/>
  <c r="G27" i="6"/>
  <c r="H32" i="6"/>
  <c r="H30" i="6"/>
  <c r="H36" i="6"/>
  <c r="D29" i="6"/>
  <c r="E15" i="6"/>
  <c r="L7" i="3"/>
  <c r="G30" i="6"/>
  <c r="G32" i="6"/>
  <c r="G36" i="6"/>
  <c r="E30" i="6"/>
  <c r="E28" i="6"/>
  <c r="E37" i="6"/>
  <c r="H8" i="2" s="1"/>
  <c r="E33" i="6"/>
  <c r="E61" i="6" s="1"/>
  <c r="E88" i="6" s="1"/>
  <c r="E32" i="6"/>
  <c r="B26" i="5"/>
  <c r="F26" i="5" s="1"/>
  <c r="G56" i="5" s="1"/>
  <c r="I56" i="5" s="1"/>
  <c r="K55" i="6" l="1"/>
  <c r="K82" i="6" s="1"/>
  <c r="A14" i="11"/>
  <c r="K14" i="11" s="1"/>
  <c r="L12" i="2"/>
  <c r="J58" i="6"/>
  <c r="J85" i="6" s="1"/>
  <c r="A8" i="3"/>
  <c r="A8" i="4" s="1"/>
  <c r="A9" i="2"/>
  <c r="D58" i="6"/>
  <c r="D85" i="6" s="1"/>
  <c r="L6" i="2"/>
  <c r="L6" i="4" s="1"/>
  <c r="J6" i="2"/>
  <c r="C38" i="6"/>
  <c r="C55" i="6"/>
  <c r="C82" i="6" s="1"/>
  <c r="G6" i="2"/>
  <c r="G6" i="4" s="1"/>
  <c r="D62" i="6"/>
  <c r="D89" i="6" s="1"/>
  <c r="C59" i="6"/>
  <c r="C86" i="6" s="1"/>
  <c r="D6" i="2"/>
  <c r="D6" i="4" s="1"/>
  <c r="C62" i="6"/>
  <c r="C89" i="6" s="1"/>
  <c r="C63" i="6"/>
  <c r="C90" i="6" s="1"/>
  <c r="E6" i="2"/>
  <c r="E6" i="4" s="1"/>
  <c r="F15" i="2"/>
  <c r="F15" i="4" s="1"/>
  <c r="N60" i="6"/>
  <c r="N87" i="6" s="1"/>
  <c r="C17" i="2"/>
  <c r="C17" i="4" s="1"/>
  <c r="G16" i="2"/>
  <c r="G16" i="4" s="1"/>
  <c r="M55" i="6"/>
  <c r="M82" i="6" s="1"/>
  <c r="C14" i="2"/>
  <c r="C14" i="4" s="1"/>
  <c r="K60" i="6"/>
  <c r="K87" i="6" s="1"/>
  <c r="F16" i="2"/>
  <c r="F16" i="4" s="1"/>
  <c r="M58" i="6"/>
  <c r="M85" i="6" s="1"/>
  <c r="N58" i="6"/>
  <c r="N85" i="6" s="1"/>
  <c r="F17" i="2"/>
  <c r="F17" i="4" s="1"/>
  <c r="N55" i="6"/>
  <c r="N82" i="6" s="1"/>
  <c r="G17" i="2"/>
  <c r="G17" i="4" s="1"/>
  <c r="M60" i="6"/>
  <c r="M87" i="6" s="1"/>
  <c r="C16" i="2"/>
  <c r="C16" i="4" s="1"/>
  <c r="C9" i="2"/>
  <c r="C9" i="4" s="1"/>
  <c r="F60" i="6"/>
  <c r="F87" i="6" s="1"/>
  <c r="E63" i="6"/>
  <c r="E90" i="6" s="1"/>
  <c r="G7" i="2"/>
  <c r="G7" i="4" s="1"/>
  <c r="D55" i="6"/>
  <c r="D82" i="6" s="1"/>
  <c r="E64" i="6"/>
  <c r="E91" i="6" s="1"/>
  <c r="L8" i="2"/>
  <c r="D64" i="6"/>
  <c r="D91" i="6" s="1"/>
  <c r="L7" i="2"/>
  <c r="L7" i="4" s="1"/>
  <c r="K7" i="2"/>
  <c r="K7" i="4" s="1"/>
  <c r="D60" i="6"/>
  <c r="D87" i="6" s="1"/>
  <c r="C7" i="2"/>
  <c r="C7" i="4" s="1"/>
  <c r="E7" i="2"/>
  <c r="E7" i="4" s="1"/>
  <c r="D63" i="6"/>
  <c r="D90" i="6" s="1"/>
  <c r="F6" i="2"/>
  <c r="F6" i="4" s="1"/>
  <c r="C58" i="6"/>
  <c r="C85" i="6" s="1"/>
  <c r="C6" i="2"/>
  <c r="C6" i="4" s="1"/>
  <c r="C60" i="6"/>
  <c r="C87" i="6" s="1"/>
  <c r="C56" i="6"/>
  <c r="K6" i="2"/>
  <c r="K6" i="4" s="1"/>
  <c r="I58" i="5"/>
  <c r="F64" i="6"/>
  <c r="L9" i="2"/>
  <c r="C13" i="2"/>
  <c r="J60" i="6"/>
  <c r="J87" i="6" s="1"/>
  <c r="I6" i="4"/>
  <c r="L14" i="6"/>
  <c r="K28" i="6"/>
  <c r="H8" i="4"/>
  <c r="L10" i="2"/>
  <c r="G64" i="6"/>
  <c r="L8" i="3"/>
  <c r="H37" i="6"/>
  <c r="H11" i="2" s="1"/>
  <c r="H11" i="4" s="1"/>
  <c r="G62" i="6"/>
  <c r="G89" i="6" s="1"/>
  <c r="D10" i="2"/>
  <c r="D10" i="4" s="1"/>
  <c r="I28" i="6"/>
  <c r="M19" i="6"/>
  <c r="L33" i="6"/>
  <c r="L61" i="6" s="1"/>
  <c r="L88" i="6" s="1"/>
  <c r="F62" i="6"/>
  <c r="F89" i="6" s="1"/>
  <c r="D9" i="2"/>
  <c r="J28" i="6"/>
  <c r="L14" i="2"/>
  <c r="K64" i="6"/>
  <c r="H82" i="6"/>
  <c r="E9" i="2"/>
  <c r="F63" i="6"/>
  <c r="F8" i="2"/>
  <c r="F8" i="4" s="1"/>
  <c r="E58" i="6"/>
  <c r="E85" i="6" s="1"/>
  <c r="F10" i="2"/>
  <c r="F10" i="4" s="1"/>
  <c r="G58" i="6"/>
  <c r="G85" i="6" s="1"/>
  <c r="G17" i="6"/>
  <c r="F31" i="6"/>
  <c r="L64" i="6"/>
  <c r="L15" i="2"/>
  <c r="K8" i="2"/>
  <c r="K8" i="4" s="1"/>
  <c r="E56" i="6"/>
  <c r="G60" i="6"/>
  <c r="G87" i="6" s="1"/>
  <c r="C10" i="2"/>
  <c r="F15" i="6"/>
  <c r="E29" i="6"/>
  <c r="E57" i="6" s="1"/>
  <c r="E84" i="6" s="1"/>
  <c r="H60" i="6"/>
  <c r="H87" i="6" s="1"/>
  <c r="C11" i="2"/>
  <c r="E8" i="3"/>
  <c r="I20" i="6"/>
  <c r="H34" i="6"/>
  <c r="C12" i="2"/>
  <c r="I60" i="6"/>
  <c r="I87" i="6" s="1"/>
  <c r="J55" i="6"/>
  <c r="G13" i="2"/>
  <c r="G13" i="4" s="1"/>
  <c r="N22" i="6"/>
  <c r="N36" i="6" s="1"/>
  <c r="M36" i="6"/>
  <c r="J6" i="4"/>
  <c r="H21" i="6"/>
  <c r="G35" i="6"/>
  <c r="H58" i="6"/>
  <c r="H85" i="6" s="1"/>
  <c r="F11" i="2"/>
  <c r="F11" i="4" s="1"/>
  <c r="K23" i="6"/>
  <c r="J37" i="6"/>
  <c r="H13" i="2" s="1"/>
  <c r="H13" i="4" s="1"/>
  <c r="G9" i="2"/>
  <c r="F55" i="6"/>
  <c r="F82" i="6" s="1"/>
  <c r="F7" i="4"/>
  <c r="C8" i="2"/>
  <c r="E60" i="6"/>
  <c r="E87" i="6" s="1"/>
  <c r="E31" i="6"/>
  <c r="D7" i="4"/>
  <c r="D57" i="6"/>
  <c r="D38" i="6"/>
  <c r="H64" i="6"/>
  <c r="L11" i="2"/>
  <c r="G55" i="6"/>
  <c r="G10" i="2"/>
  <c r="G10" i="4" s="1"/>
  <c r="J7" i="2"/>
  <c r="J7" i="4" s="1"/>
  <c r="I7" i="2"/>
  <c r="I7" i="4" s="1"/>
  <c r="D59" i="6"/>
  <c r="D86" i="6" s="1"/>
  <c r="I37" i="6"/>
  <c r="H12" i="2" s="1"/>
  <c r="H12" i="4" s="1"/>
  <c r="I55" i="6"/>
  <c r="G12" i="2"/>
  <c r="G12" i="4" s="1"/>
  <c r="L55" i="6"/>
  <c r="G15" i="2"/>
  <c r="G15" i="4" s="1"/>
  <c r="F58" i="6"/>
  <c r="F85" i="6" s="1"/>
  <c r="F9" i="2"/>
  <c r="F9" i="4" s="1"/>
  <c r="F56" i="6"/>
  <c r="F83" i="6" s="1"/>
  <c r="K9" i="2"/>
  <c r="K9" i="4" s="1"/>
  <c r="L13" i="2"/>
  <c r="J64" i="6"/>
  <c r="K11" i="2"/>
  <c r="K11" i="4" s="1"/>
  <c r="H56" i="6"/>
  <c r="H83" i="6" s="1"/>
  <c r="A15" i="11" l="1"/>
  <c r="K15" i="11" s="1"/>
  <c r="E8" i="4"/>
  <c r="A10" i="2"/>
  <c r="A9" i="3"/>
  <c r="A9" i="4" s="1"/>
  <c r="L8" i="4"/>
  <c r="N6" i="2"/>
  <c r="C83" i="6"/>
  <c r="C65" i="6"/>
  <c r="F18" i="4"/>
  <c r="D84" i="6"/>
  <c r="D65" i="6"/>
  <c r="D92" i="6" s="1"/>
  <c r="H17" i="6"/>
  <c r="G31" i="6"/>
  <c r="K12" i="2"/>
  <c r="K12" i="4" s="1"/>
  <c r="I56" i="6"/>
  <c r="I83" i="6" s="1"/>
  <c r="M6" i="4"/>
  <c r="M7" i="4"/>
  <c r="F18" i="2"/>
  <c r="I21" i="6"/>
  <c r="H35" i="6"/>
  <c r="L17" i="2"/>
  <c r="L17" i="4" s="1"/>
  <c r="N64" i="6"/>
  <c r="N91" i="6" s="1"/>
  <c r="J20" i="6"/>
  <c r="I34" i="6"/>
  <c r="E9" i="3"/>
  <c r="F90" i="6"/>
  <c r="G15" i="6"/>
  <c r="F29" i="6"/>
  <c r="I9" i="2"/>
  <c r="I9" i="4" s="1"/>
  <c r="F59" i="6"/>
  <c r="F86" i="6" s="1"/>
  <c r="J9" i="2"/>
  <c r="J9" i="4" s="1"/>
  <c r="I82" i="6"/>
  <c r="L23" i="6"/>
  <c r="K37" i="6"/>
  <c r="H14" i="2" s="1"/>
  <c r="H14" i="4" s="1"/>
  <c r="C12" i="4"/>
  <c r="K13" i="2"/>
  <c r="K13" i="4" s="1"/>
  <c r="J56" i="6"/>
  <c r="J83" i="6" s="1"/>
  <c r="N19" i="6"/>
  <c r="N33" i="6" s="1"/>
  <c r="N61" i="6" s="1"/>
  <c r="N88" i="6" s="1"/>
  <c r="M33" i="6"/>
  <c r="M61" i="6" s="1"/>
  <c r="M88" i="6" s="1"/>
  <c r="K56" i="6"/>
  <c r="K14" i="2"/>
  <c r="K14" i="4" s="1"/>
  <c r="G82" i="6"/>
  <c r="I8" i="2"/>
  <c r="I8" i="4" s="1"/>
  <c r="E59" i="6"/>
  <c r="E86" i="6" s="1"/>
  <c r="J8" i="2"/>
  <c r="C11" i="4"/>
  <c r="C10" i="4"/>
  <c r="E38" i="6"/>
  <c r="L9" i="3"/>
  <c r="L9" i="4" s="1"/>
  <c r="F91" i="6"/>
  <c r="L82" i="6"/>
  <c r="N7" i="2"/>
  <c r="C8" i="4"/>
  <c r="C18" i="2"/>
  <c r="G9" i="4"/>
  <c r="G18" i="4" s="1"/>
  <c r="G18" i="2"/>
  <c r="E10" i="2"/>
  <c r="G63" i="6"/>
  <c r="L16" i="2"/>
  <c r="M64" i="6"/>
  <c r="J82" i="6"/>
  <c r="H62" i="6"/>
  <c r="H89" i="6" s="1"/>
  <c r="D11" i="2"/>
  <c r="E83" i="6"/>
  <c r="D9" i="4"/>
  <c r="M14" i="6"/>
  <c r="L28" i="6"/>
  <c r="C13" i="4"/>
  <c r="A16" i="11" l="1"/>
  <c r="A17" i="11" s="1"/>
  <c r="E9" i="4"/>
  <c r="M9" i="4" s="1"/>
  <c r="L18" i="2"/>
  <c r="A11" i="2"/>
  <c r="A10" i="3"/>
  <c r="A10" i="4" s="1"/>
  <c r="E65" i="6"/>
  <c r="E92" i="6" s="1"/>
  <c r="E93" i="6" s="1"/>
  <c r="N9" i="2"/>
  <c r="C92" i="6"/>
  <c r="C93" i="6" s="1"/>
  <c r="C52" i="6"/>
  <c r="C66" i="6"/>
  <c r="N14" i="6"/>
  <c r="N28" i="6" s="1"/>
  <c r="M28" i="6"/>
  <c r="J8" i="4"/>
  <c r="K83" i="6"/>
  <c r="K20" i="6"/>
  <c r="J34" i="6"/>
  <c r="H63" i="6"/>
  <c r="E11" i="2"/>
  <c r="O9" i="11"/>
  <c r="O8" i="11"/>
  <c r="E10" i="3"/>
  <c r="E10" i="4" s="1"/>
  <c r="G90" i="6"/>
  <c r="J21" i="6"/>
  <c r="I35" i="6"/>
  <c r="G59" i="6"/>
  <c r="G86" i="6" s="1"/>
  <c r="J10" i="2"/>
  <c r="J10" i="4" s="1"/>
  <c r="I10" i="2"/>
  <c r="D93" i="6"/>
  <c r="M8" i="4"/>
  <c r="C18" i="4"/>
  <c r="L10" i="3"/>
  <c r="L10" i="4" s="1"/>
  <c r="G91" i="6"/>
  <c r="K15" i="2"/>
  <c r="K15" i="4" s="1"/>
  <c r="L56" i="6"/>
  <c r="D11" i="4"/>
  <c r="N8" i="2"/>
  <c r="M23" i="6"/>
  <c r="L37" i="6"/>
  <c r="H15" i="2" s="1"/>
  <c r="F57" i="6"/>
  <c r="F38" i="6"/>
  <c r="I17" i="6"/>
  <c r="H31" i="6"/>
  <c r="H15" i="6"/>
  <c r="G29" i="6"/>
  <c r="D12" i="2"/>
  <c r="I62" i="6"/>
  <c r="I89" i="6" s="1"/>
  <c r="D66" i="6"/>
  <c r="D9" i="11" l="1"/>
  <c r="F9" i="11" s="1"/>
  <c r="K16" i="11"/>
  <c r="C94" i="6"/>
  <c r="C96" i="6" s="1"/>
  <c r="A12" i="2"/>
  <c r="A11" i="3"/>
  <c r="A11" i="4" s="1"/>
  <c r="E66" i="6"/>
  <c r="E94" i="6" s="1"/>
  <c r="E96" i="6" s="1"/>
  <c r="J11" i="2"/>
  <c r="J11" i="4" s="1"/>
  <c r="H59" i="6"/>
  <c r="H86" i="6" s="1"/>
  <c r="I11" i="2"/>
  <c r="H15" i="4"/>
  <c r="J62" i="6"/>
  <c r="J89" i="6" s="1"/>
  <c r="D13" i="2"/>
  <c r="M56" i="6"/>
  <c r="K16" i="2"/>
  <c r="K16" i="4" s="1"/>
  <c r="D12" i="4"/>
  <c r="J17" i="6"/>
  <c r="I31" i="6"/>
  <c r="N37" i="6"/>
  <c r="H17" i="2" s="1"/>
  <c r="H17" i="4" s="1"/>
  <c r="M37" i="6"/>
  <c r="H16" i="2" s="1"/>
  <c r="H16" i="4" s="1"/>
  <c r="O10" i="11"/>
  <c r="K17" i="11"/>
  <c r="A18" i="11"/>
  <c r="L20" i="6"/>
  <c r="K34" i="6"/>
  <c r="K17" i="2"/>
  <c r="K17" i="4" s="1"/>
  <c r="N56" i="6"/>
  <c r="G57" i="6"/>
  <c r="G38" i="6"/>
  <c r="O13" i="11"/>
  <c r="D94" i="6"/>
  <c r="D96" i="6" s="1"/>
  <c r="E12" i="2"/>
  <c r="I63" i="6"/>
  <c r="E11" i="3"/>
  <c r="H90" i="6"/>
  <c r="I15" i="6"/>
  <c r="H29" i="6"/>
  <c r="F84" i="6"/>
  <c r="F65" i="6"/>
  <c r="F92" i="6" s="1"/>
  <c r="L83" i="6"/>
  <c r="L11" i="3"/>
  <c r="L11" i="4" s="1"/>
  <c r="H91" i="6"/>
  <c r="I10" i="4"/>
  <c r="M10" i="4" s="1"/>
  <c r="N10" i="2"/>
  <c r="K21" i="6"/>
  <c r="J35" i="6"/>
  <c r="D13" i="11" l="1"/>
  <c r="D10" i="11"/>
  <c r="E11" i="4"/>
  <c r="A12" i="3"/>
  <c r="A12" i="4" s="1"/>
  <c r="A13" i="2"/>
  <c r="F93" i="6"/>
  <c r="F66" i="6"/>
  <c r="K18" i="4"/>
  <c r="K18" i="2"/>
  <c r="E13" i="2"/>
  <c r="J63" i="6"/>
  <c r="K62" i="6"/>
  <c r="K89" i="6" s="1"/>
  <c r="D14" i="2"/>
  <c r="I59" i="6"/>
  <c r="I86" i="6" s="1"/>
  <c r="J12" i="2"/>
  <c r="I12" i="2"/>
  <c r="I12" i="4" s="1"/>
  <c r="D13" i="4"/>
  <c r="L21" i="6"/>
  <c r="K35" i="6"/>
  <c r="L12" i="3"/>
  <c r="L12" i="4" s="1"/>
  <c r="I91" i="6"/>
  <c r="K18" i="11"/>
  <c r="A19" i="11"/>
  <c r="K17" i="6"/>
  <c r="J31" i="6"/>
  <c r="I11" i="4"/>
  <c r="H57" i="6"/>
  <c r="H38" i="6"/>
  <c r="M83" i="6"/>
  <c r="N83" i="6"/>
  <c r="M20" i="6"/>
  <c r="L34" i="6"/>
  <c r="F10" i="11"/>
  <c r="O14" i="11"/>
  <c r="J15" i="6"/>
  <c r="I29" i="6"/>
  <c r="N11" i="2"/>
  <c r="E12" i="3"/>
  <c r="I90" i="6"/>
  <c r="G84" i="6"/>
  <c r="G65" i="6"/>
  <c r="G92" i="6" s="1"/>
  <c r="H18" i="4"/>
  <c r="H18" i="2"/>
  <c r="D14" i="11" l="1"/>
  <c r="F14" i="11" s="1"/>
  <c r="M11" i="4"/>
  <c r="E12" i="4"/>
  <c r="F94" i="6"/>
  <c r="F96" i="6" s="1"/>
  <c r="A13" i="3"/>
  <c r="A13" i="4" s="1"/>
  <c r="A14" i="2"/>
  <c r="G93" i="6"/>
  <c r="G66" i="6"/>
  <c r="I57" i="6"/>
  <c r="I38" i="6"/>
  <c r="A20" i="11"/>
  <c r="K19" i="11"/>
  <c r="E14" i="2"/>
  <c r="K63" i="6"/>
  <c r="J12" i="4"/>
  <c r="K15" i="6"/>
  <c r="J29" i="6"/>
  <c r="L62" i="6"/>
  <c r="L89" i="6" s="1"/>
  <c r="D15" i="2"/>
  <c r="I13" i="2"/>
  <c r="J13" i="2"/>
  <c r="J13" i="4" s="1"/>
  <c r="J59" i="6"/>
  <c r="J86" i="6" s="1"/>
  <c r="M21" i="6"/>
  <c r="L35" i="6"/>
  <c r="E13" i="3"/>
  <c r="J90" i="6"/>
  <c r="N20" i="6"/>
  <c r="N34" i="6" s="1"/>
  <c r="M34" i="6"/>
  <c r="F13" i="11"/>
  <c r="H84" i="6"/>
  <c r="H65" i="6"/>
  <c r="H92" i="6" s="1"/>
  <c r="L17" i="6"/>
  <c r="K31" i="6"/>
  <c r="L13" i="3"/>
  <c r="L13" i="4" s="1"/>
  <c r="J91" i="6"/>
  <c r="D14" i="4"/>
  <c r="N12" i="2"/>
  <c r="D15" i="11" l="1"/>
  <c r="O15" i="11"/>
  <c r="E13" i="4"/>
  <c r="G94" i="6"/>
  <c r="G96" i="6" s="1"/>
  <c r="A14" i="3"/>
  <c r="A14" i="4" s="1"/>
  <c r="A15" i="2"/>
  <c r="H66" i="6"/>
  <c r="M17" i="6"/>
  <c r="L31" i="6"/>
  <c r="E14" i="3"/>
  <c r="K90" i="6"/>
  <c r="L15" i="6"/>
  <c r="K29" i="6"/>
  <c r="E14" i="4"/>
  <c r="D15" i="4"/>
  <c r="N62" i="6"/>
  <c r="N89" i="6" s="1"/>
  <c r="D17" i="2"/>
  <c r="M35" i="6"/>
  <c r="N21" i="6"/>
  <c r="N35" i="6" s="1"/>
  <c r="A21" i="11"/>
  <c r="K20" i="11"/>
  <c r="K91" i="6"/>
  <c r="L14" i="3"/>
  <c r="L14" i="4" s="1"/>
  <c r="M12" i="4"/>
  <c r="I65" i="6"/>
  <c r="I92" i="6" s="1"/>
  <c r="I14" i="2"/>
  <c r="K59" i="6"/>
  <c r="K86" i="6" s="1"/>
  <c r="J14" i="2"/>
  <c r="J14" i="4" s="1"/>
  <c r="H93" i="6"/>
  <c r="D16" i="2"/>
  <c r="M62" i="6"/>
  <c r="M89" i="6" s="1"/>
  <c r="E15" i="2"/>
  <c r="L63" i="6"/>
  <c r="I13" i="4"/>
  <c r="J57" i="6"/>
  <c r="J38" i="6"/>
  <c r="N13" i="2"/>
  <c r="M13" i="4" l="1"/>
  <c r="A15" i="3"/>
  <c r="A15" i="4" s="1"/>
  <c r="A16" i="2"/>
  <c r="H94" i="6"/>
  <c r="H96" i="6" s="1"/>
  <c r="K21" i="11"/>
  <c r="A3" i="11"/>
  <c r="C40" i="11"/>
  <c r="K57" i="6"/>
  <c r="K38" i="6"/>
  <c r="L90" i="6"/>
  <c r="E15" i="3"/>
  <c r="I93" i="6"/>
  <c r="N63" i="6"/>
  <c r="N90" i="6" s="1"/>
  <c r="E17" i="2"/>
  <c r="F15" i="11"/>
  <c r="M15" i="6"/>
  <c r="L29" i="6"/>
  <c r="J15" i="2"/>
  <c r="J15" i="4" s="1"/>
  <c r="I15" i="2"/>
  <c r="I15" i="4" s="1"/>
  <c r="L59" i="6"/>
  <c r="L86" i="6" s="1"/>
  <c r="D17" i="4"/>
  <c r="D18" i="2"/>
  <c r="J84" i="6"/>
  <c r="J65" i="6"/>
  <c r="J92" i="6" s="1"/>
  <c r="I66" i="6"/>
  <c r="D16" i="4"/>
  <c r="I14" i="4"/>
  <c r="M14" i="4" s="1"/>
  <c r="N14" i="2"/>
  <c r="O16" i="11"/>
  <c r="L91" i="6"/>
  <c r="L15" i="3"/>
  <c r="L15" i="4" s="1"/>
  <c r="M63" i="6"/>
  <c r="E16" i="2"/>
  <c r="M31" i="6"/>
  <c r="N17" i="6"/>
  <c r="N31" i="6" s="1"/>
  <c r="D16" i="11" l="1"/>
  <c r="D17" i="11"/>
  <c r="O17" i="11"/>
  <c r="E15" i="4"/>
  <c r="M15" i="4" s="1"/>
  <c r="A17" i="2"/>
  <c r="A16" i="3"/>
  <c r="A16" i="4" s="1"/>
  <c r="O18" i="11"/>
  <c r="B49" i="11"/>
  <c r="G69" i="11"/>
  <c r="B57" i="11"/>
  <c r="G60" i="11"/>
  <c r="B51" i="11"/>
  <c r="J17" i="2"/>
  <c r="I17" i="2"/>
  <c r="N59" i="6"/>
  <c r="N86" i="6" s="1"/>
  <c r="M90" i="6"/>
  <c r="E16" i="3"/>
  <c r="N15" i="2"/>
  <c r="M91" i="6"/>
  <c r="L16" i="3"/>
  <c r="L16" i="4" s="1"/>
  <c r="L18" i="4" s="1"/>
  <c r="F17" i="11"/>
  <c r="D18" i="4"/>
  <c r="L57" i="6"/>
  <c r="L38" i="6"/>
  <c r="K84" i="6"/>
  <c r="K65" i="6"/>
  <c r="K92" i="6" s="1"/>
  <c r="J93" i="6"/>
  <c r="N15" i="6"/>
  <c r="N29" i="6" s="1"/>
  <c r="M29" i="6"/>
  <c r="E17" i="4"/>
  <c r="E18" i="2"/>
  <c r="J16" i="2"/>
  <c r="J16" i="4" s="1"/>
  <c r="M59" i="6"/>
  <c r="M86" i="6" s="1"/>
  <c r="I16" i="2"/>
  <c r="I16" i="4" s="1"/>
  <c r="J66" i="6"/>
  <c r="I94" i="6"/>
  <c r="I96" i="6" s="1"/>
  <c r="D18" i="11" l="1"/>
  <c r="D19" i="11"/>
  <c r="F19" i="11" s="1"/>
  <c r="E16" i="4"/>
  <c r="M16" i="4" s="1"/>
  <c r="O19" i="11"/>
  <c r="A17" i="3"/>
  <c r="A1" i="2"/>
  <c r="N17" i="2"/>
  <c r="M57" i="6"/>
  <c r="M38" i="6"/>
  <c r="L84" i="6"/>
  <c r="L65" i="6"/>
  <c r="L92" i="6" s="1"/>
  <c r="J94" i="6"/>
  <c r="J96" i="6" s="1"/>
  <c r="K93" i="6"/>
  <c r="F16" i="11"/>
  <c r="J17" i="4"/>
  <c r="J18" i="4" s="1"/>
  <c r="J18" i="2"/>
  <c r="N57" i="6"/>
  <c r="N38" i="6"/>
  <c r="K66" i="6"/>
  <c r="I17" i="4"/>
  <c r="I18" i="4" s="1"/>
  <c r="I18" i="2"/>
  <c r="N16" i="2"/>
  <c r="F18" i="11"/>
  <c r="D20" i="11" l="1"/>
  <c r="F20" i="11" s="1"/>
  <c r="E18" i="4"/>
  <c r="M18" i="4" s="1"/>
  <c r="N18" i="2"/>
  <c r="L66" i="6"/>
  <c r="A1" i="3"/>
  <c r="A17" i="4"/>
  <c r="O20" i="11"/>
  <c r="M84" i="6"/>
  <c r="M65" i="6"/>
  <c r="M92" i="6" s="1"/>
  <c r="N84" i="6"/>
  <c r="N65" i="6"/>
  <c r="N92" i="6" s="1"/>
  <c r="L93" i="6"/>
  <c r="K94" i="6"/>
  <c r="K96" i="6" s="1"/>
  <c r="M17" i="4"/>
  <c r="L94" i="6" l="1"/>
  <c r="L96" i="6" s="1"/>
  <c r="N66" i="6"/>
  <c r="N93" i="6"/>
  <c r="N94" i="6" s="1"/>
  <c r="M66" i="6"/>
  <c r="O21" i="11"/>
  <c r="O24" i="11" s="1"/>
  <c r="O25" i="11" s="1"/>
  <c r="O34" i="11" s="1"/>
  <c r="M93" i="6"/>
  <c r="D21" i="11" l="1"/>
  <c r="D28" i="11" s="1"/>
  <c r="F28" i="11" s="1"/>
  <c r="O93" i="6"/>
  <c r="P93" i="6" s="1"/>
  <c r="N96" i="6"/>
  <c r="M94" i="6"/>
  <c r="M96" i="6" s="1"/>
  <c r="F21" i="11" l="1"/>
  <c r="D23" i="11"/>
  <c r="D8" i="11"/>
  <c r="F8" i="11" s="1"/>
  <c r="O6" i="4"/>
  <c r="O18" i="4"/>
  <c r="P18" i="4" s="1"/>
  <c r="G58" i="11" s="1"/>
  <c r="I58" i="11" l="1"/>
  <c r="O35" i="11"/>
  <c r="O36" i="11" s="1"/>
  <c r="O4" i="4"/>
  <c r="D11" i="11"/>
  <c r="D25" i="11" s="1"/>
  <c r="F25" i="11" l="1"/>
  <c r="G33" i="11"/>
  <c r="G46" i="11" s="1"/>
  <c r="G53" i="11" s="1"/>
  <c r="G55" i="11" s="1"/>
  <c r="I55" i="11" s="1"/>
  <c r="I60" i="11" s="1"/>
  <c r="I69" i="11" s="1"/>
</calcChain>
</file>

<file path=xl/comments1.xml><?xml version="1.0" encoding="utf-8"?>
<comments xmlns="http://schemas.openxmlformats.org/spreadsheetml/2006/main">
  <authors>
    <author>MG00005</author>
  </authors>
  <commentList>
    <comment ref="F33" authorId="0">
      <text>
        <r>
          <rPr>
            <b/>
            <sz val="8"/>
            <color indexed="81"/>
            <rFont val="Tahoma"/>
            <family val="2"/>
          </rPr>
          <t>MG00005:</t>
        </r>
        <r>
          <rPr>
            <sz val="8"/>
            <color indexed="81"/>
            <rFont val="Tahoma"/>
            <family val="2"/>
          </rPr>
          <t xml:space="preserve">
blended rate - Lynnwood was $1.89 credit per cust per mo, Maltby was $0.44 debit per cust per mo.</t>
        </r>
      </text>
    </comment>
    <comment ref="F37" authorId="0">
      <text>
        <r>
          <rPr>
            <b/>
            <sz val="8"/>
            <color indexed="81"/>
            <rFont val="Tahoma"/>
            <family val="2"/>
          </rPr>
          <t>MG00005:</t>
        </r>
        <r>
          <rPr>
            <sz val="8"/>
            <color indexed="81"/>
            <rFont val="Tahoma"/>
            <family val="2"/>
          </rPr>
          <t xml:space="preserve">
Base rate ("c") from prior year annual commodity credit calculation worksheet</t>
        </r>
      </text>
    </comment>
  </commentList>
</comments>
</file>

<file path=xl/comments2.xml><?xml version="1.0" encoding="utf-8"?>
<comments xmlns="http://schemas.openxmlformats.org/spreadsheetml/2006/main">
  <authors>
    <author>Christensen, Abby Rose</author>
    <author>Johnson, Carla</author>
    <author>Alex Brenner</author>
  </authors>
  <commentList>
    <comment ref="B8" authorId="0">
      <text>
        <r>
          <rPr>
            <b/>
            <sz val="9"/>
            <color indexed="81"/>
            <rFont val="Tahoma"/>
            <family val="2"/>
          </rPr>
          <t>Vander Zalm, Connor:</t>
        </r>
        <r>
          <rPr>
            <sz val="9"/>
            <color indexed="81"/>
            <rFont val="Tahoma"/>
            <family val="2"/>
          </rPr>
          <t xml:space="preserve">
We will continue to include Auburn-SeaTac and Renton-SeaTac (although they have annexed) until they have independent city contracts and are no longer to WUTC rates and commodity credits.
This timeline varies between the 2 areas and there is no actual hard date on which they convert. Will have to monitor this.</t>
        </r>
      </text>
    </comment>
    <comment ref="B9" authorId="1">
      <text>
        <r>
          <rPr>
            <b/>
            <sz val="9"/>
            <color indexed="81"/>
            <rFont val="Tahoma"/>
            <family val="2"/>
          </rPr>
          <t>Johnson, Carla:</t>
        </r>
        <r>
          <rPr>
            <sz val="9"/>
            <color indexed="81"/>
            <rFont val="Tahoma"/>
            <family val="2"/>
          </rPr>
          <t xml:space="preserve">
RSA Workbook/Single Family/183 # of customers column R</t>
        </r>
      </text>
    </comment>
    <comment ref="F35" authorId="2">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39" authorId="2">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3.xml><?xml version="1.0" encoding="utf-8"?>
<comments xmlns="http://schemas.openxmlformats.org/spreadsheetml/2006/main">
  <authors>
    <author>Alex Brenner</author>
    <author>Johnson, Carla</author>
  </authors>
  <commentList>
    <comment ref="A7" authorId="0">
      <text>
        <r>
          <rPr>
            <b/>
            <sz val="8"/>
            <color indexed="81"/>
            <rFont val="Tahoma"/>
            <family val="2"/>
          </rPr>
          <t>Alex Brenner:</t>
        </r>
        <r>
          <rPr>
            <sz val="8"/>
            <color indexed="81"/>
            <rFont val="Tahoma"/>
            <family val="2"/>
          </rPr>
          <t xml:space="preserve">
From 'ESMMYYTONS' spreadsheet, 'ESMMYYTONS' tab (where MM=month, YY=Year)</t>
        </r>
      </text>
    </comment>
    <comment ref="C7" authorId="1">
      <text>
        <r>
          <rPr>
            <b/>
            <sz val="9"/>
            <color indexed="81"/>
            <rFont val="Tahoma"/>
            <family val="2"/>
          </rPr>
          <t>Johnson, Carla:</t>
        </r>
        <r>
          <rPr>
            <sz val="9"/>
            <color indexed="81"/>
            <rFont val="Tahoma"/>
            <family val="2"/>
          </rPr>
          <t xml:space="preserve">
RSA Workbook/Single Family/183 Tons column S</t>
        </r>
      </text>
    </comment>
    <comment ref="A12" authorId="0">
      <text>
        <r>
          <rPr>
            <b/>
            <sz val="8"/>
            <color indexed="81"/>
            <rFont val="Tahoma"/>
            <family val="2"/>
          </rPr>
          <t>Alex Brenner:</t>
        </r>
        <r>
          <rPr>
            <sz val="8"/>
            <color indexed="81"/>
            <rFont val="Tahoma"/>
            <family val="2"/>
          </rPr>
          <t xml:space="preserve">
From 'ESMMYYTONS' Spreadsheet, 'Prices' tab (where MM=month, YY=Year)</t>
        </r>
      </text>
    </comment>
    <comment ref="A68" authorId="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sharedStrings.xml><?xml version="1.0" encoding="utf-8"?>
<sst xmlns="http://schemas.openxmlformats.org/spreadsheetml/2006/main" count="234" uniqueCount="99">
  <si>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</si>
  <si>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</si>
  <si>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</si>
  <si>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</si>
  <si>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</si>
  <si>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</si>
  <si>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</si>
  <si>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</si>
  <si>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</si>
  <si>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</si>
  <si>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</si>
  <si>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</si>
  <si>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</si>
  <si>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</si>
  <si>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</si>
  <si>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</si>
  <si>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</si>
  <si>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</si>
  <si>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Excess Commodity Credits</t>
  </si>
  <si>
    <t>2007 True-up Computation</t>
  </si>
  <si>
    <t>Total Annual Customers</t>
  </si>
  <si>
    <t>Alum</t>
  </si>
  <si>
    <t>Glass</t>
  </si>
  <si>
    <t>Tin/Iron</t>
  </si>
  <si>
    <t>ONP</t>
  </si>
  <si>
    <t>MWP</t>
  </si>
  <si>
    <t>Pet</t>
  </si>
  <si>
    <t>HDPE</t>
  </si>
  <si>
    <t>OCC</t>
  </si>
  <si>
    <t>Other</t>
  </si>
  <si>
    <t>Total</t>
  </si>
  <si>
    <t xml:space="preserve">Total </t>
  </si>
  <si>
    <t>Glass (Cont)</t>
  </si>
  <si>
    <t>Lynnwood Disposal</t>
  </si>
  <si>
    <t>TG-06______</t>
  </si>
  <si>
    <t>For the Year Ended August 31, 2006</t>
  </si>
  <si>
    <t>July-Aug 07</t>
  </si>
  <si>
    <t>Sept 05 - June 06</t>
  </si>
  <si>
    <t>Customers from 7/05 - 8/05</t>
  </si>
  <si>
    <t>Customers from 9/05 - 6/06</t>
  </si>
  <si>
    <t>Sept 1, 2006 Recycle Adjustment Calculation</t>
  </si>
  <si>
    <t>2006 Monthly True-up Charge</t>
  </si>
  <si>
    <t>12 month running average "BASE CREDIT" adjusted for 2 mos of 2005</t>
  </si>
  <si>
    <t>2007-2008 Projected Credit</t>
  </si>
  <si>
    <t>2007 Adjusted Credit</t>
  </si>
  <si>
    <t>Commodity Value Timeframe:  October - September</t>
  </si>
  <si>
    <t>Total Tons</t>
  </si>
  <si>
    <t>Sorted Glass Percentage</t>
  </si>
  <si>
    <t>Sorted Glass</t>
  </si>
  <si>
    <t>Sampled Tons</t>
  </si>
  <si>
    <t>Sampling Percentages</t>
  </si>
  <si>
    <t>Magazines</t>
  </si>
  <si>
    <t>Tin</t>
  </si>
  <si>
    <t>Plastic</t>
  </si>
  <si>
    <t>Aluminum</t>
  </si>
  <si>
    <t>Ferris Metal</t>
  </si>
  <si>
    <t>Glass Contamination</t>
  </si>
  <si>
    <t>Trash</t>
  </si>
  <si>
    <t>Mixed Paper</t>
  </si>
  <si>
    <t>Sampled Tonnage</t>
  </si>
  <si>
    <t>Recovery Percentages</t>
  </si>
  <si>
    <t>Recovered Tonnages</t>
  </si>
  <si>
    <t xml:space="preserve">Product Sales Rates </t>
  </si>
  <si>
    <t>Product Value</t>
  </si>
  <si>
    <t>Total Value</t>
  </si>
  <si>
    <t>Value per Ton</t>
  </si>
  <si>
    <t>C</t>
  </si>
  <si>
    <t>D</t>
  </si>
  <si>
    <t>E</t>
  </si>
  <si>
    <t>F</t>
  </si>
  <si>
    <t>G</t>
  </si>
  <si>
    <t>H</t>
  </si>
  <si>
    <t>I</t>
  </si>
  <si>
    <t>J</t>
  </si>
  <si>
    <t>K</t>
  </si>
  <si>
    <t>L</t>
  </si>
  <si>
    <t>M</t>
  </si>
  <si>
    <t>N</t>
  </si>
  <si>
    <t xml:space="preserve">12 month running average "BASE CREDIT" </t>
  </si>
  <si>
    <t>East Side</t>
  </si>
  <si>
    <t>70% of per Ton Value</t>
  </si>
  <si>
    <t>Rabanco Ltd (dba Allied Waste of Kent)</t>
  </si>
  <si>
    <t>Total Additional Passback</t>
  </si>
  <si>
    <t>Single-Family Additional Credit</t>
  </si>
  <si>
    <t>TG-12______</t>
  </si>
  <si>
    <t>For use in Budget Calculation</t>
  </si>
  <si>
    <t>Total Trailing 12 Mo. Commodity Value / Customer</t>
  </si>
  <si>
    <t>Most recent Total # of Customers</t>
  </si>
  <si>
    <t>Base Credit to be Passed Back</t>
  </si>
  <si>
    <t>Budget total Revenue</t>
  </si>
  <si>
    <t>Budget Revenue Passed Back</t>
  </si>
  <si>
    <t>Prior Plan Part B Total</t>
  </si>
  <si>
    <t>Current Plan Part A Total</t>
  </si>
  <si>
    <t>% of Revenue Passed Back</t>
  </si>
  <si>
    <t>% Passed Back</t>
  </si>
  <si>
    <t>Avg of last 6 months plan year</t>
  </si>
  <si>
    <t>November 2017 - April 2018</t>
  </si>
  <si>
    <t>2017/2018 Monthly True-up Charge</t>
  </si>
  <si>
    <t>Total Passback at end of plan 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</si>
</sst>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_(* #,##0.000_);_(* \(#,##0.000\);_(* &quot;-&quot;_);_(@_)"/>
    <numFmt numFmtId="169" formatCode="mmmm"/>
    <numFmt numFmtId="170" formatCode="#,##0.000"/>
    <numFmt numFmtId="171" formatCode="#,##0.0000"/>
    <numFmt numFmtId="172" formatCode="mmmm\-yy"/>
    <numFmt numFmtId="173" formatCode="_(&quot;$&quot;* #,##0.000_);_(&quot;$&quot;* \(#,##0.000\);_(&quot;$&quot;* &quot;-&quot;??_);_(@_)"/>
  </numFmts>
  <fonts count="23" x14ac:knownFonts="1">
    <font>
      <sz val="10"/>
      <name val="Arial"/>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i/>
      <sz val="14"/>
      <name val="Arial"/>
      <family val="2"/>
    </font>
    <font>
      <b/>
      <sz val="8"/>
      <color indexed="81"/>
      <name val="Tahoma"/>
      <family val="2"/>
    </font>
    <font>
      <sz val="8"/>
      <color indexed="81"/>
      <name val="Tahoma"/>
      <family val="2"/>
    </font>
    <font>
      <b/>
      <sz val="8"/>
      <name val="Arial"/>
      <family val="2"/>
    </font>
    <font>
      <b/>
      <i/>
      <sz val="8"/>
      <name val="Arial"/>
      <family val="2"/>
    </font>
    <font>
      <i/>
      <sz val="8"/>
      <color indexed="12"/>
      <name val="Arial"/>
      <family val="2"/>
    </font>
    <font>
      <sz val="9"/>
      <color indexed="81"/>
      <name val="Tahoma"/>
      <family val="2"/>
    </font>
    <font>
      <b/>
      <sz val="9"/>
      <color indexed="81"/>
      <name val="Tahoma"/>
      <family val="2"/>
    </font>
    <font>
      <sz val="10"/>
      <color indexed="10"/>
      <name val="Arial"/>
      <family val="2"/>
    </font>
    <font>
      <sz val="11"/>
      <color theme="1"/>
      <name val="Calibri"/>
      <family val="2"/>
      <scheme val="minor"/>
    </font>
    <font>
      <sz val="8"/>
      <color rgb="FFFF0000"/>
      <name val="Arial"/>
      <family val="2"/>
    </font>
    <font>
      <sz val="10"/>
      <color rgb="FF0000FF"/>
      <name val="Arial"/>
      <family val="2"/>
    </font>
  </fonts>
  <fills count="9">
    <fill>
      <patternFill patternType="none"/>
    </fill>
    <fill>
      <patternFill patternType="gray125"/>
    </fill>
    <fill>
      <patternFill patternType="solid">
        <fgColor indexed="43"/>
        <bgColor indexed="43"/>
      </patternFill>
    </fill>
    <fill>
      <patternFill patternType="solid">
        <fgColor indexed="43"/>
        <bgColor indexed="64"/>
      </patternFill>
    </fill>
    <fill>
      <patternFill patternType="solid">
        <fgColor rgb="FFFFFFCC"/>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99"/>
        <bgColor indexed="64"/>
      </patternFill>
    </fill>
  </fills>
  <borders count="13">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s>
  <cellStyleXfs count="10">
    <xf numFmtId="0" fontId="0" fillId="0" borderId="0"/>
    <xf numFmtId="43" fontId="1"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0" fontId="20" fillId="0" borderId="0"/>
    <xf numFmtId="0" fontId="2" fillId="0" borderId="0"/>
    <xf numFmtId="0" fontId="1" fillId="4" borderId="11"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171">
    <xf numFmtId="0" fontId="0" fillId="0" borderId="0" xfId="0"/>
    <xf numFmtId="0" fontId="3" fillId="0" borderId="0" xfId="5" applyFont="1"/>
    <xf numFmtId="0" fontId="4" fillId="0" borderId="0" xfId="5" applyFont="1"/>
    <xf numFmtId="0" fontId="4" fillId="0" borderId="0" xfId="5" applyFont="1" applyAlignment="1">
      <alignment horizontal="center"/>
    </xf>
    <xf numFmtId="0" fontId="5" fillId="0" borderId="0" xfId="5" applyFont="1" applyAlignment="1">
      <alignment horizontal="center"/>
    </xf>
    <xf numFmtId="0" fontId="2" fillId="0" borderId="0" xfId="5"/>
    <xf numFmtId="0" fontId="6" fillId="0" borderId="0" xfId="5" applyFont="1"/>
    <xf numFmtId="14" fontId="4" fillId="0" borderId="0" xfId="5" applyNumberFormat="1" applyFont="1" applyAlignment="1">
      <alignment horizontal="center"/>
    </xf>
    <xf numFmtId="0" fontId="7" fillId="0" borderId="0" xfId="5" applyFont="1"/>
    <xf numFmtId="0" fontId="8" fillId="0" borderId="0" xfId="5" applyFont="1"/>
    <xf numFmtId="0" fontId="8" fillId="0" borderId="0" xfId="5" applyFont="1" applyAlignment="1">
      <alignment horizontal="center"/>
    </xf>
    <xf numFmtId="0" fontId="6" fillId="0" borderId="0" xfId="5" applyFont="1" applyAlignment="1">
      <alignment horizontal="center"/>
    </xf>
    <xf numFmtId="167" fontId="6" fillId="0" borderId="0" xfId="5" applyNumberFormat="1" applyFont="1" applyAlignment="1">
      <alignment horizontal="center"/>
    </xf>
    <xf numFmtId="1" fontId="4" fillId="0" borderId="0" xfId="5" applyNumberFormat="1" applyFont="1"/>
    <xf numFmtId="41" fontId="4" fillId="0" borderId="0" xfId="5" applyNumberFormat="1" applyFont="1"/>
    <xf numFmtId="167" fontId="6" fillId="0" borderId="0" xfId="5" applyNumberFormat="1" applyFont="1"/>
    <xf numFmtId="167" fontId="4" fillId="0" borderId="0" xfId="5" applyNumberFormat="1" applyFont="1"/>
    <xf numFmtId="169" fontId="4" fillId="0" borderId="0" xfId="5" applyNumberFormat="1" applyFont="1" applyAlignment="1">
      <alignment horizontal="right"/>
    </xf>
    <xf numFmtId="167" fontId="4" fillId="0" borderId="0" xfId="5" applyNumberFormat="1" applyFont="1" applyFill="1" applyAlignment="1">
      <alignment horizontal="center"/>
    </xf>
    <xf numFmtId="41" fontId="9" fillId="0" borderId="0" xfId="5" applyNumberFormat="1" applyFont="1"/>
    <xf numFmtId="41" fontId="10" fillId="0" borderId="0" xfId="5" applyNumberFormat="1" applyFont="1" applyAlignment="1">
      <alignment horizontal="left"/>
    </xf>
    <xf numFmtId="41" fontId="4" fillId="0" borderId="1" xfId="5" applyNumberFormat="1" applyFont="1" applyBorder="1"/>
    <xf numFmtId="167" fontId="4" fillId="0" borderId="1" xfId="5" applyNumberFormat="1" applyFont="1" applyBorder="1"/>
    <xf numFmtId="168" fontId="4" fillId="0" borderId="0" xfId="5" applyNumberFormat="1" applyFont="1"/>
    <xf numFmtId="17" fontId="4" fillId="0" borderId="0" xfId="5" applyNumberFormat="1" applyFont="1" applyAlignment="1">
      <alignment horizontal="right"/>
    </xf>
    <xf numFmtId="167" fontId="2" fillId="0" borderId="0" xfId="5" applyNumberFormat="1"/>
    <xf numFmtId="169" fontId="4" fillId="0" borderId="0" xfId="5" applyNumberFormat="1" applyFont="1"/>
    <xf numFmtId="41" fontId="4" fillId="0" borderId="2" xfId="5" applyNumberFormat="1" applyFont="1" applyBorder="1"/>
    <xf numFmtId="167" fontId="4" fillId="0" borderId="2" xfId="5" applyNumberFormat="1" applyFont="1" applyBorder="1"/>
    <xf numFmtId="41" fontId="6" fillId="0" borderId="3" xfId="5" applyNumberFormat="1" applyFont="1" applyBorder="1"/>
    <xf numFmtId="41" fontId="4" fillId="0" borderId="3" xfId="5" applyNumberFormat="1" applyFont="1" applyBorder="1"/>
    <xf numFmtId="41" fontId="7" fillId="0" borderId="0" xfId="5" applyNumberFormat="1" applyFont="1"/>
    <xf numFmtId="41" fontId="4" fillId="0" borderId="0" xfId="5" applyNumberFormat="1" applyFont="1" applyAlignment="1">
      <alignment horizontal="right"/>
    </xf>
    <xf numFmtId="1" fontId="7" fillId="0" borderId="0" xfId="5" applyNumberFormat="1" applyFont="1"/>
    <xf numFmtId="168" fontId="9" fillId="0" borderId="0" xfId="5" applyNumberFormat="1" applyFont="1"/>
    <xf numFmtId="41" fontId="4" fillId="0" borderId="0" xfId="5" applyNumberFormat="1" applyFont="1" applyBorder="1"/>
    <xf numFmtId="41" fontId="4" fillId="0" borderId="4" xfId="5" applyNumberFormat="1" applyFont="1" applyBorder="1"/>
    <xf numFmtId="41" fontId="4" fillId="0" borderId="5" xfId="5" applyNumberFormat="1" applyFont="1" applyBorder="1"/>
    <xf numFmtId="41" fontId="4" fillId="0" borderId="6" xfId="5" applyNumberFormat="1" applyFont="1" applyBorder="1"/>
    <xf numFmtId="168" fontId="4" fillId="0" borderId="2" xfId="5" applyNumberFormat="1" applyFont="1" applyBorder="1"/>
    <xf numFmtId="168" fontId="4" fillId="0" borderId="6" xfId="5" applyNumberFormat="1" applyFont="1" applyBorder="1"/>
    <xf numFmtId="167" fontId="4" fillId="0" borderId="0" xfId="5" applyNumberFormat="1" applyFont="1" applyFill="1" applyBorder="1"/>
    <xf numFmtId="167" fontId="11" fillId="0" borderId="0" xfId="5" applyNumberFormat="1" applyFont="1" applyFill="1" applyBorder="1" applyAlignment="1">
      <alignment horizontal="centerContinuous"/>
    </xf>
    <xf numFmtId="167" fontId="4" fillId="0" borderId="0" xfId="5" applyNumberFormat="1" applyFont="1" applyFill="1" applyBorder="1" applyAlignment="1">
      <alignment horizontal="centerContinuous"/>
    </xf>
    <xf numFmtId="167" fontId="4" fillId="0" borderId="0" xfId="5" applyNumberFormat="1" applyFont="1" applyAlignment="1">
      <alignment horizontal="centerContinuous"/>
    </xf>
    <xf numFmtId="169" fontId="4" fillId="0" borderId="0" xfId="5" applyNumberFormat="1" applyFont="1" applyFill="1" applyBorder="1" applyAlignment="1">
      <alignment horizontal="right"/>
    </xf>
    <xf numFmtId="41" fontId="9" fillId="0" borderId="0" xfId="5" applyNumberFormat="1" applyFont="1" applyFill="1" applyBorder="1" applyAlignment="1">
      <alignment horizontal="center"/>
    </xf>
    <xf numFmtId="167" fontId="4" fillId="0" borderId="0" xfId="5" applyNumberFormat="1" applyFont="1" applyFill="1" applyBorder="1" applyAlignment="1">
      <alignment horizontal="center"/>
    </xf>
    <xf numFmtId="41" fontId="10" fillId="0" borderId="0" xfId="5" applyNumberFormat="1" applyFont="1" applyFill="1" applyBorder="1" applyAlignment="1">
      <alignment horizontal="left"/>
    </xf>
    <xf numFmtId="41" fontId="4" fillId="0" borderId="0" xfId="5" applyNumberFormat="1" applyFont="1" applyFill="1" applyBorder="1"/>
    <xf numFmtId="41" fontId="9" fillId="0" borderId="0" xfId="5" applyNumberFormat="1" applyFont="1" applyFill="1" applyBorder="1"/>
    <xf numFmtId="1" fontId="4" fillId="0" borderId="0" xfId="5" applyNumberFormat="1" applyFont="1" applyFill="1" applyBorder="1"/>
    <xf numFmtId="0" fontId="2" fillId="0" borderId="0" xfId="5" applyFill="1" applyBorder="1"/>
    <xf numFmtId="167" fontId="2" fillId="0" borderId="0" xfId="5" applyNumberFormat="1" applyFill="1" applyBorder="1"/>
    <xf numFmtId="169" fontId="4" fillId="0" borderId="0" xfId="5" applyNumberFormat="1" applyFont="1" applyFill="1" applyBorder="1"/>
    <xf numFmtId="168" fontId="4" fillId="0" borderId="0" xfId="5" applyNumberFormat="1" applyFont="1" applyFill="1" applyBorder="1"/>
    <xf numFmtId="167" fontId="4" fillId="0" borderId="4" xfId="5" applyNumberFormat="1" applyFont="1" applyBorder="1"/>
    <xf numFmtId="167" fontId="4" fillId="0" borderId="6" xfId="5" applyNumberFormat="1" applyFont="1" applyBorder="1"/>
    <xf numFmtId="2" fontId="2" fillId="0" borderId="0" xfId="5" applyNumberFormat="1"/>
    <xf numFmtId="0" fontId="3" fillId="0" borderId="0" xfId="0" applyFont="1" applyBorder="1"/>
    <xf numFmtId="0" fontId="0" fillId="0" borderId="0" xfId="0" applyBorder="1"/>
    <xf numFmtId="0" fontId="3" fillId="0" borderId="0" xfId="0" applyFont="1" applyFill="1" applyBorder="1"/>
    <xf numFmtId="17" fontId="0" fillId="0" borderId="0" xfId="0" applyNumberFormat="1" applyBorder="1"/>
    <xf numFmtId="17" fontId="3" fillId="0" borderId="0" xfId="0" applyNumberFormat="1" applyFont="1" applyAlignment="1">
      <alignment horizontal="center"/>
    </xf>
    <xf numFmtId="170" fontId="0" fillId="0" borderId="0" xfId="0" applyNumberFormat="1"/>
    <xf numFmtId="17" fontId="4" fillId="0" borderId="0" xfId="0" applyNumberFormat="1" applyFont="1"/>
    <xf numFmtId="0" fontId="4" fillId="0" borderId="0" xfId="0" applyFont="1"/>
    <xf numFmtId="2" fontId="4" fillId="0" borderId="0" xfId="0" applyNumberFormat="1" applyFont="1"/>
    <xf numFmtId="2" fontId="0" fillId="0" borderId="0" xfId="0" applyNumberFormat="1"/>
    <xf numFmtId="0" fontId="4" fillId="0" borderId="0" xfId="0" applyFont="1" applyAlignment="1">
      <alignment horizontal="center"/>
    </xf>
    <xf numFmtId="17" fontId="0" fillId="0" borderId="0" xfId="0" applyNumberFormat="1"/>
    <xf numFmtId="4" fontId="4" fillId="0" borderId="0" xfId="0" applyNumberFormat="1" applyFont="1"/>
    <xf numFmtId="4" fontId="0" fillId="0" borderId="0" xfId="0" applyNumberFormat="1"/>
    <xf numFmtId="4" fontId="3" fillId="0" borderId="0" xfId="0" applyNumberFormat="1" applyFont="1" applyAlignment="1">
      <alignment horizontal="center"/>
    </xf>
    <xf numFmtId="40" fontId="4" fillId="0" borderId="0" xfId="0" applyNumberFormat="1" applyFont="1"/>
    <xf numFmtId="43" fontId="4" fillId="0" borderId="0" xfId="1" applyFont="1"/>
    <xf numFmtId="172" fontId="4" fillId="0" borderId="0" xfId="5" applyNumberFormat="1" applyFont="1" applyAlignment="1">
      <alignment horizontal="right"/>
    </xf>
    <xf numFmtId="169" fontId="4" fillId="0" borderId="0" xfId="5" applyNumberFormat="1" applyFont="1" applyAlignment="1">
      <alignment horizontal="right" wrapText="1"/>
    </xf>
    <xf numFmtId="17" fontId="4" fillId="0" borderId="0" xfId="5" applyNumberFormat="1" applyFont="1" applyFill="1" applyBorder="1" applyAlignment="1">
      <alignment horizontal="right"/>
    </xf>
    <xf numFmtId="169" fontId="4" fillId="0" borderId="0" xfId="5" applyNumberFormat="1" applyFont="1" applyFill="1" applyBorder="1" applyAlignment="1">
      <alignment horizontal="right" wrapText="1"/>
    </xf>
    <xf numFmtId="164" fontId="0" fillId="0" borderId="0" xfId="1" applyNumberFormat="1" applyFont="1"/>
    <xf numFmtId="171" fontId="0" fillId="0" borderId="0" xfId="0" applyNumberFormat="1"/>
    <xf numFmtId="166" fontId="0" fillId="0" borderId="0" xfId="7" applyNumberFormat="1" applyFont="1"/>
    <xf numFmtId="0" fontId="14" fillId="0" borderId="0" xfId="0" applyFont="1"/>
    <xf numFmtId="0" fontId="4" fillId="0" borderId="0" xfId="0" applyFont="1" applyFill="1" applyBorder="1" applyAlignment="1">
      <alignment horizontal="center"/>
    </xf>
    <xf numFmtId="0" fontId="14" fillId="0" borderId="0" xfId="0" applyFont="1" applyAlignment="1">
      <alignment horizontal="center"/>
    </xf>
    <xf numFmtId="0" fontId="14" fillId="0" borderId="0" xfId="0" applyFont="1" applyAlignment="1">
      <alignment horizontal="centerContinuous"/>
    </xf>
    <xf numFmtId="17" fontId="4" fillId="0" borderId="0" xfId="0" applyNumberFormat="1" applyFont="1" applyFill="1" applyBorder="1" applyAlignment="1">
      <alignment horizontal="center"/>
    </xf>
    <xf numFmtId="2" fontId="14" fillId="0" borderId="0" xfId="0" applyNumberFormat="1" applyFont="1"/>
    <xf numFmtId="9" fontId="4" fillId="0" borderId="0" xfId="7" applyFont="1" applyFill="1"/>
    <xf numFmtId="43" fontId="4" fillId="0" borderId="5" xfId="1" applyFont="1" applyBorder="1"/>
    <xf numFmtId="43" fontId="4" fillId="0" borderId="0" xfId="0" applyNumberFormat="1" applyFont="1"/>
    <xf numFmtId="0" fontId="4" fillId="0" borderId="0" xfId="0" applyFont="1" applyFill="1"/>
    <xf numFmtId="10" fontId="4" fillId="0" borderId="0" xfId="7" applyNumberFormat="1" applyFont="1"/>
    <xf numFmtId="10" fontId="14" fillId="2" borderId="0" xfId="7" applyNumberFormat="1" applyFont="1" applyFill="1"/>
    <xf numFmtId="9" fontId="4" fillId="0" borderId="0" xfId="7" applyFont="1"/>
    <xf numFmtId="43" fontId="4" fillId="0" borderId="0" xfId="1" applyNumberFormat="1" applyFont="1"/>
    <xf numFmtId="0" fontId="14" fillId="0" borderId="0" xfId="0" quotePrefix="1" applyFont="1" applyAlignment="1">
      <alignment horizontal="left"/>
    </xf>
    <xf numFmtId="44" fontId="4" fillId="0" borderId="0" xfId="3" applyFont="1"/>
    <xf numFmtId="44" fontId="4" fillId="0" borderId="5" xfId="3" applyFont="1" applyBorder="1"/>
    <xf numFmtId="44" fontId="14" fillId="0" borderId="0" xfId="3" applyFont="1" applyBorder="1"/>
    <xf numFmtId="43" fontId="14" fillId="0" borderId="0" xfId="1" applyFont="1" applyBorder="1"/>
    <xf numFmtId="44" fontId="4" fillId="0" borderId="0" xfId="3" applyFont="1" applyBorder="1"/>
    <xf numFmtId="0" fontId="4" fillId="0" borderId="0" xfId="0" applyFont="1" applyBorder="1"/>
    <xf numFmtId="44" fontId="14" fillId="0" borderId="0" xfId="0" applyNumberFormat="1" applyFont="1" applyBorder="1"/>
    <xf numFmtId="44" fontId="4" fillId="0" borderId="0" xfId="3" applyNumberFormat="1" applyFont="1" applyBorder="1"/>
    <xf numFmtId="4" fontId="4" fillId="0" borderId="0" xfId="0" quotePrefix="1" applyNumberFormat="1" applyFont="1"/>
    <xf numFmtId="40" fontId="4" fillId="0" borderId="0" xfId="0" quotePrefix="1" applyNumberFormat="1" applyFont="1"/>
    <xf numFmtId="43" fontId="4" fillId="0" borderId="0" xfId="1" quotePrefix="1" applyFont="1"/>
    <xf numFmtId="43" fontId="4" fillId="0" borderId="0" xfId="1" quotePrefix="1" applyNumberFormat="1" applyFont="1"/>
    <xf numFmtId="43" fontId="14" fillId="0" borderId="4" xfId="1" applyFont="1" applyBorder="1"/>
    <xf numFmtId="44" fontId="4" fillId="0" borderId="0" xfId="0" applyNumberFormat="1" applyFont="1"/>
    <xf numFmtId="167" fontId="4" fillId="0" borderId="0" xfId="5" applyNumberFormat="1" applyFont="1" applyBorder="1"/>
    <xf numFmtId="167" fontId="4" fillId="0" borderId="0" xfId="5" applyNumberFormat="1" applyFont="1" applyAlignment="1">
      <alignment horizontal="center"/>
    </xf>
    <xf numFmtId="167" fontId="9" fillId="0" borderId="0" xfId="5" applyNumberFormat="1" applyFont="1" applyFill="1" applyAlignment="1">
      <alignment horizontal="center"/>
    </xf>
    <xf numFmtId="169" fontId="4" fillId="0" borderId="0" xfId="5" applyNumberFormat="1" applyFont="1" applyBorder="1" applyAlignment="1">
      <alignment horizontal="right"/>
    </xf>
    <xf numFmtId="41" fontId="9" fillId="0" borderId="0" xfId="5" applyNumberFormat="1" applyFont="1" applyBorder="1"/>
    <xf numFmtId="41" fontId="10" fillId="0" borderId="0" xfId="5" applyNumberFormat="1" applyFont="1" applyBorder="1" applyAlignment="1">
      <alignment horizontal="left"/>
    </xf>
    <xf numFmtId="1" fontId="4" fillId="0" borderId="0" xfId="5" applyNumberFormat="1" applyFont="1" applyBorder="1"/>
    <xf numFmtId="0" fontId="2" fillId="0" borderId="0" xfId="5" applyBorder="1"/>
    <xf numFmtId="167" fontId="2" fillId="0" borderId="0" xfId="5" applyNumberFormat="1" applyBorder="1"/>
    <xf numFmtId="169" fontId="4" fillId="0" borderId="0" xfId="5" applyNumberFormat="1" applyFont="1" applyBorder="1"/>
    <xf numFmtId="168" fontId="4" fillId="0" borderId="0" xfId="5" applyNumberFormat="1" applyFont="1" applyBorder="1"/>
    <xf numFmtId="10" fontId="4" fillId="3" borderId="0" xfId="0" applyNumberFormat="1" applyFont="1" applyFill="1"/>
    <xf numFmtId="10" fontId="4" fillId="3" borderId="0" xfId="7" applyNumberFormat="1" applyFont="1" applyFill="1"/>
    <xf numFmtId="17" fontId="4" fillId="3" borderId="0" xfId="0" applyNumberFormat="1" applyFont="1" applyFill="1" applyBorder="1" applyAlignment="1">
      <alignment horizontal="center"/>
    </xf>
    <xf numFmtId="2" fontId="14" fillId="3" borderId="0" xfId="0" applyNumberFormat="1" applyFont="1" applyFill="1" applyBorder="1"/>
    <xf numFmtId="169" fontId="4" fillId="0" borderId="0" xfId="5" applyNumberFormat="1" applyFont="1" applyFill="1" applyAlignment="1">
      <alignment horizontal="right"/>
    </xf>
    <xf numFmtId="17" fontId="4" fillId="0" borderId="0" xfId="0" applyNumberFormat="1" applyFont="1" applyFill="1"/>
    <xf numFmtId="40" fontId="14" fillId="0" borderId="0" xfId="0" applyNumberFormat="1" applyFont="1"/>
    <xf numFmtId="9" fontId="1" fillId="0" borderId="0" xfId="7"/>
    <xf numFmtId="4" fontId="4" fillId="0" borderId="1" xfId="0" applyNumberFormat="1" applyFont="1" applyBorder="1"/>
    <xf numFmtId="40" fontId="4" fillId="0" borderId="1" xfId="0" applyNumberFormat="1" applyFont="1" applyBorder="1"/>
    <xf numFmtId="4" fontId="14" fillId="0" borderId="1" xfId="0" applyNumberFormat="1" applyFont="1" applyBorder="1"/>
    <xf numFmtId="43" fontId="14" fillId="0" borderId="0" xfId="1" applyFont="1"/>
    <xf numFmtId="43" fontId="4" fillId="0" borderId="1" xfId="1" applyFont="1" applyBorder="1"/>
    <xf numFmtId="43" fontId="14" fillId="0" borderId="1" xfId="1" applyFont="1" applyBorder="1"/>
    <xf numFmtId="167" fontId="4" fillId="0" borderId="0" xfId="5" applyNumberFormat="1" applyFont="1" applyAlignment="1">
      <alignment horizontal="right"/>
    </xf>
    <xf numFmtId="165" fontId="3" fillId="0" borderId="0" xfId="7" applyNumberFormat="1" applyFont="1"/>
    <xf numFmtId="0" fontId="15" fillId="0" borderId="8" xfId="5" applyFont="1" applyBorder="1" applyAlignment="1">
      <alignment horizontal="center"/>
    </xf>
    <xf numFmtId="0" fontId="4" fillId="0" borderId="0" xfId="5" applyFont="1" applyBorder="1"/>
    <xf numFmtId="167" fontId="15" fillId="0" borderId="9" xfId="5" applyNumberFormat="1" applyFont="1" applyBorder="1" applyAlignment="1">
      <alignment horizontal="center"/>
    </xf>
    <xf numFmtId="167" fontId="16" fillId="0" borderId="9" xfId="5" applyNumberFormat="1" applyFont="1" applyFill="1" applyBorder="1" applyAlignment="1">
      <alignment horizontal="center"/>
    </xf>
    <xf numFmtId="41" fontId="10" fillId="0" borderId="9" xfId="5" applyNumberFormat="1" applyFont="1" applyBorder="1"/>
    <xf numFmtId="167" fontId="6" fillId="0" borderId="0" xfId="5" applyNumberFormat="1" applyFont="1" applyBorder="1"/>
    <xf numFmtId="168" fontId="6" fillId="0" borderId="9" xfId="5" applyNumberFormat="1" applyFont="1" applyBorder="1"/>
    <xf numFmtId="41" fontId="4" fillId="0" borderId="10" xfId="5" applyNumberFormat="1" applyFont="1" applyBorder="1"/>
    <xf numFmtId="165" fontId="4" fillId="0" borderId="0" xfId="7" applyNumberFormat="1" applyFont="1"/>
    <xf numFmtId="0" fontId="20" fillId="0" borderId="0" xfId="4"/>
    <xf numFmtId="43" fontId="20" fillId="0" borderId="0" xfId="2" applyNumberFormat="1" applyFont="1"/>
    <xf numFmtId="7" fontId="19" fillId="0" borderId="0" xfId="0" applyNumberFormat="1" applyFont="1" applyFill="1" applyBorder="1"/>
    <xf numFmtId="7" fontId="1" fillId="0" borderId="0" xfId="3" applyNumberFormat="1" applyBorder="1"/>
    <xf numFmtId="0" fontId="20" fillId="0" borderId="0" xfId="4" applyBorder="1"/>
    <xf numFmtId="43" fontId="4" fillId="0" borderId="5" xfId="1" applyNumberFormat="1" applyFont="1" applyBorder="1"/>
    <xf numFmtId="4" fontId="4" fillId="0" borderId="0" xfId="6" applyNumberFormat="1" applyFont="1" applyFill="1" applyBorder="1"/>
    <xf numFmtId="43" fontId="0" fillId="0" borderId="0" xfId="1" applyFont="1"/>
    <xf numFmtId="173" fontId="4" fillId="0" borderId="1" xfId="3" applyNumberFormat="1" applyFont="1" applyBorder="1"/>
    <xf numFmtId="44" fontId="4" fillId="6" borderId="0" xfId="3" applyNumberFormat="1" applyFont="1" applyFill="1"/>
    <xf numFmtId="168" fontId="9" fillId="6" borderId="0" xfId="5" applyNumberFormat="1" applyFont="1" applyFill="1"/>
    <xf numFmtId="44" fontId="4" fillId="3" borderId="7" xfId="3" applyNumberFormat="1" applyFont="1" applyFill="1" applyBorder="1"/>
    <xf numFmtId="44" fontId="4" fillId="3" borderId="7" xfId="3" applyNumberFormat="1" applyFont="1" applyFill="1" applyBorder="1" applyAlignment="1">
      <alignment horizontal="center"/>
    </xf>
    <xf numFmtId="44" fontId="21" fillId="3" borderId="7" xfId="3" applyNumberFormat="1" applyFont="1" applyFill="1" applyBorder="1"/>
    <xf numFmtId="44" fontId="21" fillId="3" borderId="7" xfId="3" applyNumberFormat="1" applyFont="1" applyFill="1" applyBorder="1" applyAlignment="1">
      <alignment horizontal="center"/>
    </xf>
    <xf numFmtId="41" fontId="9" fillId="5" borderId="0" xfId="5" applyNumberFormat="1" applyFont="1" applyFill="1" applyAlignment="1">
      <alignment horizontal="center"/>
    </xf>
    <xf numFmtId="41" fontId="9" fillId="5" borderId="0" xfId="5" applyNumberFormat="1" applyFont="1" applyFill="1"/>
    <xf numFmtId="167" fontId="4" fillId="7" borderId="0" xfId="5" applyNumberFormat="1" applyFont="1" applyFill="1"/>
    <xf numFmtId="9" fontId="4" fillId="7" borderId="7" xfId="7" applyFont="1" applyFill="1" applyBorder="1"/>
    <xf numFmtId="168" fontId="4" fillId="7" borderId="6" xfId="5" applyNumberFormat="1" applyFont="1" applyFill="1" applyBorder="1"/>
    <xf numFmtId="8" fontId="4" fillId="3" borderId="7" xfId="3" applyNumberFormat="1" applyFont="1" applyFill="1" applyBorder="1"/>
    <xf numFmtId="168" fontId="4" fillId="5" borderId="2" xfId="5" applyNumberFormat="1" applyFont="1" applyFill="1" applyBorder="1"/>
    <xf numFmtId="165" fontId="22" fillId="8" borderId="12" xfId="7" applyNumberFormat="1" applyFont="1" applyFill="1" applyBorder="1"/>
  </cellXfs>
  <cellStyles count="10">
    <cellStyle name="Comma" xfId="1" builtinId="3"/>
    <cellStyle name="Comma 2" xfId="2"/>
    <cellStyle name="Currency" xfId="3" builtinId="4"/>
    <cellStyle name="Currency 2" xfId="9"/>
    <cellStyle name="Normal" xfId="0" builtinId="0"/>
    <cellStyle name="Normal 2" xfId="4"/>
    <cellStyle name="Normal 3" xfId="8"/>
    <cellStyle name="Normal_98REC_CR" xfId="5"/>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istrict\Accounting\WUTC%20Files\RSA\2013-14%20Plan%20Year\WUTC%20Filing%20Working%20Documents\SeaTac%20Multi%20Family%20Commodity%20Credit%20Template%20-%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6"/>
  <sheetViews>
    <sheetView zoomScaleNormal="100" workbookViewId="0">
      <pane ySplit="4" topLeftCell="A5" activePane="bottomLeft" state="frozenSplit"/>
      <selection activeCell="G25" sqref="G25"/>
      <selection pane="bottomLeft" activeCell="K65" sqref="K65"/>
    </sheetView>
  </sheetViews>
  <sheetFormatPr defaultRowHeight="12.75" x14ac:dyDescent="0.2"/>
  <cols>
    <col min="1" max="1" width="10" style="5" customWidth="1"/>
    <col min="2" max="2" width="10.140625" style="5" customWidth="1"/>
    <col min="3" max="3" width="4.42578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8.7109375" style="5" bestFit="1" customWidth="1"/>
    <col min="10" max="10" width="9.42578125" style="5" customWidth="1"/>
    <col min="11" max="11" width="4.7109375" style="5" bestFit="1" customWidth="1"/>
    <col min="12"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33</v>
      </c>
      <c r="B1" s="2"/>
      <c r="C1" s="2"/>
      <c r="D1" s="2"/>
      <c r="E1" s="2"/>
      <c r="F1" s="2"/>
      <c r="G1" s="3"/>
      <c r="H1" s="2"/>
      <c r="I1" s="2"/>
      <c r="J1" s="1" t="s">
        <v>34</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
        <v>35</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2"/>
      <c r="P5" s="2"/>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row>
    <row r="7" spans="1:27" s="16" customFormat="1" ht="11.25" x14ac:dyDescent="0.2">
      <c r="A7" s="15" t="s">
        <v>5</v>
      </c>
      <c r="B7" s="12" t="s">
        <v>6</v>
      </c>
      <c r="C7" s="12"/>
      <c r="D7" s="12" t="s">
        <v>3</v>
      </c>
      <c r="E7" s="12"/>
      <c r="F7" s="12" t="s">
        <v>7</v>
      </c>
      <c r="G7" s="12"/>
      <c r="H7" s="12"/>
      <c r="I7" s="12"/>
      <c r="J7" s="12" t="s">
        <v>6</v>
      </c>
      <c r="K7" s="12"/>
    </row>
    <row r="8" spans="1:27" s="16" customFormat="1" ht="11.25" x14ac:dyDescent="0.2">
      <c r="A8" s="76">
        <v>39264</v>
      </c>
      <c r="B8" s="19">
        <v>16678</v>
      </c>
      <c r="C8" s="20"/>
      <c r="D8" s="18">
        <v>35119.9</v>
      </c>
      <c r="E8" s="14"/>
      <c r="F8" s="16">
        <f>ROUND(D8/B8,2)</f>
        <v>2.11</v>
      </c>
      <c r="G8" s="14"/>
      <c r="H8" s="14"/>
      <c r="I8" s="14"/>
      <c r="J8" s="14">
        <f>+B8</f>
        <v>16678</v>
      </c>
      <c r="K8" s="13">
        <v>2007</v>
      </c>
    </row>
    <row r="9" spans="1:27" s="16" customFormat="1" ht="11.25" x14ac:dyDescent="0.2">
      <c r="A9" s="76">
        <v>39298</v>
      </c>
      <c r="B9" s="19">
        <v>16617</v>
      </c>
      <c r="C9" s="14"/>
      <c r="D9" s="18">
        <v>36121.480000000003</v>
      </c>
      <c r="E9" s="14"/>
      <c r="F9" s="16">
        <f>ROUND(D9/B9,2)</f>
        <v>2.17</v>
      </c>
      <c r="G9" s="14"/>
      <c r="H9" s="14"/>
      <c r="I9" s="14"/>
      <c r="J9" s="14">
        <f>+B9</f>
        <v>16617</v>
      </c>
      <c r="K9" s="13">
        <v>2007</v>
      </c>
    </row>
    <row r="10" spans="1:27" s="16" customFormat="1" ht="11.25" x14ac:dyDescent="0.2">
      <c r="A10" s="17"/>
      <c r="B10" s="14"/>
      <c r="C10" s="14"/>
      <c r="E10" s="14"/>
      <c r="G10" s="14"/>
      <c r="H10" s="14"/>
      <c r="I10" s="14"/>
      <c r="J10" s="14"/>
      <c r="K10" s="13"/>
    </row>
    <row r="11" spans="1:27" s="16" customFormat="1" ht="11.25" x14ac:dyDescent="0.2">
      <c r="A11" s="17" t="s">
        <v>36</v>
      </c>
      <c r="B11" s="21">
        <f>SUM(B8:B10)</f>
        <v>33295</v>
      </c>
      <c r="C11" s="20" t="s">
        <v>8</v>
      </c>
      <c r="D11" s="22">
        <f>SUM(D8:D10)</f>
        <v>71241.38</v>
      </c>
      <c r="E11" s="14"/>
      <c r="G11" s="14"/>
      <c r="H11" s="14"/>
      <c r="I11" s="14"/>
      <c r="J11" s="14"/>
      <c r="K11" s="13"/>
    </row>
    <row r="12" spans="1:27" s="16" customFormat="1" ht="11.25" x14ac:dyDescent="0.2">
      <c r="A12" s="17"/>
      <c r="B12" s="14"/>
      <c r="C12" s="14"/>
      <c r="E12" s="14"/>
      <c r="G12" s="14"/>
      <c r="H12" s="14"/>
      <c r="I12" s="14"/>
      <c r="J12" s="14"/>
      <c r="K12" s="13"/>
    </row>
    <row r="13" spans="1:27" s="16" customFormat="1" ht="11.25" x14ac:dyDescent="0.2">
      <c r="A13" s="24">
        <v>39329</v>
      </c>
      <c r="B13" s="19">
        <v>16657</v>
      </c>
      <c r="C13" s="14"/>
      <c r="D13" s="16">
        <v>36761.14</v>
      </c>
      <c r="E13" s="14"/>
      <c r="F13" s="16">
        <f t="shared" ref="F13:F22" si="0">ROUND(D13/B13,2)</f>
        <v>2.21</v>
      </c>
      <c r="G13" s="23"/>
      <c r="H13" s="14"/>
      <c r="I13" s="14"/>
      <c r="J13" s="14">
        <f t="shared" ref="J13:J22" si="1">+B13</f>
        <v>16657</v>
      </c>
      <c r="K13" s="13">
        <v>2007</v>
      </c>
    </row>
    <row r="14" spans="1:27" s="16" customFormat="1" ht="11.25" x14ac:dyDescent="0.2">
      <c r="A14" s="24">
        <v>39359</v>
      </c>
      <c r="B14" s="19">
        <v>16702</v>
      </c>
      <c r="C14" s="14"/>
      <c r="D14" s="16">
        <v>36372.089999999997</v>
      </c>
      <c r="E14" s="14"/>
      <c r="F14" s="16">
        <f t="shared" si="0"/>
        <v>2.1800000000000002</v>
      </c>
      <c r="G14" s="23"/>
      <c r="H14" s="14"/>
      <c r="I14" s="14"/>
      <c r="J14" s="14">
        <f t="shared" si="1"/>
        <v>16702</v>
      </c>
      <c r="K14" s="13">
        <v>2007</v>
      </c>
    </row>
    <row r="15" spans="1:27" s="16" customFormat="1" ht="11.25" x14ac:dyDescent="0.2">
      <c r="A15" s="24">
        <v>39390</v>
      </c>
      <c r="B15" s="19">
        <v>16708</v>
      </c>
      <c r="C15" s="14"/>
      <c r="D15" s="16">
        <v>43788.67</v>
      </c>
      <c r="E15" s="14"/>
      <c r="F15" s="16">
        <f t="shared" si="0"/>
        <v>2.62</v>
      </c>
      <c r="G15" s="23"/>
      <c r="H15" s="14"/>
      <c r="I15" s="14"/>
      <c r="J15" s="14">
        <f t="shared" si="1"/>
        <v>16708</v>
      </c>
      <c r="K15" s="13">
        <v>2007</v>
      </c>
    </row>
    <row r="16" spans="1:27" s="16" customFormat="1" ht="11.25" x14ac:dyDescent="0.2">
      <c r="A16" s="24">
        <v>39420</v>
      </c>
      <c r="B16" s="19">
        <v>16699</v>
      </c>
      <c r="C16" s="14"/>
      <c r="D16" s="16">
        <v>38190.370000000003</v>
      </c>
      <c r="E16" s="14"/>
      <c r="F16" s="16">
        <f t="shared" si="0"/>
        <v>2.29</v>
      </c>
      <c r="G16" s="23"/>
      <c r="H16" s="14"/>
      <c r="I16" s="14"/>
      <c r="J16" s="14">
        <f t="shared" si="1"/>
        <v>16699</v>
      </c>
      <c r="K16" s="13">
        <v>2007</v>
      </c>
    </row>
    <row r="17" spans="1:27" s="16" customFormat="1" ht="11.25" x14ac:dyDescent="0.2">
      <c r="A17" s="24">
        <v>39451</v>
      </c>
      <c r="B17" s="19">
        <v>16649</v>
      </c>
      <c r="C17" s="14"/>
      <c r="D17" s="16">
        <v>42272.42</v>
      </c>
      <c r="E17" s="14"/>
      <c r="F17" s="16">
        <f t="shared" si="0"/>
        <v>2.54</v>
      </c>
      <c r="G17" s="23"/>
      <c r="H17" s="14"/>
      <c r="I17" s="14"/>
      <c r="J17" s="14">
        <f t="shared" si="1"/>
        <v>16649</v>
      </c>
      <c r="K17" s="13">
        <v>2008</v>
      </c>
    </row>
    <row r="18" spans="1:27" s="16" customFormat="1" ht="11.25" x14ac:dyDescent="0.2">
      <c r="A18" s="24">
        <v>39482</v>
      </c>
      <c r="B18" s="19">
        <v>16642</v>
      </c>
      <c r="C18" s="14"/>
      <c r="D18" s="16">
        <v>40138.230000000003</v>
      </c>
      <c r="E18" s="14"/>
      <c r="F18" s="16">
        <f t="shared" si="0"/>
        <v>2.41</v>
      </c>
      <c r="G18" s="23"/>
      <c r="H18" s="14"/>
      <c r="I18" s="14"/>
      <c r="J18" s="14">
        <f t="shared" si="1"/>
        <v>16642</v>
      </c>
      <c r="K18" s="13">
        <v>2008</v>
      </c>
    </row>
    <row r="19" spans="1:27" s="16" customFormat="1" ht="11.25" x14ac:dyDescent="0.2">
      <c r="A19" s="24">
        <v>39511</v>
      </c>
      <c r="B19" s="19">
        <v>16686</v>
      </c>
      <c r="C19" s="14"/>
      <c r="D19" s="16">
        <v>35853.629999999997</v>
      </c>
      <c r="E19" s="14"/>
      <c r="F19" s="16">
        <f t="shared" si="0"/>
        <v>2.15</v>
      </c>
      <c r="G19" s="23"/>
      <c r="H19" s="14"/>
      <c r="I19" s="14"/>
      <c r="J19" s="14">
        <f t="shared" si="1"/>
        <v>16686</v>
      </c>
      <c r="K19" s="13">
        <v>2008</v>
      </c>
      <c r="X19" s="14"/>
      <c r="Y19" s="14"/>
    </row>
    <row r="20" spans="1:27" s="16" customFormat="1" ht="11.25" x14ac:dyDescent="0.2">
      <c r="A20" s="24">
        <v>39542</v>
      </c>
      <c r="B20" s="19">
        <v>16748</v>
      </c>
      <c r="C20" s="14"/>
      <c r="D20" s="16">
        <v>43498.77</v>
      </c>
      <c r="E20" s="14"/>
      <c r="F20" s="16">
        <f t="shared" si="0"/>
        <v>2.6</v>
      </c>
      <c r="G20" s="23"/>
      <c r="H20" s="14"/>
      <c r="I20" s="14"/>
      <c r="J20" s="14">
        <f t="shared" si="1"/>
        <v>16748</v>
      </c>
      <c r="K20" s="13">
        <v>2008</v>
      </c>
      <c r="L20" s="14"/>
      <c r="M20" s="14"/>
      <c r="N20" s="14"/>
      <c r="O20" s="14"/>
      <c r="P20" s="14"/>
      <c r="Q20" s="14"/>
      <c r="R20" s="14"/>
      <c r="S20" s="14"/>
      <c r="T20" s="14"/>
      <c r="U20" s="14"/>
      <c r="V20" s="14"/>
      <c r="W20" s="14"/>
      <c r="Y20" s="14"/>
      <c r="AA20" s="14"/>
    </row>
    <row r="21" spans="1:27" s="16" customFormat="1" ht="11.25" x14ac:dyDescent="0.2">
      <c r="A21" s="24">
        <v>39572</v>
      </c>
      <c r="B21" s="19">
        <v>16877</v>
      </c>
      <c r="C21" s="14"/>
      <c r="D21" s="16">
        <v>37997.629999999997</v>
      </c>
      <c r="E21" s="14"/>
      <c r="F21" s="16">
        <f t="shared" si="0"/>
        <v>2.25</v>
      </c>
      <c r="G21" s="23"/>
      <c r="H21" s="20"/>
      <c r="I21" s="14"/>
      <c r="J21" s="14">
        <f t="shared" si="1"/>
        <v>16877</v>
      </c>
      <c r="K21" s="13">
        <v>2008</v>
      </c>
    </row>
    <row r="22" spans="1:27" s="16" customFormat="1" ht="11.25" x14ac:dyDescent="0.2">
      <c r="A22" s="24">
        <v>39603</v>
      </c>
      <c r="B22" s="19">
        <v>16697</v>
      </c>
      <c r="C22" s="14"/>
      <c r="D22" s="16">
        <v>37285.46</v>
      </c>
      <c r="E22" s="14"/>
      <c r="F22" s="16">
        <f t="shared" si="0"/>
        <v>2.23</v>
      </c>
      <c r="G22" s="23"/>
      <c r="H22" s="20"/>
      <c r="I22" s="14"/>
      <c r="J22" s="14">
        <f t="shared" si="1"/>
        <v>16697</v>
      </c>
      <c r="K22" s="13">
        <v>2008</v>
      </c>
    </row>
    <row r="23" spans="1:27" s="16" customFormat="1" ht="11.25" x14ac:dyDescent="0.2">
      <c r="A23" s="17"/>
      <c r="B23" s="14"/>
      <c r="C23" s="14"/>
      <c r="E23" s="14"/>
      <c r="G23" s="14"/>
      <c r="H23" s="14"/>
      <c r="I23" s="14"/>
      <c r="J23" s="14"/>
      <c r="K23" s="13"/>
    </row>
    <row r="24" spans="1:27" s="16" customFormat="1" ht="22.5" x14ac:dyDescent="0.2">
      <c r="A24" s="77" t="s">
        <v>37</v>
      </c>
      <c r="B24" s="21">
        <f>SUM(B12:B23)</f>
        <v>167065</v>
      </c>
      <c r="C24" s="20" t="s">
        <v>9</v>
      </c>
      <c r="D24" s="22">
        <f>SUM(D12:D23)</f>
        <v>392158.41000000003</v>
      </c>
      <c r="E24" s="14"/>
      <c r="G24" s="14"/>
      <c r="H24" s="14"/>
      <c r="I24" s="14"/>
      <c r="J24" s="14"/>
      <c r="K24" s="13"/>
    </row>
    <row r="25" spans="1:27" x14ac:dyDescent="0.2">
      <c r="D25" s="25"/>
    </row>
    <row r="26" spans="1:27" s="16" customFormat="1" ht="12" thickBot="1" x14ac:dyDescent="0.25">
      <c r="A26" s="26"/>
      <c r="B26" s="27">
        <f>+B11+B24</f>
        <v>200360</v>
      </c>
      <c r="C26" s="20"/>
      <c r="D26" s="28">
        <f>+D11+D24</f>
        <v>463399.79000000004</v>
      </c>
      <c r="E26" s="20" t="s">
        <v>10</v>
      </c>
      <c r="F26" s="23">
        <f>ROUND(D26/B26,3)</f>
        <v>2.3130000000000002</v>
      </c>
      <c r="G26" s="20" t="s">
        <v>11</v>
      </c>
      <c r="H26" s="14"/>
      <c r="I26" s="14"/>
      <c r="J26" s="27">
        <f>SUM(J8:J25)</f>
        <v>200360</v>
      </c>
      <c r="K26" s="20" t="s">
        <v>12</v>
      </c>
    </row>
    <row r="27" spans="1:27" s="16" customFormat="1" ht="12" thickTop="1" x14ac:dyDescent="0.2">
      <c r="B27" s="14"/>
      <c r="C27" s="14"/>
      <c r="D27" s="14"/>
      <c r="E27" s="14"/>
      <c r="F27" s="14"/>
      <c r="G27" s="14"/>
      <c r="H27" s="14"/>
      <c r="I27" s="14"/>
      <c r="J27" s="14"/>
      <c r="K27" s="14"/>
    </row>
    <row r="28" spans="1:27" s="16" customFormat="1" ht="11.25" x14ac:dyDescent="0.2">
      <c r="B28" s="14"/>
      <c r="C28" s="14"/>
      <c r="D28" s="14"/>
      <c r="E28" s="14"/>
      <c r="F28" s="14"/>
      <c r="G28" s="14"/>
      <c r="H28" s="14"/>
      <c r="I28" s="14"/>
      <c r="J28" s="14"/>
      <c r="K28" s="14"/>
    </row>
    <row r="29" spans="1:27" s="16" customFormat="1" ht="12" thickBot="1" x14ac:dyDescent="0.25">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ROUND(D26,0)</f>
        <v>463400</v>
      </c>
      <c r="H31" s="20" t="s">
        <v>10</v>
      </c>
      <c r="I31" s="14"/>
      <c r="J31" s="14"/>
      <c r="K31" s="14"/>
    </row>
    <row r="32" spans="1:27" s="13" customFormat="1" ht="11.25" x14ac:dyDescent="0.2">
      <c r="A32" s="33"/>
      <c r="B32" s="31"/>
      <c r="C32" s="14"/>
      <c r="D32" s="14"/>
      <c r="E32" s="14"/>
      <c r="F32" s="14"/>
      <c r="G32" s="14"/>
      <c r="H32" s="20"/>
      <c r="I32" s="14"/>
      <c r="J32" s="14"/>
      <c r="K32" s="14"/>
      <c r="W32" s="14"/>
      <c r="X32" s="16"/>
      <c r="Y32" s="16"/>
      <c r="AA32" s="14"/>
    </row>
    <row r="33" spans="2:27" s="16" customFormat="1" ht="11.25" x14ac:dyDescent="0.2">
      <c r="B33" s="14" t="s">
        <v>15</v>
      </c>
      <c r="C33" s="14"/>
      <c r="D33" s="14"/>
      <c r="E33" s="14"/>
      <c r="F33" s="34">
        <v>1.55</v>
      </c>
      <c r="G33" s="14"/>
      <c r="H33" s="14"/>
      <c r="I33" s="14"/>
      <c r="J33" s="14"/>
      <c r="K33" s="14"/>
    </row>
    <row r="34" spans="2:27" s="16" customFormat="1" ht="11.25" x14ac:dyDescent="0.2">
      <c r="B34" s="14"/>
      <c r="C34" s="14" t="s">
        <v>38</v>
      </c>
      <c r="D34" s="14"/>
      <c r="E34" s="14"/>
      <c r="F34" s="35">
        <f>+B11</f>
        <v>33295</v>
      </c>
      <c r="G34" s="20" t="s">
        <v>8</v>
      </c>
      <c r="H34" s="14"/>
      <c r="I34" s="14"/>
      <c r="J34" s="14"/>
      <c r="K34" s="14"/>
    </row>
    <row r="35" spans="2:27" s="16" customFormat="1" ht="11.25" x14ac:dyDescent="0.2">
      <c r="B35" s="14"/>
      <c r="C35" s="14" t="s">
        <v>16</v>
      </c>
      <c r="D35" s="14"/>
      <c r="E35" s="14"/>
      <c r="F35" s="21">
        <f>ROUND(F33*F34,0)</f>
        <v>51607</v>
      </c>
      <c r="G35" s="20"/>
      <c r="H35" s="14"/>
      <c r="I35" s="14"/>
      <c r="J35" s="14"/>
      <c r="K35" s="14"/>
    </row>
    <row r="36" spans="2:27" s="16" customFormat="1" ht="11.25" x14ac:dyDescent="0.2">
      <c r="B36" s="14"/>
      <c r="C36" s="14"/>
      <c r="D36" s="14"/>
      <c r="E36" s="14"/>
      <c r="F36" s="35"/>
      <c r="G36" s="20"/>
      <c r="H36" s="14"/>
      <c r="I36" s="14"/>
      <c r="J36" s="14"/>
      <c r="K36" s="14"/>
    </row>
    <row r="37" spans="2:27" s="16" customFormat="1" ht="11.25" x14ac:dyDescent="0.2">
      <c r="B37" s="14" t="s">
        <v>15</v>
      </c>
      <c r="C37" s="14"/>
      <c r="D37" s="14"/>
      <c r="E37" s="14"/>
      <c r="F37" s="34">
        <v>1.8180000000000001</v>
      </c>
      <c r="G37" s="14"/>
      <c r="H37" s="14"/>
      <c r="I37" s="14"/>
      <c r="J37" s="14"/>
      <c r="K37" s="14"/>
    </row>
    <row r="38" spans="2:27" s="16" customFormat="1" ht="11.25" x14ac:dyDescent="0.2">
      <c r="B38" s="14"/>
      <c r="C38" s="14" t="s">
        <v>39</v>
      </c>
      <c r="D38" s="14"/>
      <c r="E38" s="14"/>
      <c r="F38" s="14">
        <f>+B24</f>
        <v>167065</v>
      </c>
      <c r="G38" s="20" t="s">
        <v>9</v>
      </c>
      <c r="H38" s="14"/>
      <c r="I38" s="14"/>
      <c r="J38" s="14"/>
      <c r="K38" s="14"/>
    </row>
    <row r="39" spans="2:27" s="16" customFormat="1" ht="11.25" x14ac:dyDescent="0.2">
      <c r="B39" s="14"/>
      <c r="C39" s="14" t="s">
        <v>16</v>
      </c>
      <c r="D39" s="14"/>
      <c r="E39" s="14"/>
      <c r="F39" s="21">
        <f>ROUND(F37*F38,0)</f>
        <v>303724</v>
      </c>
      <c r="G39" s="20"/>
      <c r="H39" s="14"/>
      <c r="I39" s="14"/>
      <c r="J39" s="14"/>
      <c r="K39" s="14"/>
    </row>
    <row r="40" spans="2:27" s="16" customFormat="1" ht="11.25" x14ac:dyDescent="0.2">
      <c r="B40" s="14"/>
      <c r="C40" s="14"/>
      <c r="D40" s="14"/>
      <c r="E40" s="14"/>
      <c r="F40" s="36"/>
      <c r="G40" s="20"/>
      <c r="H40" s="14"/>
      <c r="I40" s="14"/>
      <c r="J40" s="14"/>
      <c r="K40" s="14"/>
    </row>
    <row r="41" spans="2:27" s="16" customFormat="1" ht="12" thickBot="1" x14ac:dyDescent="0.25">
      <c r="B41" s="14"/>
      <c r="C41" s="14" t="s">
        <v>17</v>
      </c>
      <c r="D41" s="14"/>
      <c r="E41" s="14"/>
      <c r="F41" s="27">
        <f>+F35+F39</f>
        <v>355331</v>
      </c>
      <c r="G41" s="37">
        <f>+F41</f>
        <v>355331</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18</v>
      </c>
      <c r="G44" s="38">
        <f>+G31-G41</f>
        <v>108069</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
        <v>40</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
        <v>19</v>
      </c>
      <c r="C49" s="14"/>
      <c r="D49" s="14"/>
      <c r="E49" s="14"/>
      <c r="F49" s="14"/>
      <c r="G49" s="14"/>
      <c r="H49" s="14"/>
      <c r="I49" s="14"/>
      <c r="J49" s="14"/>
      <c r="K49" s="14"/>
    </row>
    <row r="50" spans="1:25" s="16" customFormat="1" ht="11.25" x14ac:dyDescent="0.2">
      <c r="B50" s="14"/>
      <c r="C50" s="14"/>
      <c r="D50" s="14"/>
      <c r="E50" s="14"/>
      <c r="F50" s="32" t="s">
        <v>20</v>
      </c>
      <c r="G50" s="14">
        <f>+J26</f>
        <v>200360</v>
      </c>
      <c r="H50" s="20" t="s">
        <v>12</v>
      </c>
      <c r="I50" s="14"/>
      <c r="J50" s="14"/>
      <c r="K50" s="14"/>
    </row>
    <row r="51" spans="1:25" s="16" customFormat="1" ht="11.25" x14ac:dyDescent="0.2">
      <c r="B51" s="14"/>
      <c r="C51" s="14"/>
      <c r="D51" s="14"/>
      <c r="E51" s="14"/>
      <c r="F51" s="32" t="s">
        <v>18</v>
      </c>
      <c r="G51" s="14">
        <f>+G44</f>
        <v>108069</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41</v>
      </c>
      <c r="G53" s="39">
        <f>ROUND(G51/G50,3)</f>
        <v>0.53900000000000003</v>
      </c>
      <c r="H53" s="14"/>
      <c r="I53" s="23">
        <f>+G53</f>
        <v>0.53900000000000003</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
        <v>43</v>
      </c>
      <c r="C55" s="14"/>
      <c r="D55" s="14"/>
      <c r="E55" s="14"/>
      <c r="F55" s="32"/>
      <c r="G55" s="14"/>
      <c r="H55" s="14"/>
      <c r="I55" s="23"/>
      <c r="J55" s="14"/>
      <c r="K55" s="14"/>
    </row>
    <row r="56" spans="1:25" s="16" customFormat="1" ht="12" thickBot="1" x14ac:dyDescent="0.25">
      <c r="B56" s="31"/>
      <c r="C56" s="14"/>
      <c r="D56" s="14"/>
      <c r="E56" s="14"/>
      <c r="F56" s="32" t="s">
        <v>42</v>
      </c>
      <c r="G56" s="40">
        <f>+F26</f>
        <v>2.3130000000000002</v>
      </c>
      <c r="H56" s="14"/>
      <c r="I56" s="23">
        <f>+G56</f>
        <v>2.3130000000000002</v>
      </c>
      <c r="J56" s="20" t="s">
        <v>11</v>
      </c>
      <c r="K56" s="14"/>
    </row>
    <row r="57" spans="1:25" s="14" customFormat="1" ht="12" thickTop="1" x14ac:dyDescent="0.2">
      <c r="B57" s="31"/>
      <c r="I57" s="23"/>
      <c r="X57" s="16"/>
      <c r="Y57" s="16"/>
    </row>
    <row r="58" spans="1:25" s="16" customFormat="1" ht="12" thickBot="1" x14ac:dyDescent="0.25">
      <c r="B58" s="14"/>
      <c r="C58" s="14"/>
      <c r="D58" s="14"/>
      <c r="E58" s="14"/>
      <c r="F58" s="14"/>
      <c r="G58" s="32" t="s">
        <v>44</v>
      </c>
      <c r="H58" s="27"/>
      <c r="I58" s="39">
        <f>+I53+I56</f>
        <v>2.8520000000000003</v>
      </c>
      <c r="J58" s="14"/>
      <c r="K58" s="14"/>
    </row>
    <row r="59" spans="1:25" s="16" customFormat="1" ht="12" thickTop="1" x14ac:dyDescent="0.2">
      <c r="I59" s="23"/>
    </row>
    <row r="60" spans="1:25" s="16" customFormat="1" ht="11.25" x14ac:dyDescent="0.2"/>
    <row r="61" spans="1:25" s="16" customFormat="1" ht="11.25" x14ac:dyDescent="0.2"/>
    <row r="62" spans="1:25" s="16" customFormat="1" ht="11.25" x14ac:dyDescent="0.2">
      <c r="A62" s="41"/>
      <c r="B62" s="41"/>
      <c r="C62" s="41"/>
      <c r="D62" s="41"/>
      <c r="E62" s="41"/>
      <c r="F62" s="41"/>
    </row>
    <row r="63" spans="1:25" s="16" customFormat="1" ht="18.75" x14ac:dyDescent="0.3">
      <c r="A63" s="42"/>
      <c r="B63" s="43"/>
      <c r="C63" s="43"/>
      <c r="D63" s="43"/>
      <c r="E63" s="42"/>
      <c r="F63" s="43"/>
      <c r="G63" s="44"/>
      <c r="H63" s="44"/>
      <c r="I63" s="44"/>
      <c r="J63" s="44"/>
      <c r="K63" s="44"/>
      <c r="Y63" s="14"/>
    </row>
    <row r="64" spans="1:25" s="16" customFormat="1" ht="11.25" x14ac:dyDescent="0.2">
      <c r="A64" s="78"/>
      <c r="B64" s="46"/>
      <c r="C64" s="48"/>
      <c r="D64" s="47"/>
      <c r="E64" s="41"/>
      <c r="F64" s="41"/>
    </row>
    <row r="65" spans="1:27" s="16" customFormat="1" ht="11.25" x14ac:dyDescent="0.2">
      <c r="A65" s="78"/>
      <c r="B65" s="46"/>
      <c r="C65" s="49"/>
      <c r="D65" s="47"/>
      <c r="E65" s="41"/>
      <c r="F65" s="41"/>
    </row>
    <row r="66" spans="1:27" s="14" customFormat="1" ht="11.25" x14ac:dyDescent="0.2">
      <c r="A66" s="78"/>
      <c r="B66" s="49"/>
      <c r="C66" s="49"/>
      <c r="D66" s="41"/>
      <c r="E66" s="49"/>
      <c r="F66" s="41"/>
      <c r="X66" s="16"/>
      <c r="Y66" s="16"/>
    </row>
    <row r="67" spans="1:27" s="16" customFormat="1" ht="11.25" x14ac:dyDescent="0.2">
      <c r="A67" s="78"/>
      <c r="B67" s="49"/>
      <c r="C67" s="48"/>
      <c r="D67" s="41"/>
      <c r="E67" s="41"/>
      <c r="F67" s="41"/>
    </row>
    <row r="68" spans="1:27" s="16" customFormat="1" ht="11.25" x14ac:dyDescent="0.2">
      <c r="A68" s="78"/>
      <c r="B68" s="49"/>
      <c r="C68" s="49"/>
      <c r="D68" s="41"/>
      <c r="E68" s="41"/>
      <c r="F68" s="41"/>
    </row>
    <row r="69" spans="1:27" s="16" customFormat="1" ht="11.25" x14ac:dyDescent="0.2">
      <c r="A69" s="78"/>
      <c r="B69" s="50"/>
      <c r="C69" s="49"/>
      <c r="D69" s="41"/>
      <c r="E69" s="41"/>
      <c r="F69" s="41"/>
    </row>
    <row r="70" spans="1:27" s="16" customFormat="1" ht="11.25" x14ac:dyDescent="0.2">
      <c r="A70" s="78"/>
      <c r="B70" s="50"/>
      <c r="C70" s="49"/>
      <c r="D70" s="41"/>
      <c r="E70" s="41"/>
      <c r="F70" s="41"/>
    </row>
    <row r="71" spans="1:27" s="16" customFormat="1" ht="11.25" x14ac:dyDescent="0.2">
      <c r="A71" s="78"/>
      <c r="B71" s="50"/>
      <c r="C71" s="49"/>
      <c r="D71" s="41"/>
      <c r="E71" s="41"/>
      <c r="F71" s="41"/>
    </row>
    <row r="72" spans="1:27" s="16" customFormat="1" ht="11.25" x14ac:dyDescent="0.2">
      <c r="A72" s="78"/>
      <c r="B72" s="50"/>
      <c r="C72" s="49"/>
      <c r="D72" s="41"/>
      <c r="E72" s="41"/>
      <c r="F72" s="41"/>
    </row>
    <row r="73" spans="1:27" s="16" customFormat="1" ht="11.25" x14ac:dyDescent="0.2">
      <c r="A73" s="78"/>
      <c r="B73" s="50"/>
      <c r="C73" s="49"/>
      <c r="D73" s="41"/>
      <c r="E73" s="41"/>
      <c r="F73" s="41"/>
      <c r="Y73" s="14"/>
    </row>
    <row r="74" spans="1:27" s="16" customFormat="1" ht="11.25" x14ac:dyDescent="0.2">
      <c r="A74" s="78"/>
      <c r="B74" s="50"/>
      <c r="C74" s="49"/>
      <c r="D74" s="41"/>
      <c r="E74" s="41"/>
      <c r="F74" s="41"/>
    </row>
    <row r="75" spans="1:27" s="16" customFormat="1" ht="11.25" x14ac:dyDescent="0.2">
      <c r="A75" s="78"/>
      <c r="B75" s="50"/>
      <c r="C75" s="49"/>
      <c r="D75" s="41"/>
      <c r="E75" s="41"/>
      <c r="F75" s="41"/>
    </row>
    <row r="76" spans="1:27" s="16" customFormat="1" ht="11.25" x14ac:dyDescent="0.2">
      <c r="A76" s="78"/>
      <c r="B76" s="50"/>
      <c r="C76" s="49"/>
      <c r="D76" s="41"/>
      <c r="E76" s="41"/>
      <c r="F76" s="41"/>
    </row>
    <row r="77" spans="1:27" s="16" customFormat="1" ht="11.25" x14ac:dyDescent="0.2">
      <c r="A77" s="78"/>
      <c r="B77" s="50"/>
      <c r="C77" s="49"/>
      <c r="D77" s="41"/>
      <c r="E77" s="51"/>
      <c r="F77" s="41"/>
      <c r="G77" s="14"/>
      <c r="H77" s="13"/>
      <c r="I77" s="14"/>
      <c r="J77" s="14"/>
      <c r="K77" s="13"/>
      <c r="L77" s="14"/>
      <c r="M77" s="14"/>
      <c r="N77" s="14"/>
      <c r="O77" s="14"/>
      <c r="P77" s="14"/>
      <c r="Q77" s="14"/>
      <c r="R77" s="14"/>
      <c r="S77" s="14"/>
      <c r="T77" s="14"/>
      <c r="U77" s="14"/>
      <c r="V77" s="13"/>
      <c r="W77" s="14"/>
      <c r="AA77" s="14"/>
    </row>
    <row r="78" spans="1:27" s="16" customFormat="1" ht="11.25" x14ac:dyDescent="0.2">
      <c r="A78" s="78"/>
      <c r="B78" s="50"/>
      <c r="C78" s="49"/>
      <c r="D78" s="41"/>
      <c r="E78" s="41"/>
      <c r="F78" s="41"/>
    </row>
    <row r="79" spans="1:27" s="16" customFormat="1" ht="11.25" x14ac:dyDescent="0.2">
      <c r="A79" s="45"/>
      <c r="B79" s="49"/>
      <c r="C79" s="49"/>
      <c r="D79" s="41"/>
      <c r="E79" s="41"/>
      <c r="F79" s="41"/>
    </row>
    <row r="80" spans="1:27" s="16" customFormat="1" ht="11.25" x14ac:dyDescent="0.2">
      <c r="A80" s="79"/>
      <c r="B80" s="49"/>
      <c r="C80" s="48"/>
      <c r="D80" s="41"/>
      <c r="E80" s="41"/>
      <c r="F80" s="41"/>
    </row>
    <row r="81" spans="1:25" s="16" customFormat="1" x14ac:dyDescent="0.2">
      <c r="A81" s="52"/>
      <c r="B81" s="52"/>
      <c r="C81" s="52"/>
      <c r="D81" s="53"/>
      <c r="E81" s="41"/>
      <c r="F81" s="52"/>
    </row>
    <row r="82" spans="1:25" s="16" customFormat="1" ht="11.25" x14ac:dyDescent="0.2">
      <c r="A82" s="54"/>
      <c r="B82" s="49"/>
      <c r="C82" s="48"/>
      <c r="D82" s="41"/>
      <c r="E82" s="41"/>
      <c r="F82" s="55"/>
      <c r="Y82" s="14"/>
    </row>
    <row r="83" spans="1:25" s="16" customFormat="1" ht="11.25" x14ac:dyDescent="0.2"/>
    <row r="84" spans="1:25" s="16" customFormat="1" ht="11.25" x14ac:dyDescent="0.2"/>
    <row r="85" spans="1:25" s="16" customFormat="1" ht="11.25" x14ac:dyDescent="0.2"/>
    <row r="86" spans="1:25" s="16" customFormat="1" ht="11.25" x14ac:dyDescent="0.2">
      <c r="B86" s="8"/>
    </row>
    <row r="87" spans="1:25" s="14" customFormat="1" ht="11.25" x14ac:dyDescent="0.2">
      <c r="B87" s="31"/>
      <c r="X87" s="16"/>
      <c r="Y87" s="16"/>
    </row>
    <row r="88" spans="1:25" s="16" customFormat="1" ht="11.25" x14ac:dyDescent="0.2"/>
    <row r="89" spans="1:25" s="16" customFormat="1" ht="11.25" x14ac:dyDescent="0.2"/>
    <row r="90" spans="1:25" s="16" customFormat="1" ht="11.25" x14ac:dyDescent="0.2"/>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c r="A96" s="6"/>
    </row>
    <row r="97" spans="7:27" s="16" customFormat="1" x14ac:dyDescent="0.2">
      <c r="AA97" s="5"/>
    </row>
    <row r="98" spans="7:27" s="16" customFormat="1" x14ac:dyDescent="0.2">
      <c r="AA98" s="5"/>
    </row>
    <row r="99" spans="7:27" s="16" customFormat="1" x14ac:dyDescent="0.2">
      <c r="AA99" s="5"/>
    </row>
    <row r="100" spans="7:27" s="16" customFormat="1" x14ac:dyDescent="0.2">
      <c r="AA100" s="5"/>
    </row>
    <row r="101" spans="7:27" s="16" customFormat="1" x14ac:dyDescent="0.2">
      <c r="G101" s="56"/>
      <c r="I101" s="56"/>
      <c r="J101" s="56"/>
      <c r="L101" s="56"/>
      <c r="M101" s="56"/>
      <c r="N101" s="56"/>
      <c r="O101" s="56"/>
      <c r="P101" s="56"/>
      <c r="Q101" s="56"/>
      <c r="R101" s="56"/>
      <c r="S101" s="56"/>
      <c r="T101" s="56"/>
      <c r="U101" s="56"/>
      <c r="V101" s="56"/>
      <c r="W101" s="56"/>
      <c r="X101" s="56"/>
      <c r="Y101" s="56"/>
      <c r="AA101" s="5"/>
    </row>
    <row r="102" spans="7:27" s="16" customFormat="1" x14ac:dyDescent="0.2">
      <c r="AA102" s="5"/>
    </row>
    <row r="103" spans="7:27" s="16" customFormat="1" ht="13.5" thickBot="1" x14ac:dyDescent="0.25">
      <c r="G103" s="57"/>
      <c r="I103" s="57"/>
      <c r="J103" s="57"/>
      <c r="L103" s="57"/>
      <c r="M103" s="57"/>
      <c r="N103" s="57"/>
      <c r="O103" s="57"/>
      <c r="P103" s="57"/>
      <c r="Q103" s="57"/>
      <c r="R103" s="57"/>
      <c r="S103" s="57"/>
      <c r="T103" s="57"/>
      <c r="U103" s="57"/>
      <c r="V103" s="57"/>
      <c r="W103" s="57"/>
      <c r="X103" s="57"/>
      <c r="Y103" s="57"/>
      <c r="AA103" s="5"/>
    </row>
    <row r="104" spans="7:27" ht="13.5" thickTop="1" x14ac:dyDescent="0.2"/>
    <row r="105" spans="7:27" x14ac:dyDescent="0.2">
      <c r="W105" s="58"/>
      <c r="X105" s="58"/>
      <c r="Y105" s="58"/>
    </row>
    <row r="106" spans="7:27" x14ac:dyDescent="0.2">
      <c r="W106" s="58"/>
      <c r="AA106" s="58"/>
    </row>
  </sheetData>
  <phoneticPr fontId="0" type="noConversion"/>
  <printOptions horizontalCentered="1"/>
  <pageMargins left="0" right="0" top="0.52" bottom="0.44" header="0" footer="0"/>
  <pageSetup scale="77" orientation="portrait" horizontalDpi="4294967292" verticalDpi="4294967292" r:id="rId1"/>
  <headerFooter alignWithMargins="0">
    <oddFooter>&amp;R&amp;"Helv,Regular"&amp;6\\SERVER1\PUBLIC\EXCEL&amp;F,&amp;A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5"/>
  <sheetViews>
    <sheetView showGridLines="0" tabSelected="1" zoomScaleNormal="100" workbookViewId="0">
      <pane ySplit="4" topLeftCell="A5" activePane="bottomLeft" state="frozenSplit"/>
      <selection activeCell="G25" sqref="G25"/>
      <selection pane="bottomLeft" activeCell="O35" sqref="O35"/>
    </sheetView>
  </sheetViews>
  <sheetFormatPr defaultRowHeight="12.75" x14ac:dyDescent="0.2"/>
  <cols>
    <col min="1" max="1" width="24.7109375" style="5" customWidth="1"/>
    <col min="2" max="2" width="10.140625"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9.85546875" style="5" bestFit="1" customWidth="1"/>
    <col min="10" max="10" width="9.42578125" style="5" customWidth="1"/>
    <col min="11" max="11" width="4.7109375" style="5" bestFit="1" customWidth="1"/>
    <col min="12" max="14" width="9.5703125" style="5" customWidth="1"/>
    <col min="15" max="15" width="15.28515625" style="5" customWidth="1"/>
    <col min="16" max="16" width="36.7109375" style="5"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81</v>
      </c>
      <c r="B1" s="2"/>
      <c r="C1" s="2"/>
      <c r="D1" s="2"/>
      <c r="E1" s="2"/>
      <c r="F1" s="2"/>
      <c r="G1" s="3"/>
      <c r="H1" s="2"/>
      <c r="I1" s="2"/>
      <c r="J1" s="1" t="s">
        <v>84</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"&amp;YEAR(A21)</f>
        <v>For the Year Ended April 2018</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39" t="str">
        <f>"Total "&amp;F5</f>
        <v>Total Commodity</v>
      </c>
      <c r="P5" s="140"/>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41" t="str">
        <f>+F6</f>
        <v>Revenue</v>
      </c>
      <c r="P6" s="112"/>
    </row>
    <row r="7" spans="1:27" s="16" customFormat="1" ht="11.25" x14ac:dyDescent="0.2">
      <c r="A7" s="15" t="s">
        <v>5</v>
      </c>
      <c r="B7" s="12" t="s">
        <v>6</v>
      </c>
      <c r="C7" s="12"/>
      <c r="D7" s="12" t="s">
        <v>3</v>
      </c>
      <c r="E7" s="12"/>
      <c r="F7" s="12" t="s">
        <v>7</v>
      </c>
      <c r="G7" s="12"/>
      <c r="H7" s="12"/>
      <c r="I7" s="12"/>
      <c r="J7" s="12" t="s">
        <v>6</v>
      </c>
      <c r="K7" s="12"/>
      <c r="O7" s="141" t="str">
        <f>+F7</f>
        <v>per Customer</v>
      </c>
      <c r="P7" s="112"/>
    </row>
    <row r="8" spans="1:27" s="16" customFormat="1" ht="11.25" x14ac:dyDescent="0.2">
      <c r="A8" s="127">
        <f>'Single Family'!$C$6</f>
        <v>42856</v>
      </c>
      <c r="B8" s="163">
        <v>4803</v>
      </c>
      <c r="C8" s="113"/>
      <c r="D8" s="114">
        <f>VLOOKUP(A8,Value!$A$6:$O$17,15,)</f>
        <v>4513.4853420799982</v>
      </c>
      <c r="E8" s="113"/>
      <c r="F8" s="16">
        <f t="shared" ref="F8:F17" si="0">ROUND(D8/B8,2)</f>
        <v>0.94</v>
      </c>
      <c r="G8" s="113"/>
      <c r="H8" s="113"/>
      <c r="I8" s="113"/>
      <c r="J8" s="14">
        <f t="shared" ref="J8:J17" si="1">+B8</f>
        <v>4803</v>
      </c>
      <c r="K8" s="13">
        <f t="shared" ref="K8:K17" si="2">YEAR(A8)</f>
        <v>2017</v>
      </c>
      <c r="O8" s="142">
        <f>VLOOKUP(A8,Value!$A$6:$O$17,13,FALSE)</f>
        <v>9026.9706841599964</v>
      </c>
      <c r="P8" s="112"/>
    </row>
    <row r="9" spans="1:27" s="16" customFormat="1" ht="11.25" x14ac:dyDescent="0.2">
      <c r="A9" s="17">
        <f t="shared" ref="A9:A17" si="3">EOMONTH(A8,1)</f>
        <v>42916</v>
      </c>
      <c r="B9" s="163">
        <v>4853</v>
      </c>
      <c r="C9" s="20"/>
      <c r="D9" s="114">
        <f>VLOOKUP(A9,Value!$A$6:$O$17,15,)</f>
        <v>4348.9262626499985</v>
      </c>
      <c r="E9" s="14"/>
      <c r="F9" s="16">
        <f t="shared" si="0"/>
        <v>0.9</v>
      </c>
      <c r="G9" s="14"/>
      <c r="H9" s="14"/>
      <c r="I9" s="14"/>
      <c r="J9" s="14">
        <f t="shared" si="1"/>
        <v>4853</v>
      </c>
      <c r="K9" s="13">
        <f t="shared" si="2"/>
        <v>2017</v>
      </c>
      <c r="O9" s="142">
        <f>VLOOKUP(A9,Value!$A$6:$O$17,13,FALSE)</f>
        <v>8697.8525252999971</v>
      </c>
      <c r="P9" s="112"/>
    </row>
    <row r="10" spans="1:27" s="16" customFormat="1" ht="11.25" x14ac:dyDescent="0.2">
      <c r="A10" s="17">
        <f t="shared" si="3"/>
        <v>42947</v>
      </c>
      <c r="B10" s="163">
        <v>4829</v>
      </c>
      <c r="C10" s="14"/>
      <c r="D10" s="114">
        <f>VLOOKUP(A10,Value!$A$6:$O$17,15,)</f>
        <v>4661.7166161249988</v>
      </c>
      <c r="E10" s="14"/>
      <c r="F10" s="16">
        <f t="shared" si="0"/>
        <v>0.97</v>
      </c>
      <c r="G10" s="14"/>
      <c r="H10" s="14"/>
      <c r="I10" s="14"/>
      <c r="J10" s="14">
        <f t="shared" si="1"/>
        <v>4829</v>
      </c>
      <c r="K10" s="13">
        <f t="shared" si="2"/>
        <v>2017</v>
      </c>
      <c r="O10" s="142">
        <f>VLOOKUP(A10,Value!$A$6:$O$17,13,FALSE)</f>
        <v>9323.4332322499977</v>
      </c>
      <c r="P10" s="112"/>
    </row>
    <row r="11" spans="1:27" s="16" customFormat="1" ht="11.25" x14ac:dyDescent="0.2">
      <c r="A11" s="17" t="s">
        <v>91</v>
      </c>
      <c r="B11" s="21">
        <f>SUM(B8:B10)</f>
        <v>14485</v>
      </c>
      <c r="C11" s="20" t="s">
        <v>8</v>
      </c>
      <c r="D11" s="22">
        <f>SUM(D8:D10)</f>
        <v>13524.128220854996</v>
      </c>
      <c r="E11" s="14"/>
      <c r="G11" s="14"/>
      <c r="H11" s="14"/>
      <c r="I11" s="14"/>
      <c r="J11" s="14"/>
      <c r="K11" s="13"/>
      <c r="O11" s="142"/>
      <c r="P11" s="112"/>
    </row>
    <row r="12" spans="1:27" s="16" customFormat="1" ht="11.25" x14ac:dyDescent="0.2">
      <c r="A12" s="17"/>
      <c r="B12" s="14"/>
      <c r="C12" s="14"/>
      <c r="E12" s="14"/>
      <c r="G12" s="14"/>
      <c r="H12" s="14"/>
      <c r="I12" s="14"/>
      <c r="J12" s="14"/>
      <c r="K12" s="13"/>
      <c r="O12" s="142"/>
      <c r="P12" s="112"/>
    </row>
    <row r="13" spans="1:27" s="16" customFormat="1" ht="11.25" x14ac:dyDescent="0.2">
      <c r="A13" s="17">
        <f>EOMONTH(A10,1)</f>
        <v>42978</v>
      </c>
      <c r="B13" s="164">
        <v>4890</v>
      </c>
      <c r="C13" s="14"/>
      <c r="D13" s="114">
        <f>VLOOKUP(A13,Value!$A$6:$O$17,15,)</f>
        <v>4133.4120703250001</v>
      </c>
      <c r="E13" s="14"/>
      <c r="F13" s="16">
        <f t="shared" si="0"/>
        <v>0.85</v>
      </c>
      <c r="G13" s="23"/>
      <c r="H13" s="14"/>
      <c r="I13" s="14"/>
      <c r="J13" s="14">
        <f t="shared" si="1"/>
        <v>4890</v>
      </c>
      <c r="K13" s="13">
        <f t="shared" si="2"/>
        <v>2017</v>
      </c>
      <c r="O13" s="142">
        <f>VLOOKUP(A13,Value!$A$6:$O$17,13,FALSE)</f>
        <v>8266.8241406500001</v>
      </c>
      <c r="P13" s="112"/>
    </row>
    <row r="14" spans="1:27" s="16" customFormat="1" ht="11.25" x14ac:dyDescent="0.2">
      <c r="A14" s="17">
        <f t="shared" si="3"/>
        <v>43008</v>
      </c>
      <c r="B14" s="164">
        <v>4890</v>
      </c>
      <c r="C14" s="14"/>
      <c r="D14" s="114">
        <f>VLOOKUP(A14,Value!$A$6:$O$17,15,)</f>
        <v>2941.3038903099991</v>
      </c>
      <c r="E14" s="14"/>
      <c r="F14" s="16">
        <f t="shared" si="0"/>
        <v>0.6</v>
      </c>
      <c r="G14" s="23"/>
      <c r="H14" s="14"/>
      <c r="I14" s="14"/>
      <c r="J14" s="14">
        <f t="shared" si="1"/>
        <v>4890</v>
      </c>
      <c r="K14" s="13">
        <f t="shared" si="2"/>
        <v>2017</v>
      </c>
      <c r="O14" s="142">
        <f>VLOOKUP(A14,Value!$A$6:$O$17,13,FALSE)</f>
        <v>5882.6077806199983</v>
      </c>
      <c r="P14" s="112"/>
    </row>
    <row r="15" spans="1:27" s="16" customFormat="1" ht="11.25" x14ac:dyDescent="0.2">
      <c r="A15" s="17">
        <f t="shared" si="3"/>
        <v>43039</v>
      </c>
      <c r="B15" s="164">
        <v>4851</v>
      </c>
      <c r="C15" s="14"/>
      <c r="D15" s="114">
        <f>VLOOKUP(A15,Value!$A$6:$O$17,15,)</f>
        <v>2962.0747655749992</v>
      </c>
      <c r="E15" s="14"/>
      <c r="F15" s="16">
        <f t="shared" si="0"/>
        <v>0.61</v>
      </c>
      <c r="G15" s="23"/>
      <c r="H15" s="14"/>
      <c r="I15" s="14"/>
      <c r="J15" s="14">
        <f t="shared" si="1"/>
        <v>4851</v>
      </c>
      <c r="K15" s="13">
        <f t="shared" si="2"/>
        <v>2017</v>
      </c>
      <c r="O15" s="142">
        <f>VLOOKUP(A15,Value!$A$6:$O$17,13,FALSE)</f>
        <v>5924.1495311499984</v>
      </c>
      <c r="P15" s="112"/>
    </row>
    <row r="16" spans="1:27" s="16" customFormat="1" ht="11.25" x14ac:dyDescent="0.2">
      <c r="A16" s="17">
        <f t="shared" si="3"/>
        <v>43069</v>
      </c>
      <c r="B16" s="164">
        <v>4901</v>
      </c>
      <c r="C16" s="14"/>
      <c r="D16" s="114">
        <f>VLOOKUP(A16,Value!$A$6:$O$17,15,)</f>
        <v>4241.8165820799977</v>
      </c>
      <c r="E16" s="14"/>
      <c r="F16" s="16">
        <f t="shared" si="0"/>
        <v>0.87</v>
      </c>
      <c r="G16" s="23"/>
      <c r="H16" s="14"/>
      <c r="I16" s="14"/>
      <c r="J16" s="14">
        <f t="shared" si="1"/>
        <v>4901</v>
      </c>
      <c r="K16" s="13">
        <f t="shared" si="2"/>
        <v>2017</v>
      </c>
      <c r="O16" s="142">
        <f>VLOOKUP(A16,Value!$A$6:$O$17,13,FALSE)</f>
        <v>8483.6331641599954</v>
      </c>
      <c r="P16" s="112"/>
    </row>
    <row r="17" spans="1:27" s="16" customFormat="1" ht="11.25" x14ac:dyDescent="0.2">
      <c r="A17" s="17">
        <f t="shared" si="3"/>
        <v>43100</v>
      </c>
      <c r="B17" s="164">
        <v>4901</v>
      </c>
      <c r="C17" s="14"/>
      <c r="D17" s="114">
        <f>VLOOKUP(A17,Value!$A$6:$O$17,15,)</f>
        <v>3185.7685319249977</v>
      </c>
      <c r="E17" s="14"/>
      <c r="F17" s="16">
        <f t="shared" si="0"/>
        <v>0.65</v>
      </c>
      <c r="G17" s="23"/>
      <c r="H17" s="14"/>
      <c r="I17" s="14"/>
      <c r="J17" s="14">
        <f t="shared" si="1"/>
        <v>4901</v>
      </c>
      <c r="K17" s="13">
        <f t="shared" si="2"/>
        <v>2017</v>
      </c>
      <c r="O17" s="142">
        <f>VLOOKUP(A17,Value!$A$6:$O$17,13,FALSE)</f>
        <v>6371.5370638499953</v>
      </c>
      <c r="P17" s="112"/>
    </row>
    <row r="18" spans="1:27" s="16" customFormat="1" ht="11.25" x14ac:dyDescent="0.2">
      <c r="A18" s="17">
        <f>EOMONTH(A17,1)</f>
        <v>43131</v>
      </c>
      <c r="B18" s="164">
        <v>4910</v>
      </c>
      <c r="C18" s="14"/>
      <c r="D18" s="114">
        <f>VLOOKUP(A18,Value!$A$6:$O$17,15,)</f>
        <v>3009.7202376399987</v>
      </c>
      <c r="E18" s="14"/>
      <c r="F18" s="16">
        <f>ROUND(D18/B18,2)</f>
        <v>0.61</v>
      </c>
      <c r="G18" s="23"/>
      <c r="H18" s="14"/>
      <c r="I18" s="14"/>
      <c r="J18" s="14">
        <f>+B18</f>
        <v>4910</v>
      </c>
      <c r="K18" s="13">
        <f>YEAR(A18)</f>
        <v>2018</v>
      </c>
      <c r="O18" s="142">
        <f>VLOOKUP(A18,Value!$A$6:$O$17,13,FALSE)</f>
        <v>6019.4404752799974</v>
      </c>
      <c r="P18" s="112"/>
      <c r="X18" s="14"/>
      <c r="Y18" s="14"/>
    </row>
    <row r="19" spans="1:27" s="16" customFormat="1" ht="11.25" x14ac:dyDescent="0.2">
      <c r="A19" s="17">
        <f>EOMONTH(A18,1)</f>
        <v>43159</v>
      </c>
      <c r="B19" s="164">
        <v>4895</v>
      </c>
      <c r="C19" s="14"/>
      <c r="D19" s="114">
        <f>VLOOKUP(A19,Value!$A$6:$O$17,15,)</f>
        <v>202.9080420599991</v>
      </c>
      <c r="E19" s="14"/>
      <c r="F19" s="16">
        <f>ROUND(D19/B19,2)</f>
        <v>0.04</v>
      </c>
      <c r="G19" s="23"/>
      <c r="H19" s="14"/>
      <c r="I19" s="14"/>
      <c r="J19" s="14">
        <f>+B19</f>
        <v>4895</v>
      </c>
      <c r="K19" s="13">
        <f>YEAR(A19)</f>
        <v>2018</v>
      </c>
      <c r="L19" s="14"/>
      <c r="M19" s="14"/>
      <c r="N19" s="14"/>
      <c r="O19" s="142">
        <f>VLOOKUP(A19,Value!$A$6:$O$17,13,FALSE)</f>
        <v>405.81608411999821</v>
      </c>
      <c r="P19" s="35"/>
      <c r="Q19" s="14"/>
      <c r="R19" s="14"/>
      <c r="S19" s="14"/>
      <c r="T19" s="14"/>
      <c r="U19" s="14"/>
      <c r="V19" s="14"/>
      <c r="W19" s="14"/>
      <c r="Y19" s="14"/>
      <c r="AA19" s="14"/>
    </row>
    <row r="20" spans="1:27" s="16" customFormat="1" ht="11.25" x14ac:dyDescent="0.2">
      <c r="A20" s="17">
        <f>EOMONTH(A19,1)</f>
        <v>43190</v>
      </c>
      <c r="B20" s="164">
        <v>4924</v>
      </c>
      <c r="C20" s="14"/>
      <c r="D20" s="114">
        <f>VLOOKUP(A20,Value!$A$6:$O$17,15,)</f>
        <v>289.63817409999865</v>
      </c>
      <c r="E20" s="14"/>
      <c r="F20" s="16">
        <f>ROUND(D20/B20,2)</f>
        <v>0.06</v>
      </c>
      <c r="G20" s="23"/>
      <c r="H20" s="20"/>
      <c r="I20" s="14"/>
      <c r="J20" s="14">
        <f>+B20</f>
        <v>4924</v>
      </c>
      <c r="K20" s="13">
        <f>YEAR(A20)</f>
        <v>2018</v>
      </c>
      <c r="O20" s="142">
        <f>VLOOKUP(A20,Value!$A$6:$O$17,13,FALSE)</f>
        <v>579.2763481999973</v>
      </c>
      <c r="P20" s="112"/>
    </row>
    <row r="21" spans="1:27" s="16" customFormat="1" ht="11.25" x14ac:dyDescent="0.2">
      <c r="A21" s="17">
        <f>EOMONTH(A20,1)</f>
        <v>43220</v>
      </c>
      <c r="B21" s="164">
        <v>4903</v>
      </c>
      <c r="C21" s="14"/>
      <c r="D21" s="114">
        <f>VLOOKUP(A21,Value!$A$6:$O$17,15,)</f>
        <v>293.94456569999852</v>
      </c>
      <c r="E21" s="14"/>
      <c r="F21" s="16">
        <f>ROUND(D21/B21,2)</f>
        <v>0.06</v>
      </c>
      <c r="G21" s="23"/>
      <c r="H21" s="20"/>
      <c r="I21" s="14"/>
      <c r="J21" s="14">
        <f>+B21</f>
        <v>4903</v>
      </c>
      <c r="K21" s="13">
        <f>YEAR(A21)</f>
        <v>2018</v>
      </c>
      <c r="O21" s="142">
        <f>VLOOKUP(A21,Value!$A$6:$O$17,13,FALSE)</f>
        <v>587.88913139999704</v>
      </c>
      <c r="P21" s="112"/>
    </row>
    <row r="22" spans="1:27" s="16" customFormat="1" ht="11.25" x14ac:dyDescent="0.2">
      <c r="A22" s="17"/>
      <c r="B22" s="14"/>
      <c r="C22" s="14"/>
      <c r="E22" s="14"/>
      <c r="G22" s="14"/>
      <c r="H22" s="14"/>
      <c r="I22" s="14"/>
      <c r="J22" s="14"/>
      <c r="K22" s="13"/>
      <c r="O22" s="143"/>
    </row>
    <row r="23" spans="1:27" s="16" customFormat="1" ht="11.25" x14ac:dyDescent="0.2">
      <c r="A23" s="17" t="s">
        <v>92</v>
      </c>
      <c r="B23" s="21">
        <f>SUM(B12:B22)</f>
        <v>44065</v>
      </c>
      <c r="C23" s="20" t="s">
        <v>9</v>
      </c>
      <c r="D23" s="22">
        <f>SUM(D12:D22)</f>
        <v>21260.586859714993</v>
      </c>
      <c r="E23" s="14"/>
      <c r="G23" s="14"/>
      <c r="H23" s="14"/>
      <c r="I23" s="14"/>
      <c r="J23" s="14"/>
      <c r="K23" s="13"/>
      <c r="O23" s="143"/>
      <c r="P23" s="144" t="s">
        <v>85</v>
      </c>
    </row>
    <row r="24" spans="1:27" x14ac:dyDescent="0.2">
      <c r="D24" s="25"/>
      <c r="O24" s="143">
        <f>SUM(O8:O23)</f>
        <v>69569.430161139971</v>
      </c>
      <c r="P24" s="119"/>
    </row>
    <row r="25" spans="1:27" s="16" customFormat="1" ht="12" thickBot="1" x14ac:dyDescent="0.25">
      <c r="A25" s="26"/>
      <c r="B25" s="27">
        <f>+B11+B23</f>
        <v>58550</v>
      </c>
      <c r="C25" s="20"/>
      <c r="D25" s="28">
        <f>+D11+D23</f>
        <v>34784.715080569993</v>
      </c>
      <c r="E25" s="20" t="s">
        <v>10</v>
      </c>
      <c r="F25" s="23">
        <f>ROUND(D25/B25,3)</f>
        <v>0.59399999999999997</v>
      </c>
      <c r="H25" s="14"/>
      <c r="I25" s="14"/>
      <c r="J25" s="27">
        <f>SUM(J8:J24)</f>
        <v>58550</v>
      </c>
      <c r="K25" s="20" t="s">
        <v>12</v>
      </c>
      <c r="O25" s="145">
        <f>ROUND(O24/J25,3)</f>
        <v>1.1879999999999999</v>
      </c>
      <c r="P25" s="112" t="s">
        <v>86</v>
      </c>
    </row>
    <row r="26" spans="1:27" s="16" customFormat="1" ht="12" thickTop="1" x14ac:dyDescent="0.2">
      <c r="B26" s="14"/>
      <c r="C26" s="14"/>
      <c r="D26" s="14"/>
      <c r="E26" s="14"/>
      <c r="F26" s="14"/>
      <c r="G26" s="14"/>
      <c r="H26" s="14"/>
      <c r="I26" s="14"/>
      <c r="J26" s="14"/>
      <c r="K26" s="14"/>
      <c r="O26" s="146">
        <f>J21</f>
        <v>4903</v>
      </c>
      <c r="P26" s="112" t="s">
        <v>87</v>
      </c>
    </row>
    <row r="27" spans="1:27" s="16" customFormat="1" ht="11.25" x14ac:dyDescent="0.2">
      <c r="A27" s="16" t="s">
        <v>95</v>
      </c>
      <c r="B27" s="14"/>
      <c r="C27" s="14"/>
      <c r="D27" s="14"/>
      <c r="E27" s="14"/>
      <c r="F27" s="14"/>
      <c r="G27" s="14"/>
      <c r="H27" s="14"/>
      <c r="I27" s="14"/>
      <c r="J27" s="14"/>
      <c r="K27" s="14"/>
      <c r="O27" s="112"/>
      <c r="P27" s="112" t="s">
        <v>88</v>
      </c>
    </row>
    <row r="28" spans="1:27" s="16" customFormat="1" ht="11.25" x14ac:dyDescent="0.2">
      <c r="A28" s="16" t="s">
        <v>96</v>
      </c>
      <c r="B28" s="14">
        <f>SUM(B16:B21)</f>
        <v>29434</v>
      </c>
      <c r="C28" s="14"/>
      <c r="D28" s="14">
        <f>SUM(D16:D21)</f>
        <v>11223.796133504989</v>
      </c>
      <c r="E28" s="14"/>
      <c r="F28" s="23">
        <f>D28/B28</f>
        <v>0.3813207900219131</v>
      </c>
      <c r="G28" s="20" t="s">
        <v>11</v>
      </c>
      <c r="H28" s="14"/>
      <c r="I28" s="14"/>
      <c r="J28" s="14"/>
      <c r="K28" s="14"/>
      <c r="O28" s="112"/>
      <c r="P28" s="112"/>
    </row>
    <row r="29" spans="1:27" s="16" customFormat="1" ht="11.25" x14ac:dyDescent="0.2">
      <c r="B29" s="14"/>
      <c r="C29" s="14"/>
      <c r="D29" s="14"/>
      <c r="E29" s="14"/>
      <c r="F29" s="14"/>
      <c r="G29" s="14"/>
      <c r="H29" s="14"/>
      <c r="I29" s="14"/>
      <c r="J29" s="14"/>
      <c r="K29" s="14"/>
      <c r="O29" s="112"/>
      <c r="P29" s="112"/>
    </row>
    <row r="30" spans="1:27" s="16" customFormat="1" ht="11.25" x14ac:dyDescent="0.2">
      <c r="B30" s="14"/>
      <c r="C30" s="14"/>
      <c r="D30" s="14"/>
      <c r="E30" s="14"/>
      <c r="F30" s="14"/>
      <c r="G30" s="14"/>
      <c r="H30" s="14"/>
      <c r="I30" s="14"/>
      <c r="J30" s="14"/>
      <c r="K30" s="14"/>
      <c r="O30" s="112"/>
      <c r="P30" s="112"/>
    </row>
    <row r="31" spans="1:27" s="16" customFormat="1" ht="12" thickBot="1" x14ac:dyDescent="0.25">
      <c r="B31" s="29" t="s">
        <v>13</v>
      </c>
      <c r="C31" s="30"/>
      <c r="D31" s="30"/>
      <c r="E31" s="30"/>
      <c r="F31" s="14"/>
      <c r="G31" s="14"/>
      <c r="H31" s="14"/>
      <c r="I31" s="14"/>
      <c r="J31" s="14"/>
      <c r="K31" s="14"/>
    </row>
    <row r="32" spans="1:27" s="16" customFormat="1" ht="12" thickTop="1" x14ac:dyDescent="0.2">
      <c r="A32" s="6"/>
      <c r="B32" s="31"/>
      <c r="C32" s="14"/>
      <c r="D32" s="14"/>
      <c r="E32" s="14"/>
      <c r="F32" s="14"/>
      <c r="G32" s="14"/>
      <c r="H32" s="14"/>
      <c r="I32" s="14"/>
      <c r="J32" s="14"/>
      <c r="K32" s="14"/>
      <c r="X32" s="14"/>
      <c r="Y32" s="14"/>
    </row>
    <row r="33" spans="1:27" s="16" customFormat="1" ht="11.25" x14ac:dyDescent="0.2">
      <c r="A33" s="8"/>
      <c r="B33" s="31"/>
      <c r="C33" s="14"/>
      <c r="D33" s="14"/>
      <c r="E33" s="14"/>
      <c r="F33" s="32" t="s">
        <v>14</v>
      </c>
      <c r="G33" s="14">
        <f>ROUND(D25,0)</f>
        <v>34785</v>
      </c>
      <c r="H33" s="20" t="s">
        <v>10</v>
      </c>
      <c r="I33" s="14"/>
      <c r="J33" s="14"/>
      <c r="K33" s="14"/>
    </row>
    <row r="34" spans="1:27" s="13" customFormat="1" ht="11.25" x14ac:dyDescent="0.2">
      <c r="A34" s="33"/>
      <c r="B34" s="31"/>
      <c r="C34" s="14"/>
      <c r="D34" s="14"/>
      <c r="E34" s="14"/>
      <c r="F34" s="14"/>
      <c r="G34" s="14"/>
      <c r="H34" s="20"/>
      <c r="I34" s="14"/>
      <c r="J34" s="14"/>
      <c r="K34" s="14"/>
      <c r="O34" s="16">
        <f>12*O26*O25</f>
        <v>69897.167999999991</v>
      </c>
      <c r="P34" s="13" t="s">
        <v>89</v>
      </c>
      <c r="W34" s="14"/>
      <c r="X34" s="16"/>
      <c r="Y34" s="16"/>
      <c r="AA34" s="14"/>
    </row>
    <row r="35" spans="1:27" s="16" customFormat="1" ht="11.25" x14ac:dyDescent="0.2">
      <c r="B35" s="14" t="s">
        <v>15</v>
      </c>
      <c r="C35" s="14"/>
      <c r="D35" s="14"/>
      <c r="E35" s="14"/>
      <c r="F35" s="158">
        <v>0.73</v>
      </c>
      <c r="G35" s="14"/>
      <c r="H35" s="14"/>
      <c r="I35" s="14"/>
      <c r="J35" s="14"/>
      <c r="K35" s="14"/>
      <c r="O35" s="16">
        <f>12*O26*G58</f>
        <v>22435.390001729273</v>
      </c>
      <c r="P35" s="16" t="s">
        <v>90</v>
      </c>
    </row>
    <row r="36" spans="1:27" s="16" customFormat="1" ht="11.25" x14ac:dyDescent="0.2">
      <c r="B36" s="14"/>
      <c r="C36" s="14" t="str">
        <f>"Customers from "&amp;TEXT($A$8,"mm/yy")&amp;" - "&amp;TEXT($A$10,"mm/yy")</f>
        <v>Customers from 05/17 - 07/17</v>
      </c>
      <c r="D36" s="14"/>
      <c r="E36" s="14"/>
      <c r="F36" s="35">
        <f>+B11</f>
        <v>14485</v>
      </c>
      <c r="G36" s="20" t="s">
        <v>8</v>
      </c>
      <c r="H36" s="14"/>
      <c r="I36" s="14"/>
      <c r="J36" s="14"/>
      <c r="K36" s="14"/>
      <c r="O36" s="147">
        <f>+O35/O34</f>
        <v>0.3209770959780413</v>
      </c>
    </row>
    <row r="37" spans="1:27" s="16" customFormat="1" ht="11.25" x14ac:dyDescent="0.2">
      <c r="B37" s="14"/>
      <c r="C37" s="14" t="s">
        <v>16</v>
      </c>
      <c r="D37" s="14"/>
      <c r="E37" s="14"/>
      <c r="F37" s="21">
        <f>ROUND(F35*F36,0)</f>
        <v>10574</v>
      </c>
      <c r="G37" s="20"/>
      <c r="H37" s="14"/>
      <c r="I37" s="14"/>
      <c r="J37" s="14"/>
      <c r="K37" s="14"/>
    </row>
    <row r="38" spans="1:27" s="16" customFormat="1" ht="11.25" x14ac:dyDescent="0.2">
      <c r="B38" s="14"/>
      <c r="C38" s="14"/>
      <c r="D38" s="14"/>
      <c r="E38" s="14"/>
      <c r="F38" s="35"/>
      <c r="G38" s="20"/>
      <c r="H38" s="14"/>
      <c r="I38" s="14"/>
      <c r="J38" s="14"/>
      <c r="K38" s="14"/>
    </row>
    <row r="39" spans="1:27" s="16" customFormat="1" ht="11.25" x14ac:dyDescent="0.2">
      <c r="B39" s="14" t="s">
        <v>15</v>
      </c>
      <c r="C39" s="14"/>
      <c r="D39" s="14"/>
      <c r="E39" s="14"/>
      <c r="F39" s="158">
        <v>0.83899999999999997</v>
      </c>
      <c r="G39" s="14"/>
      <c r="H39" s="14"/>
      <c r="I39" s="14"/>
      <c r="J39" s="14"/>
      <c r="K39" s="14"/>
    </row>
    <row r="40" spans="1:27" s="16" customFormat="1" ht="11.25" x14ac:dyDescent="0.2">
      <c r="B40" s="14"/>
      <c r="C40" s="14" t="str">
        <f>"Customers from "&amp;TEXT($A$13,"mm/yy")&amp;" - "&amp;TEXT($A$21,"mm/yy")</f>
        <v>Customers from 08/17 - 04/18</v>
      </c>
      <c r="D40" s="14"/>
      <c r="E40" s="14"/>
      <c r="F40" s="14">
        <f>+B23</f>
        <v>44065</v>
      </c>
      <c r="G40" s="20" t="s">
        <v>9</v>
      </c>
      <c r="H40" s="14"/>
      <c r="I40" s="14"/>
      <c r="J40" s="14"/>
      <c r="K40" s="14"/>
    </row>
    <row r="41" spans="1:27" s="16" customFormat="1" ht="11.25" x14ac:dyDescent="0.2">
      <c r="B41" s="14"/>
      <c r="C41" s="14" t="s">
        <v>16</v>
      </c>
      <c r="D41" s="14"/>
      <c r="E41" s="14"/>
      <c r="F41" s="21">
        <f>ROUND(F39*F40,0)</f>
        <v>36971</v>
      </c>
      <c r="G41" s="20"/>
      <c r="H41" s="14"/>
      <c r="I41" s="14"/>
      <c r="J41" s="14"/>
      <c r="K41" s="14"/>
    </row>
    <row r="42" spans="1:27" s="16" customFormat="1" ht="11.25" x14ac:dyDescent="0.2">
      <c r="B42" s="14"/>
      <c r="C42" s="14"/>
      <c r="D42" s="14"/>
      <c r="E42" s="14"/>
      <c r="F42" s="36"/>
      <c r="G42" s="20"/>
      <c r="H42" s="14"/>
      <c r="I42" s="14"/>
      <c r="J42" s="14"/>
      <c r="K42" s="14"/>
    </row>
    <row r="43" spans="1:27" s="16" customFormat="1" ht="12" thickBot="1" x14ac:dyDescent="0.25">
      <c r="B43" s="14"/>
      <c r="C43" s="14" t="s">
        <v>17</v>
      </c>
      <c r="D43" s="14"/>
      <c r="E43" s="14"/>
      <c r="F43" s="27">
        <f>+F37+F41</f>
        <v>47545</v>
      </c>
      <c r="G43" s="37">
        <f>+F43</f>
        <v>47545</v>
      </c>
      <c r="H43" s="14"/>
      <c r="I43" s="14"/>
      <c r="J43" s="14"/>
      <c r="K43" s="14"/>
    </row>
    <row r="44" spans="1:27" s="16" customFormat="1" ht="12" thickTop="1" x14ac:dyDescent="0.2">
      <c r="B44" s="14"/>
      <c r="C44" s="14"/>
      <c r="D44" s="14"/>
      <c r="E44" s="14"/>
      <c r="F44" s="14"/>
      <c r="G44" s="14"/>
      <c r="H44" s="14"/>
      <c r="I44" s="14"/>
      <c r="J44" s="14"/>
      <c r="K44" s="14"/>
    </row>
    <row r="45" spans="1:27" s="16" customFormat="1" ht="11.25" x14ac:dyDescent="0.2">
      <c r="B45" s="14"/>
      <c r="C45" s="14"/>
      <c r="D45" s="14"/>
      <c r="E45" s="14"/>
      <c r="F45" s="14"/>
      <c r="G45" s="14"/>
      <c r="H45" s="14"/>
      <c r="I45" s="14"/>
      <c r="J45" s="14"/>
      <c r="K45" s="14"/>
    </row>
    <row r="46" spans="1:27" s="16" customFormat="1" ht="12" thickBot="1" x14ac:dyDescent="0.25">
      <c r="B46" s="14"/>
      <c r="C46" s="14"/>
      <c r="D46" s="14"/>
      <c r="E46" s="14"/>
      <c r="F46" s="32" t="s">
        <v>18</v>
      </c>
      <c r="G46" s="38">
        <f>+G33-G43</f>
        <v>-12760</v>
      </c>
      <c r="H46" s="14"/>
      <c r="I46" s="14"/>
      <c r="J46" s="14"/>
      <c r="K46" s="14"/>
    </row>
    <row r="47" spans="1:27" s="16" customFormat="1" ht="12" thickTop="1" x14ac:dyDescent="0.2">
      <c r="B47" s="14"/>
      <c r="C47" s="14"/>
      <c r="D47" s="14"/>
      <c r="E47" s="14"/>
      <c r="F47" s="14"/>
      <c r="G47" s="14"/>
      <c r="H47" s="14"/>
      <c r="I47" s="14"/>
      <c r="J47" s="14"/>
      <c r="K47" s="14"/>
      <c r="Y47" s="14"/>
    </row>
    <row r="48" spans="1:27" s="16" customFormat="1" ht="11.25" x14ac:dyDescent="0.2">
      <c r="B48" s="14"/>
      <c r="C48" s="14"/>
      <c r="D48" s="14"/>
      <c r="E48" s="14"/>
      <c r="F48" s="14"/>
      <c r="G48" s="14"/>
      <c r="H48" s="14"/>
      <c r="I48" s="14"/>
      <c r="J48" s="14"/>
      <c r="K48" s="14"/>
    </row>
    <row r="49" spans="2:27" s="16" customFormat="1" ht="12" thickBot="1" x14ac:dyDescent="0.25">
      <c r="B49" s="29" t="str">
        <f>$K$21+1&amp;" Recycle Adjustment Calculation"</f>
        <v>2019 Recycle Adjustment Calculation</v>
      </c>
      <c r="C49" s="30"/>
      <c r="D49" s="30"/>
      <c r="E49" s="30"/>
      <c r="F49" s="30"/>
      <c r="G49" s="14"/>
      <c r="H49" s="14"/>
      <c r="I49" s="14"/>
      <c r="J49" s="14"/>
      <c r="K49" s="14"/>
    </row>
    <row r="50" spans="2:27" s="16" customFormat="1" ht="12" thickTop="1" x14ac:dyDescent="0.2">
      <c r="B50" s="31"/>
      <c r="C50" s="14"/>
      <c r="D50" s="14"/>
      <c r="E50" s="14"/>
      <c r="F50" s="14"/>
      <c r="G50" s="14"/>
      <c r="H50" s="14"/>
      <c r="I50" s="14"/>
      <c r="J50" s="14"/>
      <c r="K50" s="14"/>
      <c r="L50" s="14"/>
      <c r="M50" s="14"/>
      <c r="N50" s="14"/>
      <c r="O50" s="14"/>
      <c r="P50" s="14"/>
      <c r="Q50" s="14"/>
      <c r="R50" s="14"/>
      <c r="S50" s="14"/>
      <c r="T50" s="14"/>
      <c r="U50" s="14"/>
      <c r="V50" s="14"/>
      <c r="W50" s="14"/>
      <c r="AA50" s="14"/>
    </row>
    <row r="51" spans="2:27" s="16" customFormat="1" ht="11.25" x14ac:dyDescent="0.2">
      <c r="B51" s="14" t="str">
        <f>$K$10&amp;"/"&amp;$K$21&amp;" True-up Computation"</f>
        <v>2017/2018 True-up Computation</v>
      </c>
      <c r="C51" s="14"/>
      <c r="D51" s="14"/>
      <c r="E51" s="14"/>
      <c r="F51" s="14"/>
      <c r="G51" s="14"/>
      <c r="H51" s="14"/>
      <c r="I51" s="14"/>
      <c r="J51" s="14"/>
      <c r="K51" s="14"/>
    </row>
    <row r="52" spans="2:27" s="16" customFormat="1" ht="11.25" x14ac:dyDescent="0.2">
      <c r="B52" s="14"/>
      <c r="C52" s="14"/>
      <c r="D52" s="14"/>
      <c r="E52" s="14"/>
      <c r="F52" s="32" t="s">
        <v>20</v>
      </c>
      <c r="G52" s="14">
        <f>+J25</f>
        <v>58550</v>
      </c>
      <c r="H52" s="20" t="s">
        <v>12</v>
      </c>
      <c r="I52" s="14"/>
      <c r="J52" s="14"/>
      <c r="K52" s="14"/>
    </row>
    <row r="53" spans="2:27" s="16" customFormat="1" ht="11.25" x14ac:dyDescent="0.2">
      <c r="B53" s="14"/>
      <c r="C53" s="14"/>
      <c r="D53" s="14"/>
      <c r="E53" s="14"/>
      <c r="F53" s="32" t="s">
        <v>18</v>
      </c>
      <c r="G53" s="14">
        <f>+G46</f>
        <v>-12760</v>
      </c>
      <c r="H53" s="14"/>
      <c r="I53" s="14"/>
      <c r="J53" s="14"/>
      <c r="K53" s="14"/>
    </row>
    <row r="54" spans="2:27" s="16" customFormat="1" ht="11.25" x14ac:dyDescent="0.2">
      <c r="B54" s="14"/>
      <c r="C54" s="14"/>
      <c r="D54" s="14"/>
      <c r="E54" s="14"/>
      <c r="F54" s="32"/>
      <c r="G54" s="14"/>
      <c r="H54" s="14"/>
      <c r="I54" s="14"/>
      <c r="J54" s="14"/>
      <c r="K54" s="14"/>
    </row>
    <row r="55" spans="2:27" s="16" customFormat="1" ht="12" thickBot="1" x14ac:dyDescent="0.25">
      <c r="B55" s="14"/>
      <c r="C55" s="14"/>
      <c r="D55" s="14"/>
      <c r="E55" s="14"/>
      <c r="F55" s="32" t="s">
        <v>97</v>
      </c>
      <c r="G55" s="39">
        <f>ROUND(G53/G52,3)</f>
        <v>-0.218</v>
      </c>
      <c r="H55" s="14"/>
      <c r="I55" s="23">
        <f>+G55</f>
        <v>-0.218</v>
      </c>
      <c r="J55" s="14"/>
      <c r="K55" s="14"/>
    </row>
    <row r="56" spans="2:27" s="16" customFormat="1" ht="12" thickTop="1" x14ac:dyDescent="0.2">
      <c r="B56" s="14"/>
      <c r="C56" s="14"/>
      <c r="D56" s="14"/>
      <c r="E56" s="14"/>
      <c r="F56" s="32"/>
      <c r="G56" s="14"/>
      <c r="H56" s="14"/>
      <c r="I56" s="23"/>
      <c r="J56" s="14"/>
      <c r="K56" s="14"/>
      <c r="N56" s="165" t="s">
        <v>93</v>
      </c>
      <c r="Y56" s="14"/>
    </row>
    <row r="57" spans="2:27" s="16" customFormat="1" ht="11.25" x14ac:dyDescent="0.2">
      <c r="B57" s="14" t="str">
        <f>$K$21+1&amp;" Projected Credit"</f>
        <v>2019 Projected Credit</v>
      </c>
      <c r="C57" s="14"/>
      <c r="D57" s="14"/>
      <c r="E57" s="14"/>
      <c r="F57" s="32"/>
      <c r="G57" s="14"/>
      <c r="H57" s="14"/>
      <c r="I57" s="23"/>
      <c r="J57" s="14"/>
      <c r="K57" s="14"/>
      <c r="N57" s="166">
        <f>+'[1]WUTC_AW of Kent_MF'!$O$56</f>
        <v>0.5</v>
      </c>
    </row>
    <row r="58" spans="2:27" s="16" customFormat="1" ht="12" thickBot="1" x14ac:dyDescent="0.25">
      <c r="B58" s="31"/>
      <c r="C58" s="14"/>
      <c r="D58" s="14"/>
      <c r="E58" s="14"/>
      <c r="F58" s="32" t="s">
        <v>78</v>
      </c>
      <c r="G58" s="167">
        <f>+F28/Value!P18*$N$57</f>
        <v>0.38132079002191299</v>
      </c>
      <c r="H58" s="14"/>
      <c r="I58" s="23">
        <f>+G58</f>
        <v>0.38132079002191299</v>
      </c>
      <c r="J58" s="20" t="s">
        <v>11</v>
      </c>
      <c r="K58" s="14"/>
    </row>
    <row r="59" spans="2:27" s="14" customFormat="1" ht="12" thickTop="1" x14ac:dyDescent="0.2">
      <c r="B59" s="31"/>
      <c r="I59" s="23"/>
      <c r="X59" s="16"/>
      <c r="Y59" s="16"/>
    </row>
    <row r="60" spans="2:27" s="16" customFormat="1" ht="12" thickBot="1" x14ac:dyDescent="0.25">
      <c r="B60" s="14"/>
      <c r="C60" s="14"/>
      <c r="D60" s="14"/>
      <c r="E60" s="14"/>
      <c r="F60" s="14"/>
      <c r="G60" s="32" t="str">
        <f>$K$21+1&amp;" Adjusted Credit"</f>
        <v>2019 Adjusted Credit</v>
      </c>
      <c r="H60" s="27"/>
      <c r="I60" s="39">
        <f>+I55+I58</f>
        <v>0.16332079002191299</v>
      </c>
      <c r="J60" s="14"/>
      <c r="K60" s="14"/>
    </row>
    <row r="61" spans="2:27" s="16" customFormat="1" ht="12" thickTop="1" x14ac:dyDescent="0.2">
      <c r="I61" s="23"/>
    </row>
    <row r="62" spans="2:27" s="16" customFormat="1" ht="11.25" x14ac:dyDescent="0.2"/>
    <row r="63" spans="2:27" s="16" customFormat="1" ht="11.25" x14ac:dyDescent="0.2"/>
    <row r="64" spans="2:27" s="16" customFormat="1" ht="11.25" x14ac:dyDescent="0.2"/>
    <row r="65" spans="1:27" s="16" customFormat="1" ht="11.25" x14ac:dyDescent="0.2">
      <c r="B65" s="16" t="s">
        <v>98</v>
      </c>
      <c r="G65" s="137" t="s">
        <v>82</v>
      </c>
      <c r="I65" s="157"/>
    </row>
    <row r="66" spans="1:27" s="16" customFormat="1" ht="11.25" x14ac:dyDescent="0.2">
      <c r="A66" s="112"/>
      <c r="B66" s="112"/>
      <c r="C66" s="112"/>
      <c r="D66" s="112"/>
      <c r="E66" s="112"/>
      <c r="F66" s="112"/>
    </row>
    <row r="67" spans="1:27" s="16" customFormat="1" ht="11.25" x14ac:dyDescent="0.2">
      <c r="A67" s="115"/>
      <c r="B67" s="35"/>
      <c r="C67" s="117"/>
      <c r="D67" s="112"/>
      <c r="E67" s="112"/>
      <c r="F67" s="112"/>
      <c r="G67" s="137" t="s">
        <v>83</v>
      </c>
      <c r="I67" s="156">
        <f>I65/(B16*12)</f>
        <v>0</v>
      </c>
    </row>
    <row r="68" spans="1:27" s="16" customFormat="1" ht="11.25" x14ac:dyDescent="0.2">
      <c r="A68" s="115"/>
      <c r="B68" s="35"/>
      <c r="C68" s="35"/>
      <c r="D68" s="112"/>
      <c r="E68" s="112"/>
      <c r="F68" s="112"/>
    </row>
    <row r="69" spans="1:27" s="16" customFormat="1" ht="12" thickBot="1" x14ac:dyDescent="0.25">
      <c r="A69" s="115"/>
      <c r="B69" s="116"/>
      <c r="C69" s="35"/>
      <c r="D69" s="112"/>
      <c r="E69" s="112"/>
      <c r="F69" s="112"/>
      <c r="G69" s="32" t="str">
        <f>$K$21+1&amp;" Net Credit/(Debit)"</f>
        <v>2019 Net Credit/(Debit)</v>
      </c>
      <c r="H69" s="27"/>
      <c r="I69" s="169">
        <f>+I60+I67</f>
        <v>0.16332079002191299</v>
      </c>
    </row>
    <row r="70" spans="1:27" s="16" customFormat="1" ht="12" thickTop="1" x14ac:dyDescent="0.2">
      <c r="A70" s="115"/>
      <c r="B70" s="116"/>
      <c r="C70" s="35"/>
      <c r="D70" s="112"/>
      <c r="E70" s="112"/>
      <c r="F70" s="112"/>
    </row>
    <row r="71" spans="1:27" s="16" customFormat="1" ht="11.25" x14ac:dyDescent="0.2">
      <c r="A71" s="115"/>
      <c r="B71" s="116"/>
      <c r="C71" s="35"/>
      <c r="D71" s="112"/>
      <c r="E71" s="112"/>
      <c r="F71" s="112"/>
    </row>
    <row r="72" spans="1:27" s="16" customFormat="1" ht="11.25" x14ac:dyDescent="0.2">
      <c r="A72" s="115"/>
      <c r="B72" s="116"/>
      <c r="C72" s="35"/>
      <c r="D72" s="112"/>
      <c r="E72" s="112"/>
      <c r="F72" s="112"/>
      <c r="Y72" s="14"/>
    </row>
    <row r="73" spans="1:27" s="16" customFormat="1" ht="11.25" x14ac:dyDescent="0.2">
      <c r="A73" s="115"/>
      <c r="B73" s="116"/>
      <c r="C73" s="35"/>
      <c r="D73" s="112"/>
      <c r="E73" s="112"/>
      <c r="F73" s="112"/>
    </row>
    <row r="74" spans="1:27" s="16" customFormat="1" ht="11.25" x14ac:dyDescent="0.2">
      <c r="A74" s="115"/>
      <c r="B74" s="116"/>
      <c r="C74" s="35"/>
      <c r="D74" s="112"/>
      <c r="E74" s="112"/>
      <c r="F74" s="112"/>
    </row>
    <row r="75" spans="1:27" s="16" customFormat="1" ht="11.25" x14ac:dyDescent="0.2">
      <c r="A75" s="115"/>
      <c r="B75" s="116"/>
      <c r="C75" s="35"/>
      <c r="D75" s="112"/>
      <c r="E75" s="112"/>
      <c r="F75" s="112"/>
    </row>
    <row r="76" spans="1:27" s="16" customFormat="1" ht="11.25" x14ac:dyDescent="0.2">
      <c r="A76" s="115"/>
      <c r="B76" s="116"/>
      <c r="C76" s="35"/>
      <c r="D76" s="112"/>
      <c r="E76" s="118"/>
      <c r="F76" s="112"/>
      <c r="G76" s="14"/>
      <c r="H76" s="13"/>
      <c r="I76" s="14"/>
      <c r="J76" s="14"/>
      <c r="K76" s="13"/>
      <c r="L76" s="14"/>
      <c r="M76" s="14"/>
      <c r="N76" s="14"/>
      <c r="O76" s="14"/>
      <c r="P76" s="14"/>
      <c r="Q76" s="14"/>
      <c r="R76" s="14"/>
      <c r="S76" s="14"/>
      <c r="T76" s="14"/>
      <c r="U76" s="14"/>
      <c r="V76" s="13"/>
      <c r="W76" s="14"/>
      <c r="AA76" s="14"/>
    </row>
    <row r="77" spans="1:27" s="16" customFormat="1" ht="11.25" x14ac:dyDescent="0.2">
      <c r="A77" s="115"/>
      <c r="B77" s="116"/>
      <c r="C77" s="35"/>
      <c r="D77" s="112"/>
      <c r="E77" s="112"/>
      <c r="F77" s="112"/>
    </row>
    <row r="78" spans="1:27" s="16" customFormat="1" ht="11.25" x14ac:dyDescent="0.2">
      <c r="A78" s="115"/>
      <c r="B78" s="35"/>
      <c r="C78" s="35"/>
      <c r="D78" s="112"/>
      <c r="E78" s="112"/>
      <c r="F78" s="112"/>
    </row>
    <row r="79" spans="1:27" s="16" customFormat="1" ht="11.25" x14ac:dyDescent="0.2">
      <c r="A79" s="115"/>
      <c r="B79" s="35"/>
      <c r="C79" s="117"/>
      <c r="D79" s="112"/>
      <c r="E79" s="112"/>
      <c r="F79" s="112"/>
    </row>
    <row r="80" spans="1:27" s="16" customFormat="1" x14ac:dyDescent="0.2">
      <c r="A80" s="119"/>
      <c r="B80" s="119"/>
      <c r="C80" s="119"/>
      <c r="D80" s="120"/>
      <c r="E80" s="112"/>
      <c r="F80" s="119"/>
    </row>
    <row r="81" spans="1:27" s="16" customFormat="1" ht="11.25" x14ac:dyDescent="0.2">
      <c r="A81" s="121"/>
      <c r="B81" s="35"/>
      <c r="C81" s="117"/>
      <c r="D81" s="112"/>
      <c r="E81" s="112"/>
      <c r="F81" s="122"/>
      <c r="Y81" s="14"/>
    </row>
    <row r="82" spans="1:27" s="16" customFormat="1" ht="11.25" x14ac:dyDescent="0.2"/>
    <row r="83" spans="1:27" s="16" customFormat="1" ht="11.25" x14ac:dyDescent="0.2"/>
    <row r="84" spans="1:27" s="16" customFormat="1" ht="11.25" x14ac:dyDescent="0.2"/>
    <row r="85" spans="1:27" s="16" customFormat="1" ht="11.25" x14ac:dyDescent="0.2">
      <c r="B85" s="8"/>
    </row>
    <row r="86" spans="1:27" s="14" customFormat="1" ht="11.25" x14ac:dyDescent="0.2">
      <c r="B86" s="31"/>
      <c r="X86" s="16"/>
      <c r="Y86" s="16"/>
    </row>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row r="93" spans="1:27" s="16" customFormat="1" ht="11.25" x14ac:dyDescent="0.2"/>
    <row r="94" spans="1:27" s="16" customFormat="1" ht="11.25" x14ac:dyDescent="0.2"/>
    <row r="95" spans="1:27" s="16" customFormat="1" ht="11.25" x14ac:dyDescent="0.2">
      <c r="A95" s="6"/>
    </row>
    <row r="96" spans="1:27" s="16" customFormat="1" x14ac:dyDescent="0.2">
      <c r="AA96" s="5"/>
    </row>
    <row r="97" spans="7:27" s="16" customFormat="1" x14ac:dyDescent="0.2">
      <c r="AA97" s="5"/>
    </row>
    <row r="98" spans="7:27" s="16" customFormat="1" x14ac:dyDescent="0.2">
      <c r="AA98" s="5"/>
    </row>
    <row r="99" spans="7:27" s="16" customFormat="1" x14ac:dyDescent="0.2">
      <c r="AA99" s="5"/>
    </row>
    <row r="100" spans="7:27" s="16" customFormat="1" x14ac:dyDescent="0.2">
      <c r="G100" s="56"/>
      <c r="I100" s="56"/>
      <c r="J100" s="56"/>
      <c r="L100" s="56"/>
      <c r="M100" s="56"/>
      <c r="N100" s="56"/>
      <c r="O100" s="56"/>
      <c r="P100" s="56"/>
      <c r="Q100" s="56"/>
      <c r="R100" s="56"/>
      <c r="S100" s="56"/>
      <c r="T100" s="56"/>
      <c r="U100" s="56"/>
      <c r="V100" s="56"/>
      <c r="W100" s="56"/>
      <c r="X100" s="56"/>
      <c r="Y100" s="56"/>
      <c r="AA100" s="5"/>
    </row>
    <row r="101" spans="7:27" s="16" customFormat="1" x14ac:dyDescent="0.2">
      <c r="AA101" s="5"/>
    </row>
    <row r="102" spans="7:27" s="16" customFormat="1" ht="13.5" thickBot="1" x14ac:dyDescent="0.25">
      <c r="G102" s="57"/>
      <c r="I102" s="57"/>
      <c r="J102" s="57"/>
      <c r="L102" s="57"/>
      <c r="M102" s="57"/>
      <c r="N102" s="57"/>
      <c r="O102" s="57"/>
      <c r="P102" s="57"/>
      <c r="Q102" s="57"/>
      <c r="R102" s="57"/>
      <c r="S102" s="57"/>
      <c r="T102" s="57"/>
      <c r="U102" s="57"/>
      <c r="V102" s="57"/>
      <c r="W102" s="57"/>
      <c r="X102" s="57"/>
      <c r="Y102" s="57"/>
      <c r="AA102" s="5"/>
    </row>
    <row r="103" spans="7:27" ht="13.5" thickTop="1" x14ac:dyDescent="0.2"/>
    <row r="104" spans="7:27" x14ac:dyDescent="0.2">
      <c r="W104" s="58"/>
      <c r="X104" s="58"/>
      <c r="Y104" s="58"/>
    </row>
    <row r="105" spans="7:27" x14ac:dyDescent="0.2">
      <c r="W105" s="58"/>
      <c r="AA105" s="58"/>
    </row>
  </sheetData>
  <phoneticPr fontId="0" type="noConversion"/>
  <printOptions horizontalCentered="1"/>
  <pageMargins left="0" right="0" top="0.52" bottom="0.44" header="0" footer="0"/>
  <pageSetup scale="56" orientation="portrait" horizontalDpi="1200" verticalDpi="1200" r:id="rId1"/>
  <headerFooter alignWithMargins="0">
    <oddFooter>&amp;R&amp;"Helv,Regular"&amp;6\\SERVER1\PUBLIC\EXCEL&amp;F,&amp;A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8"/>
  <sheetViews>
    <sheetView showGridLines="0" topLeftCell="E1" zoomScaleNormal="100" workbookViewId="0">
      <selection activeCell="L17" sqref="L17"/>
    </sheetView>
  </sheetViews>
  <sheetFormatPr defaultRowHeight="12.75" x14ac:dyDescent="0.2"/>
  <cols>
    <col min="1" max="1" width="8.140625" customWidth="1"/>
    <col min="2" max="2" width="2.140625" customWidth="1"/>
    <col min="3" max="13" width="11.7109375" customWidth="1"/>
    <col min="14" max="14" width="3" customWidth="1"/>
    <col min="15" max="15" width="11.7109375" style="72" customWidth="1"/>
    <col min="16" max="16" width="14.5703125" bestFit="1" customWidth="1"/>
  </cols>
  <sheetData>
    <row r="1" spans="1:17" x14ac:dyDescent="0.2">
      <c r="A1" s="59" t="s">
        <v>45</v>
      </c>
      <c r="B1" s="60"/>
    </row>
    <row r="2" spans="1:17" x14ac:dyDescent="0.2">
      <c r="A2" s="61" t="str">
        <f>'WUTC_AW of Kent (SeaTac)_SF'!A1</f>
        <v>Rabanco Ltd (dba Allied Waste of Kent)</v>
      </c>
      <c r="B2" s="61"/>
      <c r="O2" s="73"/>
    </row>
    <row r="3" spans="1:17" x14ac:dyDescent="0.2">
      <c r="A3" s="61"/>
      <c r="B3" s="61"/>
      <c r="O3" s="73"/>
    </row>
    <row r="4" spans="1:17" x14ac:dyDescent="0.2">
      <c r="A4" s="61"/>
      <c r="B4" s="61"/>
      <c r="O4" s="73" t="str">
        <f>+TEXT(P18,"00.0%")&amp;" of"</f>
        <v>50.0% of</v>
      </c>
    </row>
    <row r="5" spans="1:17" x14ac:dyDescent="0.2">
      <c r="B5" s="70"/>
      <c r="C5" s="63" t="s">
        <v>21</v>
      </c>
      <c r="D5" s="63" t="s">
        <v>22</v>
      </c>
      <c r="E5" s="63" t="s">
        <v>32</v>
      </c>
      <c r="F5" s="63" t="s">
        <v>23</v>
      </c>
      <c r="G5" s="63" t="s">
        <v>24</v>
      </c>
      <c r="H5" s="63" t="s">
        <v>25</v>
      </c>
      <c r="I5" s="63" t="s">
        <v>26</v>
      </c>
      <c r="J5" s="63" t="s">
        <v>27</v>
      </c>
      <c r="K5" s="63" t="s">
        <v>28</v>
      </c>
      <c r="L5" s="63" t="s">
        <v>29</v>
      </c>
      <c r="M5" s="63" t="s">
        <v>30</v>
      </c>
      <c r="O5" s="73" t="s">
        <v>30</v>
      </c>
      <c r="P5" s="63" t="s">
        <v>94</v>
      </c>
    </row>
    <row r="6" spans="1:17" ht="15.75" customHeight="1" x14ac:dyDescent="0.2">
      <c r="A6" s="65">
        <f>+Pricing!A6</f>
        <v>42856</v>
      </c>
      <c r="B6" s="66"/>
      <c r="C6" s="71">
        <f>'Commodity Tonnages'!C6*Pricing!C6</f>
        <v>1074.0619725000001</v>
      </c>
      <c r="D6" s="74">
        <f>'Commodity Tonnages'!D6*Pricing!D6</f>
        <v>-444.94262384000007</v>
      </c>
      <c r="E6" s="74">
        <f>'Commodity Tonnages'!E6*Pricing!E6</f>
        <v>0</v>
      </c>
      <c r="F6" s="74">
        <f>'Commodity Tonnages'!F6*Pricing!F6</f>
        <v>187.89174030000001</v>
      </c>
      <c r="G6" s="74">
        <f>'Commodity Tonnages'!G6*Pricing!G6</f>
        <v>2014.1850300000001</v>
      </c>
      <c r="H6" s="74">
        <f>'Commodity Tonnages'!H6*Pricing!H6</f>
        <v>3061.2657653599999</v>
      </c>
      <c r="I6" s="74">
        <f>'Commodity Tonnages'!I6*Pricing!I6</f>
        <v>328.51605391000004</v>
      </c>
      <c r="J6" s="74">
        <f>'Commodity Tonnages'!J6*Pricing!J6</f>
        <v>328.51605391000004</v>
      </c>
      <c r="K6" s="74">
        <f>'Commodity Tonnages'!K6*Pricing!K6</f>
        <v>3739.9408516800004</v>
      </c>
      <c r="L6" s="74">
        <f>'Commodity Tonnages'!L6*Pricing!L6</f>
        <v>-1262.4641596600029</v>
      </c>
      <c r="M6" s="129">
        <f>SUM(C6:L6)</f>
        <v>9026.9706841599964</v>
      </c>
      <c r="O6" s="154">
        <f>M6*P6</f>
        <v>4513.4853420799982</v>
      </c>
      <c r="P6" s="170">
        <v>0.5</v>
      </c>
      <c r="Q6" s="130"/>
    </row>
    <row r="7" spans="1:17" ht="15.75" customHeight="1" x14ac:dyDescent="0.2">
      <c r="A7" s="65">
        <f>+Pricing!A7</f>
        <v>42916</v>
      </c>
      <c r="B7" s="66"/>
      <c r="C7" s="71">
        <f>'Commodity Tonnages'!C7*Pricing!C7</f>
        <v>806.91826500000002</v>
      </c>
      <c r="D7" s="74">
        <f>'Commodity Tonnages'!D7*Pricing!D7</f>
        <v>-136.12185600000001</v>
      </c>
      <c r="E7" s="74">
        <f>'Commodity Tonnages'!E7*Pricing!E7</f>
        <v>0</v>
      </c>
      <c r="F7" s="74">
        <f>'Commodity Tonnages'!F7*Pricing!F7</f>
        <v>137.12034599999998</v>
      </c>
      <c r="G7" s="74">
        <f>'Commodity Tonnages'!G7*Pricing!G7</f>
        <v>1995.3800100000001</v>
      </c>
      <c r="H7" s="74">
        <f>'Commodity Tonnages'!H7*Pricing!H7</f>
        <v>3053.6451551999994</v>
      </c>
      <c r="I7" s="74">
        <f>'Commodity Tonnages'!I7*Pricing!I7</f>
        <v>190.67189099999999</v>
      </c>
      <c r="J7" s="74">
        <f>'Commodity Tonnages'!J7*Pricing!J7</f>
        <v>190.67189099999999</v>
      </c>
      <c r="K7" s="74">
        <f>'Commodity Tonnages'!K7*Pricing!K7</f>
        <v>3419.7036192</v>
      </c>
      <c r="L7" s="74">
        <f>'Commodity Tonnages'!L7*Pricing!L7</f>
        <v>-960.13679610000213</v>
      </c>
      <c r="M7" s="129">
        <f t="shared" ref="M7:M17" si="0">SUM(C7:L7)</f>
        <v>8697.8525252999971</v>
      </c>
      <c r="O7" s="154">
        <f t="shared" ref="O7:O17" si="1">M7*P7</f>
        <v>4348.9262626499985</v>
      </c>
      <c r="P7" s="170">
        <v>0.5</v>
      </c>
      <c r="Q7" s="130"/>
    </row>
    <row r="8" spans="1:17" ht="15.75" customHeight="1" x14ac:dyDescent="0.2">
      <c r="A8" s="65">
        <f>+Pricing!A8</f>
        <v>42947</v>
      </c>
      <c r="B8" s="66"/>
      <c r="C8" s="71">
        <f>'Commodity Tonnages'!C8*Pricing!C8</f>
        <v>764.32491749999997</v>
      </c>
      <c r="D8" s="74">
        <f>'Commodity Tonnages'!D8*Pricing!D8</f>
        <v>-136.72012952</v>
      </c>
      <c r="E8" s="74">
        <f>'Commodity Tonnages'!E8*Pricing!E8</f>
        <v>0</v>
      </c>
      <c r="F8" s="74">
        <f>'Commodity Tonnages'!F8*Pricing!F8</f>
        <v>130.54855604999997</v>
      </c>
      <c r="G8" s="74">
        <f>'Commodity Tonnages'!G8*Pricing!G8</f>
        <v>2248.4542080000001</v>
      </c>
      <c r="H8" s="74">
        <f>'Commodity Tonnages'!H8*Pricing!H8</f>
        <v>3517.7713740799991</v>
      </c>
      <c r="I8" s="74">
        <f>'Commodity Tonnages'!I8*Pricing!I8</f>
        <v>164.28291502499999</v>
      </c>
      <c r="J8" s="74">
        <f>'Commodity Tonnages'!J8*Pricing!J8</f>
        <v>164.28291502499999</v>
      </c>
      <c r="K8" s="74">
        <f>'Commodity Tonnages'!K8*Pricing!K8</f>
        <v>3404.2075432199995</v>
      </c>
      <c r="L8" s="74">
        <f>'Commodity Tonnages'!L8*Pricing!L8</f>
        <v>-933.71906713000203</v>
      </c>
      <c r="M8" s="129">
        <f t="shared" si="0"/>
        <v>9323.4332322499977</v>
      </c>
      <c r="O8" s="154">
        <f t="shared" si="1"/>
        <v>4661.7166161249988</v>
      </c>
      <c r="P8" s="170">
        <v>0.5</v>
      </c>
      <c r="Q8" s="130"/>
    </row>
    <row r="9" spans="1:17" ht="15.75" customHeight="1" x14ac:dyDescent="0.2">
      <c r="A9" s="65">
        <f>+Pricing!A9</f>
        <v>42978</v>
      </c>
      <c r="B9" s="66"/>
      <c r="C9" s="71">
        <f>'Commodity Tonnages'!C9*Pricing!C9</f>
        <v>804.29919000000007</v>
      </c>
      <c r="D9" s="74">
        <f>'Commodity Tonnages'!D9*Pricing!D9</f>
        <v>-90.888106399999998</v>
      </c>
      <c r="E9" s="74">
        <f>'Commodity Tonnages'!E9*Pricing!E9</f>
        <v>0</v>
      </c>
      <c r="F9" s="74">
        <f>'Commodity Tonnages'!F9*Pricing!F9</f>
        <v>152.66013674999999</v>
      </c>
      <c r="G9" s="74">
        <f>'Commodity Tonnages'!G9*Pricing!G9</f>
        <v>1885.4693325000001</v>
      </c>
      <c r="H9" s="74">
        <f>'Commodity Tonnages'!H9*Pricing!H9</f>
        <v>2943.0297840999997</v>
      </c>
      <c r="I9" s="74">
        <f>'Commodity Tonnages'!I9*Pricing!I9</f>
        <v>220.79358357500001</v>
      </c>
      <c r="J9" s="74">
        <f>'Commodity Tonnages'!J9*Pricing!J9</f>
        <v>220.79358357500001</v>
      </c>
      <c r="K9" s="74">
        <f>'Commodity Tonnages'!K9*Pricing!K9</f>
        <v>3076.0382367000002</v>
      </c>
      <c r="L9" s="74">
        <f>'Commodity Tonnages'!L9*Pricing!L9</f>
        <v>-945.37160015000211</v>
      </c>
      <c r="M9" s="129">
        <f t="shared" si="0"/>
        <v>8266.8241406500001</v>
      </c>
      <c r="O9" s="154">
        <f t="shared" si="1"/>
        <v>4133.4120703250001</v>
      </c>
      <c r="P9" s="170">
        <v>0.5</v>
      </c>
      <c r="Q9" s="130"/>
    </row>
    <row r="10" spans="1:17" ht="15.75" customHeight="1" x14ac:dyDescent="0.2">
      <c r="A10" s="65">
        <f>+Pricing!A10</f>
        <v>43008</v>
      </c>
      <c r="B10" s="66"/>
      <c r="C10" s="71">
        <f>'Commodity Tonnages'!C10*Pricing!C10</f>
        <v>786.45871649999992</v>
      </c>
      <c r="D10" s="74">
        <f>'Commodity Tonnages'!D10*Pricing!D10</f>
        <v>-109.12311696</v>
      </c>
      <c r="E10" s="74">
        <f>'Commodity Tonnages'!E10*Pricing!E10</f>
        <v>0</v>
      </c>
      <c r="F10" s="74">
        <f>'Commodity Tonnages'!F10*Pricing!F10</f>
        <v>157.08050490000002</v>
      </c>
      <c r="G10" s="74">
        <f>'Commodity Tonnages'!G10*Pricing!G10</f>
        <v>1352.0247780000002</v>
      </c>
      <c r="H10" s="74">
        <f>'Commodity Tonnages'!H10*Pricing!H10</f>
        <v>2048.1466225999998</v>
      </c>
      <c r="I10" s="74">
        <f>'Commodity Tonnages'!I10*Pricing!I10</f>
        <v>178.08332289999998</v>
      </c>
      <c r="J10" s="74">
        <f>'Commodity Tonnages'!J10*Pricing!J10</f>
        <v>178.08332289999998</v>
      </c>
      <c r="K10" s="74">
        <f>'Commodity Tonnages'!K10*Pricing!K10</f>
        <v>2169.94382352</v>
      </c>
      <c r="L10" s="74">
        <f>'Commodity Tonnages'!L10*Pricing!L10</f>
        <v>-878.09019374000195</v>
      </c>
      <c r="M10" s="129">
        <f t="shared" si="0"/>
        <v>5882.6077806199983</v>
      </c>
      <c r="O10" s="154">
        <f t="shared" si="1"/>
        <v>2941.3038903099991</v>
      </c>
      <c r="P10" s="170">
        <v>0.5</v>
      </c>
      <c r="Q10" s="130"/>
    </row>
    <row r="11" spans="1:17" ht="15.75" customHeight="1" x14ac:dyDescent="0.2">
      <c r="A11" s="65">
        <f>+Pricing!A11</f>
        <v>43039</v>
      </c>
      <c r="B11" s="66"/>
      <c r="C11" s="71">
        <f>'Commodity Tonnages'!C11*Pricing!C11</f>
        <v>960.82610475000001</v>
      </c>
      <c r="D11" s="74">
        <f>'Commodity Tonnages'!D11*Pricing!D11</f>
        <v>-202.77747151999998</v>
      </c>
      <c r="E11" s="74">
        <f>'Commodity Tonnages'!E11*Pricing!E11</f>
        <v>0</v>
      </c>
      <c r="F11" s="74">
        <f>'Commodity Tonnages'!F11*Pricing!F11</f>
        <v>163.93934369999999</v>
      </c>
      <c r="G11" s="74">
        <f>'Commodity Tonnages'!G11*Pricing!G11</f>
        <v>1536.7770405000001</v>
      </c>
      <c r="H11" s="74">
        <f>'Commodity Tonnages'!H11*Pricing!H11</f>
        <v>2321.2684514799998</v>
      </c>
      <c r="I11" s="74">
        <f>'Commodity Tonnages'!I11*Pricing!I11</f>
        <v>141.61735461500001</v>
      </c>
      <c r="J11" s="74">
        <f>'Commodity Tonnages'!J11*Pricing!J11</f>
        <v>141.61735461500001</v>
      </c>
      <c r="K11" s="74">
        <f>'Commodity Tonnages'!K11*Pricing!K11</f>
        <v>1903.4638108199997</v>
      </c>
      <c r="L11" s="74">
        <f>'Commodity Tonnages'!L11*Pricing!L11</f>
        <v>-1042.5824578100023</v>
      </c>
      <c r="M11" s="129">
        <f t="shared" si="0"/>
        <v>5924.1495311499984</v>
      </c>
      <c r="O11" s="154">
        <f t="shared" si="1"/>
        <v>2962.0747655749992</v>
      </c>
      <c r="P11" s="170">
        <v>0.5</v>
      </c>
      <c r="Q11" s="130"/>
    </row>
    <row r="12" spans="1:17" ht="15.75" customHeight="1" x14ac:dyDescent="0.2">
      <c r="A12" s="65">
        <f>+Pricing!A12</f>
        <v>43069</v>
      </c>
      <c r="B12" s="66"/>
      <c r="C12" s="71">
        <f>'Commodity Tonnages'!C12*Pricing!C12</f>
        <v>1175.1741869999998</v>
      </c>
      <c r="D12" s="74">
        <f>'Commodity Tonnages'!D12*Pricing!D12</f>
        <v>-71.562027679999986</v>
      </c>
      <c r="E12" s="74">
        <f>'Commodity Tonnages'!E12*Pricing!E12</f>
        <v>0</v>
      </c>
      <c r="F12" s="74">
        <f>'Commodity Tonnages'!F12*Pricing!F12</f>
        <v>207.75448319999998</v>
      </c>
      <c r="G12" s="74">
        <f>'Commodity Tonnages'!G12*Pricing!G12</f>
        <v>2073.215001</v>
      </c>
      <c r="H12" s="74">
        <f>'Commodity Tonnages'!H12*Pricing!H12</f>
        <v>2742.5697837999996</v>
      </c>
      <c r="I12" s="74">
        <f>'Commodity Tonnages'!I12*Pricing!I12</f>
        <v>181.19536434999998</v>
      </c>
      <c r="J12" s="74">
        <f>'Commodity Tonnages'!J12*Pricing!J12</f>
        <v>181.19536434999998</v>
      </c>
      <c r="K12" s="74">
        <f>'Commodity Tonnages'!K12*Pricing!K12</f>
        <v>3281.1372237599999</v>
      </c>
      <c r="L12" s="74">
        <f>'Commodity Tonnages'!L12*Pricing!L12</f>
        <v>-1287.0462156200026</v>
      </c>
      <c r="M12" s="129">
        <f t="shared" si="0"/>
        <v>8483.6331641599954</v>
      </c>
      <c r="O12" s="154">
        <f t="shared" si="1"/>
        <v>4241.8165820799977</v>
      </c>
      <c r="P12" s="170">
        <v>0.5</v>
      </c>
      <c r="Q12" s="130"/>
    </row>
    <row r="13" spans="1:17" ht="15.75" customHeight="1" x14ac:dyDescent="0.2">
      <c r="A13" s="65">
        <f>+Pricing!A13</f>
        <v>43100</v>
      </c>
      <c r="B13" s="66"/>
      <c r="C13" s="71">
        <f>'Commodity Tonnages'!C13*Pricing!C13</f>
        <v>947.93097</v>
      </c>
      <c r="D13" s="74">
        <f>'Commodity Tonnages'!D13*Pricing!D13</f>
        <v>-217.17776080000002</v>
      </c>
      <c r="E13" s="74">
        <f>'Commodity Tonnages'!E13*Pricing!E13</f>
        <v>0</v>
      </c>
      <c r="F13" s="74">
        <f>'Commodity Tonnages'!F13*Pricing!F13</f>
        <v>189.84914025</v>
      </c>
      <c r="G13" s="74">
        <f>'Commodity Tonnages'!G13*Pricing!G13</f>
        <v>1612.6785674999999</v>
      </c>
      <c r="H13" s="74">
        <f>'Commodity Tonnages'!H13*Pricing!H13</f>
        <v>2084.2722123999997</v>
      </c>
      <c r="I13" s="74">
        <f>'Commodity Tonnages'!I13*Pricing!I13</f>
        <v>150.624896275</v>
      </c>
      <c r="J13" s="74">
        <f>'Commodity Tonnages'!J13*Pricing!J13</f>
        <v>150.624896275</v>
      </c>
      <c r="K13" s="74">
        <f>'Commodity Tonnages'!K13*Pricing!K13</f>
        <v>2489.0912739</v>
      </c>
      <c r="L13" s="74">
        <f>'Commodity Tonnages'!L13*Pricing!L13</f>
        <v>-1036.3571319500022</v>
      </c>
      <c r="M13" s="129">
        <f t="shared" si="0"/>
        <v>6371.5370638499953</v>
      </c>
      <c r="O13" s="154">
        <f t="shared" si="1"/>
        <v>3185.7685319249977</v>
      </c>
      <c r="P13" s="170">
        <v>0.5</v>
      </c>
      <c r="Q13" s="130"/>
    </row>
    <row r="14" spans="1:17" ht="15.75" customHeight="1" x14ac:dyDescent="0.2">
      <c r="A14" s="65">
        <f>+Pricing!A14</f>
        <v>43131</v>
      </c>
      <c r="B14" s="66"/>
      <c r="C14" s="71">
        <f>'Commodity Tonnages'!C14*Pricing!C14</f>
        <v>1105.6100279999998</v>
      </c>
      <c r="D14" s="74">
        <f>'Commodity Tonnages'!D14*Pricing!D14</f>
        <v>-256.76480128000003</v>
      </c>
      <c r="E14" s="74">
        <f>'Commodity Tonnages'!E14*Pricing!E14</f>
        <v>0</v>
      </c>
      <c r="F14" s="74">
        <f>'Commodity Tonnages'!F14*Pricing!F14</f>
        <v>247.21519680000003</v>
      </c>
      <c r="G14" s="74">
        <f>'Commodity Tonnages'!G14*Pricing!G14</f>
        <v>1129.3807200000001</v>
      </c>
      <c r="H14" s="74">
        <f>'Commodity Tonnages'!H14*Pricing!H14</f>
        <v>1881.0942571200001</v>
      </c>
      <c r="I14" s="74">
        <f>'Commodity Tonnages'!I14*Pricing!I14</f>
        <v>174.58441856000002</v>
      </c>
      <c r="J14" s="74">
        <f>'Commodity Tonnages'!J14*Pricing!J14</f>
        <v>174.58441856000002</v>
      </c>
      <c r="K14" s="74">
        <f>'Commodity Tonnages'!K14*Pricing!K14</f>
        <v>2725.1585697600003</v>
      </c>
      <c r="L14" s="74">
        <f>'Commodity Tonnages'!L14*Pricing!L14</f>
        <v>-1161.4223322400028</v>
      </c>
      <c r="M14" s="129">
        <f t="shared" si="0"/>
        <v>6019.4404752799974</v>
      </c>
      <c r="O14" s="154">
        <f t="shared" si="1"/>
        <v>3009.7202376399987</v>
      </c>
      <c r="P14" s="170">
        <v>0.5</v>
      </c>
      <c r="Q14" s="130"/>
    </row>
    <row r="15" spans="1:17" ht="15.75" customHeight="1" x14ac:dyDescent="0.2">
      <c r="A15" s="65">
        <f>+Pricing!A15</f>
        <v>43159</v>
      </c>
      <c r="B15" s="66"/>
      <c r="C15" s="71">
        <f>'Commodity Tonnages'!C15*Pricing!C15</f>
        <v>750.92558099999997</v>
      </c>
      <c r="D15" s="74">
        <f>'Commodity Tonnages'!D15*Pricing!D15</f>
        <v>-143.48614175999998</v>
      </c>
      <c r="E15" s="74">
        <f>'Commodity Tonnages'!E15*Pricing!E15</f>
        <v>0</v>
      </c>
      <c r="F15" s="74">
        <f>'Commodity Tonnages'!F15*Pricing!F15</f>
        <v>155.00744159999999</v>
      </c>
      <c r="G15" s="74">
        <f>'Commodity Tonnages'!G15*Pricing!G15</f>
        <v>-358.201662</v>
      </c>
      <c r="H15" s="74">
        <f>'Commodity Tonnages'!H15*Pricing!H15</f>
        <v>-711.11016455999982</v>
      </c>
      <c r="I15" s="74">
        <f>'Commodity Tonnages'!I15*Pricing!I15</f>
        <v>194.09451922</v>
      </c>
      <c r="J15" s="74">
        <f>'Commodity Tonnages'!J15*Pricing!J15</f>
        <v>194.09451922</v>
      </c>
      <c r="K15" s="74">
        <f>'Commodity Tonnages'!K15*Pricing!K15</f>
        <v>1133.1458582399998</v>
      </c>
      <c r="L15" s="74">
        <f>'Commodity Tonnages'!L15*Pricing!L15</f>
        <v>-808.6538668400018</v>
      </c>
      <c r="M15" s="129">
        <f t="shared" si="0"/>
        <v>405.81608411999821</v>
      </c>
      <c r="O15" s="154">
        <f t="shared" si="1"/>
        <v>202.9080420599991</v>
      </c>
      <c r="P15" s="170">
        <v>0.5</v>
      </c>
      <c r="Q15" s="130"/>
    </row>
    <row r="16" spans="1:17" ht="15.75" customHeight="1" x14ac:dyDescent="0.2">
      <c r="A16" s="65">
        <f>+Pricing!A16</f>
        <v>43190</v>
      </c>
      <c r="B16" s="66"/>
      <c r="C16" s="71">
        <f>'Commodity Tonnages'!C16*Pricing!C16</f>
        <v>987.64020449999987</v>
      </c>
      <c r="D16" s="74">
        <f>'Commodity Tonnages'!D16*Pricing!D16</f>
        <v>-214.27099200000001</v>
      </c>
      <c r="E16" s="74">
        <f>'Commodity Tonnages'!E16*Pricing!E16</f>
        <v>0</v>
      </c>
      <c r="F16" s="74">
        <f>'Commodity Tonnages'!F16*Pricing!F16</f>
        <v>237.07566300000002</v>
      </c>
      <c r="G16" s="74">
        <f>'Commodity Tonnages'!G16*Pricing!G16</f>
        <v>-426.17870100000005</v>
      </c>
      <c r="H16" s="74">
        <f>'Commodity Tonnages'!H16*Pricing!H16</f>
        <v>-926.90544732000001</v>
      </c>
      <c r="I16" s="74">
        <f>'Commodity Tonnages'!I16*Pricing!I16</f>
        <v>318.15283307999999</v>
      </c>
      <c r="J16" s="74">
        <f>'Commodity Tonnages'!J16*Pricing!J16</f>
        <v>318.15283307999999</v>
      </c>
      <c r="K16" s="74">
        <f>'Commodity Tonnages'!K16*Pricing!K16</f>
        <v>1360.3565962799998</v>
      </c>
      <c r="L16" s="74">
        <f>'Commodity Tonnages'!L16*Pricing!L16</f>
        <v>-1074.7466414200023</v>
      </c>
      <c r="M16" s="129">
        <f t="shared" si="0"/>
        <v>579.2763481999973</v>
      </c>
      <c r="O16" s="154">
        <f t="shared" si="1"/>
        <v>289.63817409999865</v>
      </c>
      <c r="P16" s="170">
        <v>0.5</v>
      </c>
      <c r="Q16" s="130"/>
    </row>
    <row r="17" spans="1:17" ht="15.75" customHeight="1" x14ac:dyDescent="0.2">
      <c r="A17" s="65">
        <f>+Pricing!A17</f>
        <v>43220</v>
      </c>
      <c r="B17" s="66"/>
      <c r="C17" s="71">
        <f>'Commodity Tonnages'!C17*Pricing!C17</f>
        <v>1115.8309575000001</v>
      </c>
      <c r="D17" s="74">
        <f>'Commodity Tonnages'!D17*Pricing!D17</f>
        <v>-271.84219920000004</v>
      </c>
      <c r="E17" s="74">
        <f>'Commodity Tonnages'!E17*Pricing!E17</f>
        <v>0</v>
      </c>
      <c r="F17" s="74">
        <f>'Commodity Tonnages'!F17*Pricing!F17</f>
        <v>271.57932450000004</v>
      </c>
      <c r="G17" s="74">
        <f>'Commodity Tonnages'!G17*Pricing!G17</f>
        <v>0</v>
      </c>
      <c r="H17" s="74">
        <f>'Commodity Tonnages'!H17*Pricing!H17</f>
        <v>-1599.3290736000001</v>
      </c>
      <c r="I17" s="74">
        <f>'Commodity Tonnages'!I17*Pricing!I17</f>
        <v>364.11369885000005</v>
      </c>
      <c r="J17" s="74">
        <f>'Commodity Tonnages'!J17*Pricing!J17</f>
        <v>364.11369885000005</v>
      </c>
      <c r="K17" s="74">
        <f>'Commodity Tonnages'!K17*Pricing!K17</f>
        <v>1542.9951306</v>
      </c>
      <c r="L17" s="74">
        <f>'Commodity Tonnages'!L17*Pricing!L17</f>
        <v>-1199.5724061000028</v>
      </c>
      <c r="M17" s="129">
        <f t="shared" si="0"/>
        <v>587.88913139999704</v>
      </c>
      <c r="O17" s="154">
        <f t="shared" si="1"/>
        <v>293.94456569999852</v>
      </c>
      <c r="P17" s="170">
        <v>0.5</v>
      </c>
      <c r="Q17" s="130"/>
    </row>
    <row r="18" spans="1:17" ht="15.75" customHeight="1" x14ac:dyDescent="0.2">
      <c r="A18" s="69" t="s">
        <v>31</v>
      </c>
      <c r="B18" s="66"/>
      <c r="C18" s="131">
        <f t="shared" ref="C18:L18" si="2">SUM(C6:C17)</f>
        <v>11280.001094249999</v>
      </c>
      <c r="D18" s="132">
        <f t="shared" si="2"/>
        <v>-2295.6772269600001</v>
      </c>
      <c r="E18" s="132">
        <f t="shared" si="2"/>
        <v>0</v>
      </c>
      <c r="F18" s="131">
        <f t="shared" si="2"/>
        <v>2237.7218770499999</v>
      </c>
      <c r="G18" s="131">
        <f t="shared" si="2"/>
        <v>15063.184324500002</v>
      </c>
      <c r="H18" s="131">
        <f t="shared" si="2"/>
        <v>20415.718720659996</v>
      </c>
      <c r="I18" s="131">
        <f t="shared" si="2"/>
        <v>2606.7308513600001</v>
      </c>
      <c r="J18" s="131">
        <f t="shared" si="2"/>
        <v>2606.7308513600001</v>
      </c>
      <c r="K18" s="131">
        <f t="shared" si="2"/>
        <v>30245.182537680004</v>
      </c>
      <c r="L18" s="132">
        <f t="shared" si="2"/>
        <v>-12590.162868760031</v>
      </c>
      <c r="M18" s="133">
        <f>SUM(C18:L18)</f>
        <v>69569.430161139957</v>
      </c>
      <c r="O18" s="153">
        <f>SUM(O6:O17)</f>
        <v>34784.715080569986</v>
      </c>
      <c r="P18" s="138">
        <f>+O18/M18</f>
        <v>0.50000000000000011</v>
      </c>
    </row>
    <row r="19" spans="1:17" x14ac:dyDescent="0.2">
      <c r="A19" s="66"/>
      <c r="B19" s="66"/>
      <c r="C19" s="71"/>
      <c r="D19" s="71"/>
      <c r="E19" s="71"/>
      <c r="F19" s="71"/>
      <c r="G19" s="71"/>
      <c r="H19" s="71"/>
      <c r="I19" s="71"/>
      <c r="J19" s="71"/>
      <c r="K19" s="71"/>
      <c r="L19" s="71"/>
      <c r="M19" s="71"/>
      <c r="O19" s="80"/>
    </row>
    <row r="20" spans="1:17" x14ac:dyDescent="0.2">
      <c r="A20" s="66"/>
      <c r="B20" s="66"/>
      <c r="C20" s="66"/>
      <c r="D20" s="66"/>
      <c r="E20" s="66"/>
      <c r="F20" s="66"/>
      <c r="G20" s="66"/>
      <c r="H20" s="66"/>
      <c r="I20" s="66"/>
      <c r="J20" s="66"/>
      <c r="K20" s="66"/>
      <c r="L20" s="66"/>
      <c r="M20" s="67"/>
      <c r="O20" s="81"/>
    </row>
    <row r="21" spans="1:17" x14ac:dyDescent="0.2">
      <c r="A21" s="66"/>
      <c r="B21" s="66"/>
      <c r="C21" s="66"/>
      <c r="D21" s="66"/>
      <c r="E21" s="66"/>
      <c r="F21" s="66"/>
      <c r="G21" s="66"/>
      <c r="H21" s="66"/>
      <c r="I21" s="66"/>
      <c r="J21" s="66"/>
      <c r="K21" s="66"/>
      <c r="L21" s="66"/>
      <c r="M21" s="67"/>
      <c r="O21" s="82"/>
    </row>
    <row r="22" spans="1:17" x14ac:dyDescent="0.2">
      <c r="A22" s="66"/>
      <c r="B22" s="66"/>
      <c r="C22" s="66"/>
      <c r="D22" s="66"/>
      <c r="E22" s="66"/>
      <c r="F22" s="66"/>
      <c r="G22" s="66"/>
      <c r="H22" s="66"/>
      <c r="I22" s="66"/>
      <c r="J22" s="66"/>
      <c r="K22" s="66"/>
      <c r="L22" s="66"/>
      <c r="M22" s="67"/>
    </row>
    <row r="23" spans="1:17" x14ac:dyDescent="0.2">
      <c r="A23" s="66"/>
      <c r="B23" s="66"/>
      <c r="C23" s="66"/>
      <c r="D23" s="66"/>
      <c r="E23" s="66"/>
      <c r="F23" s="66"/>
      <c r="G23" s="66"/>
      <c r="H23" s="66"/>
      <c r="I23" s="66"/>
      <c r="J23" s="66"/>
      <c r="K23" s="66"/>
      <c r="L23" s="66"/>
      <c r="M23" s="67"/>
    </row>
    <row r="24" spans="1:17" x14ac:dyDescent="0.2">
      <c r="A24" s="66"/>
      <c r="B24" s="66"/>
      <c r="C24" s="66"/>
      <c r="D24" s="66"/>
      <c r="E24" s="66"/>
      <c r="F24" s="66"/>
      <c r="G24" s="66"/>
      <c r="H24" s="66"/>
      <c r="I24" s="66"/>
      <c r="J24" s="66"/>
      <c r="K24" s="66"/>
      <c r="L24" s="66"/>
      <c r="M24" s="67"/>
    </row>
    <row r="25" spans="1:17" x14ac:dyDescent="0.2">
      <c r="A25" s="66"/>
      <c r="B25" s="66"/>
      <c r="C25" s="66"/>
      <c r="D25" s="66"/>
      <c r="E25" s="66"/>
      <c r="F25" s="66"/>
      <c r="G25" s="66"/>
      <c r="H25" s="66"/>
      <c r="I25" s="66"/>
      <c r="J25" s="66"/>
      <c r="K25" s="66"/>
      <c r="L25" s="66"/>
      <c r="M25" s="67"/>
    </row>
    <row r="26" spans="1:17" x14ac:dyDescent="0.2">
      <c r="A26" s="66"/>
      <c r="B26" s="66"/>
      <c r="C26" s="66"/>
      <c r="D26" s="66"/>
      <c r="E26" s="66"/>
      <c r="F26" s="66"/>
      <c r="G26" s="66"/>
      <c r="H26" s="66"/>
      <c r="I26" s="66"/>
      <c r="J26" s="66"/>
      <c r="K26" s="66"/>
      <c r="L26" s="66"/>
      <c r="M26" s="67"/>
    </row>
    <row r="27" spans="1:17" x14ac:dyDescent="0.2">
      <c r="A27" s="66"/>
      <c r="B27" s="66"/>
      <c r="C27" s="66"/>
      <c r="D27" s="66"/>
      <c r="E27" s="66"/>
      <c r="F27" s="66"/>
      <c r="G27" s="66"/>
      <c r="H27" s="66"/>
      <c r="I27" s="66"/>
      <c r="J27" s="66"/>
      <c r="K27" s="66"/>
      <c r="L27" s="66"/>
      <c r="M27" s="67"/>
    </row>
    <row r="28" spans="1:17" x14ac:dyDescent="0.2">
      <c r="A28" s="66"/>
      <c r="B28" s="66"/>
      <c r="C28" s="66"/>
      <c r="D28" s="66"/>
      <c r="E28" s="66"/>
      <c r="F28" s="66"/>
      <c r="G28" s="66"/>
      <c r="H28" s="66"/>
      <c r="I28" s="66"/>
      <c r="J28" s="66"/>
      <c r="K28" s="66"/>
      <c r="L28" s="66"/>
      <c r="M28" s="66"/>
    </row>
    <row r="29" spans="1:17" x14ac:dyDescent="0.2">
      <c r="A29" s="66"/>
      <c r="B29" s="66"/>
      <c r="C29" s="66"/>
      <c r="D29" s="66"/>
      <c r="E29" s="66"/>
      <c r="F29" s="66"/>
      <c r="G29" s="66"/>
      <c r="H29" s="66"/>
      <c r="I29" s="66"/>
      <c r="J29" s="66"/>
      <c r="K29" s="66"/>
      <c r="L29" s="66"/>
      <c r="M29" s="66"/>
    </row>
    <row r="30" spans="1:17" x14ac:dyDescent="0.2">
      <c r="A30" s="66"/>
      <c r="B30" s="66"/>
      <c r="C30" s="66"/>
      <c r="D30" s="66"/>
      <c r="E30" s="66"/>
      <c r="F30" s="66"/>
      <c r="G30" s="66"/>
      <c r="H30" s="66"/>
      <c r="I30" s="66"/>
      <c r="J30" s="66"/>
      <c r="K30" s="66"/>
      <c r="L30" s="66"/>
      <c r="M30" s="66"/>
    </row>
    <row r="31" spans="1:17" x14ac:dyDescent="0.2">
      <c r="A31" s="66"/>
      <c r="B31" s="66"/>
      <c r="C31" s="66"/>
      <c r="D31" s="66"/>
      <c r="E31" s="66"/>
      <c r="F31" s="66"/>
      <c r="G31" s="66"/>
      <c r="H31" s="66"/>
      <c r="I31" s="66"/>
      <c r="J31" s="66"/>
      <c r="K31" s="66"/>
      <c r="L31" s="66"/>
      <c r="M31" s="66"/>
    </row>
    <row r="32" spans="1:17" x14ac:dyDescent="0.2">
      <c r="A32" s="66"/>
      <c r="B32" s="66"/>
      <c r="C32" s="66"/>
      <c r="D32" s="66"/>
      <c r="E32" s="66"/>
      <c r="F32" s="66"/>
      <c r="G32" s="66"/>
      <c r="H32" s="66"/>
      <c r="I32" s="66"/>
      <c r="J32" s="66"/>
      <c r="K32" s="66"/>
      <c r="L32" s="66"/>
      <c r="M32" s="66"/>
    </row>
    <row r="33" spans="1:13" x14ac:dyDescent="0.2">
      <c r="A33" s="66"/>
      <c r="B33" s="66"/>
      <c r="C33" s="66"/>
      <c r="D33" s="66"/>
      <c r="E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sheetData>
  <phoneticPr fontId="0" type="noConversion"/>
  <pageMargins left="0.5" right="0.5" top="0.75" bottom="0.75" header="0.5" footer="0.5"/>
  <pageSetup scale="7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showGridLines="0" zoomScaleNormal="100" workbookViewId="0">
      <selection activeCell="N18" sqref="N18"/>
    </sheetView>
  </sheetViews>
  <sheetFormatPr defaultRowHeight="12.75" x14ac:dyDescent="0.2"/>
  <cols>
    <col min="2" max="2" width="2.5703125" customWidth="1"/>
    <col min="3" max="12" width="11.7109375" customWidth="1"/>
    <col min="13" max="13" width="2.7109375" customWidth="1"/>
    <col min="14" max="14" width="11.7109375" customWidth="1"/>
    <col min="15" max="15" width="14.85546875" bestFit="1" customWidth="1"/>
  </cols>
  <sheetData>
    <row r="1" spans="1:16" x14ac:dyDescent="0.2">
      <c r="A1" s="59" t="str">
        <f>"Single-Family Tonnages by Commodity ("&amp;TEXT(A6,"mmmm yyyy")&amp;" through "&amp;TEXT(A17,"mmmm yyyy")&amp;")"</f>
        <v>Single-Family Tonnages by Commodity (May 2017 through April 2018)</v>
      </c>
      <c r="B1" s="60"/>
    </row>
    <row r="2" spans="1:16" x14ac:dyDescent="0.2">
      <c r="A2" s="61" t="str">
        <f>'WUTC_AW of Kent (SeaTac)_SF'!A1</f>
        <v>Rabanco Ltd (dba Allied Waste of Kent)</v>
      </c>
      <c r="B2" s="61"/>
    </row>
    <row r="3" spans="1:16" x14ac:dyDescent="0.2">
      <c r="A3" s="61"/>
      <c r="B3" s="61"/>
    </row>
    <row r="4" spans="1:16" x14ac:dyDescent="0.2">
      <c r="A4" s="61"/>
      <c r="B4" s="61"/>
    </row>
    <row r="5" spans="1:16" x14ac:dyDescent="0.2">
      <c r="A5" s="60"/>
      <c r="B5" s="62"/>
      <c r="C5" s="63" t="s">
        <v>21</v>
      </c>
      <c r="D5" s="63" t="s">
        <v>22</v>
      </c>
      <c r="E5" s="63" t="s">
        <v>32</v>
      </c>
      <c r="F5" s="63" t="s">
        <v>23</v>
      </c>
      <c r="G5" s="63" t="s">
        <v>24</v>
      </c>
      <c r="H5" s="63" t="s">
        <v>25</v>
      </c>
      <c r="I5" s="63" t="s">
        <v>26</v>
      </c>
      <c r="J5" s="63" t="s">
        <v>27</v>
      </c>
      <c r="K5" s="63" t="s">
        <v>28</v>
      </c>
      <c r="L5" s="63" t="s">
        <v>29</v>
      </c>
      <c r="M5" s="63"/>
      <c r="N5" s="63" t="s">
        <v>30</v>
      </c>
    </row>
    <row r="6" spans="1:16" ht="15.75" customHeight="1" x14ac:dyDescent="0.2">
      <c r="A6" s="128">
        <f>'Single Family'!$C$6</f>
        <v>42856</v>
      </c>
      <c r="B6" s="66" t="s">
        <v>66</v>
      </c>
      <c r="C6" s="108">
        <f>'Single Family'!C32</f>
        <v>1.18635</v>
      </c>
      <c r="D6" s="109">
        <f>'Single Family'!C34</f>
        <v>27.966224000000004</v>
      </c>
      <c r="E6" s="108">
        <f>'Single Family'!C35</f>
        <v>0</v>
      </c>
      <c r="F6" s="108">
        <f>'Single Family'!C30</f>
        <v>2.6099700000000001</v>
      </c>
      <c r="G6" s="108">
        <f>'Single Family'!C27</f>
        <v>30.845100000000002</v>
      </c>
      <c r="H6" s="108">
        <f>'Single Family'!C37</f>
        <v>50.902324</v>
      </c>
      <c r="I6" s="108">
        <f>'Single Family'!C31/2</f>
        <v>3.5511410000000003</v>
      </c>
      <c r="J6" s="108">
        <f>'Single Family'!C31/2</f>
        <v>3.5511410000000003</v>
      </c>
      <c r="K6" s="108">
        <f>'Single Family'!C28</f>
        <v>28.187676</v>
      </c>
      <c r="L6" s="108">
        <f>'Single Family'!C36</f>
        <v>9.3800740000000218</v>
      </c>
      <c r="M6" s="64"/>
      <c r="N6" s="134">
        <f t="shared" ref="N6:N17" si="0">SUM(C6:L6)</f>
        <v>158.18000000000006</v>
      </c>
      <c r="O6" s="75"/>
      <c r="P6" s="68"/>
    </row>
    <row r="7" spans="1:16" ht="15.75" customHeight="1" x14ac:dyDescent="0.2">
      <c r="A7" s="65">
        <f t="shared" ref="A7:A17" si="1">EOMONTH(A6,1)</f>
        <v>42916</v>
      </c>
      <c r="B7" s="66" t="s">
        <v>67</v>
      </c>
      <c r="C7" s="108">
        <f>'Single Family'!D32</f>
        <v>0.90225</v>
      </c>
      <c r="D7" s="109">
        <f>'Single Family'!D34</f>
        <v>21.26904</v>
      </c>
      <c r="E7" s="108">
        <f>'Single Family'!D35</f>
        <v>0</v>
      </c>
      <c r="F7" s="108">
        <f>'Single Family'!D30</f>
        <v>1.98495</v>
      </c>
      <c r="G7" s="108">
        <f>'Single Family'!D27</f>
        <v>23.458500000000001</v>
      </c>
      <c r="H7" s="108">
        <f>'Single Family'!D37</f>
        <v>38.712539999999997</v>
      </c>
      <c r="I7" s="108">
        <f>'Single Family'!D31/2</f>
        <v>2.7007349999999999</v>
      </c>
      <c r="J7" s="108">
        <f>'Single Family'!D31/2</f>
        <v>2.7007349999999999</v>
      </c>
      <c r="K7" s="108">
        <f>'Single Family'!D28</f>
        <v>21.437459999999998</v>
      </c>
      <c r="L7" s="108">
        <f>'Single Family'!D36</f>
        <v>7.1337900000000154</v>
      </c>
      <c r="M7" s="64"/>
      <c r="N7" s="134">
        <f t="shared" si="0"/>
        <v>120.30000000000001</v>
      </c>
      <c r="P7" s="68"/>
    </row>
    <row r="8" spans="1:16" ht="15.75" customHeight="1" x14ac:dyDescent="0.2">
      <c r="A8" s="65">
        <f t="shared" si="1"/>
        <v>42947</v>
      </c>
      <c r="B8" s="66" t="s">
        <v>68</v>
      </c>
      <c r="C8" s="108">
        <f>'Single Family'!E32</f>
        <v>0.8774249999999999</v>
      </c>
      <c r="D8" s="109">
        <f>'Single Family'!E34</f>
        <v>20.683831999999999</v>
      </c>
      <c r="E8" s="108">
        <f>'Single Family'!E35</f>
        <v>0</v>
      </c>
      <c r="F8" s="108">
        <f>'Single Family'!E30</f>
        <v>1.9303349999999999</v>
      </c>
      <c r="G8" s="108">
        <f>'Single Family'!E27</f>
        <v>22.81305</v>
      </c>
      <c r="H8" s="108">
        <f>'Single Family'!E37</f>
        <v>37.647381999999993</v>
      </c>
      <c r="I8" s="108">
        <f>'Single Family'!E31/2</f>
        <v>2.6264254999999999</v>
      </c>
      <c r="J8" s="108">
        <f>'Single Family'!E31/2</f>
        <v>2.6264254999999999</v>
      </c>
      <c r="K8" s="108">
        <f>'Single Family'!E28</f>
        <v>20.847617999999997</v>
      </c>
      <c r="L8" s="108">
        <f>'Single Family'!E36</f>
        <v>6.9375070000000152</v>
      </c>
      <c r="M8" s="64"/>
      <c r="N8" s="134">
        <f t="shared" si="0"/>
        <v>116.99</v>
      </c>
      <c r="P8" s="68"/>
    </row>
    <row r="9" spans="1:16" ht="15.75" customHeight="1" x14ac:dyDescent="0.2">
      <c r="A9" s="65">
        <f t="shared" si="1"/>
        <v>42978</v>
      </c>
      <c r="B9" s="66" t="s">
        <v>69</v>
      </c>
      <c r="C9" s="108">
        <f>'Single Family'!F32</f>
        <v>0.88837500000000003</v>
      </c>
      <c r="D9" s="109">
        <f>'Single Family'!F34</f>
        <v>20.941960000000002</v>
      </c>
      <c r="E9" s="108">
        <f>'Single Family'!F35</f>
        <v>0</v>
      </c>
      <c r="F9" s="108">
        <f>'Single Family'!F30</f>
        <v>1.9544250000000001</v>
      </c>
      <c r="G9" s="108">
        <f>'Single Family'!F27</f>
        <v>23.097750000000001</v>
      </c>
      <c r="H9" s="108">
        <f>'Single Family'!F37</f>
        <v>38.11721</v>
      </c>
      <c r="I9" s="108">
        <f>'Single Family'!F31/2</f>
        <v>2.6592025000000001</v>
      </c>
      <c r="J9" s="108">
        <f>'Single Family'!F31/2</f>
        <v>2.6592025000000001</v>
      </c>
      <c r="K9" s="108">
        <f>'Single Family'!F28</f>
        <v>21.107790000000001</v>
      </c>
      <c r="L9" s="108">
        <f>'Single Family'!F36</f>
        <v>7.0240850000000155</v>
      </c>
      <c r="M9" s="64"/>
      <c r="N9" s="134">
        <f t="shared" si="0"/>
        <v>118.45000000000002</v>
      </c>
      <c r="P9" s="68"/>
    </row>
    <row r="10" spans="1:16" ht="15.75" customHeight="1" x14ac:dyDescent="0.2">
      <c r="A10" s="65">
        <f t="shared" si="1"/>
        <v>43008</v>
      </c>
      <c r="B10" s="66" t="s">
        <v>70</v>
      </c>
      <c r="C10" s="108">
        <f>'Single Family'!G32</f>
        <v>0.82514999999999994</v>
      </c>
      <c r="D10" s="109">
        <f>'Single Family'!G34</f>
        <v>19.451536000000001</v>
      </c>
      <c r="E10" s="108">
        <f>'Single Family'!G35</f>
        <v>0</v>
      </c>
      <c r="F10" s="108">
        <f>'Single Family'!G30</f>
        <v>1.8153300000000001</v>
      </c>
      <c r="G10" s="108">
        <f>'Single Family'!G27</f>
        <v>21.453900000000001</v>
      </c>
      <c r="H10" s="108">
        <f>'Single Family'!G37</f>
        <v>35.404435999999997</v>
      </c>
      <c r="I10" s="108">
        <f>'Single Family'!G31/2</f>
        <v>2.4699490000000002</v>
      </c>
      <c r="J10" s="108">
        <f>'Single Family'!G31/2</f>
        <v>2.4699490000000002</v>
      </c>
      <c r="K10" s="108">
        <f>'Single Family'!G28</f>
        <v>19.605563999999998</v>
      </c>
      <c r="L10" s="108">
        <f>'Single Family'!G36</f>
        <v>6.5241860000000145</v>
      </c>
      <c r="M10" s="64"/>
      <c r="N10" s="134">
        <f t="shared" si="0"/>
        <v>110.02000000000002</v>
      </c>
      <c r="P10" s="68"/>
    </row>
    <row r="11" spans="1:16" ht="15.75" customHeight="1" x14ac:dyDescent="0.2">
      <c r="A11" s="65">
        <f t="shared" si="1"/>
        <v>43039</v>
      </c>
      <c r="B11" s="66" t="s">
        <v>71</v>
      </c>
      <c r="C11" s="108">
        <f>'Single Family'!H32</f>
        <v>0.97972499999999996</v>
      </c>
      <c r="D11" s="109">
        <f>'Single Family'!H34</f>
        <v>23.095383999999999</v>
      </c>
      <c r="E11" s="108">
        <f>'Single Family'!H35</f>
        <v>0</v>
      </c>
      <c r="F11" s="108">
        <f>'Single Family'!H30</f>
        <v>2.1553949999999999</v>
      </c>
      <c r="G11" s="108">
        <f>'Single Family'!H27</f>
        <v>25.472850000000001</v>
      </c>
      <c r="H11" s="108">
        <f>'Single Family'!H37</f>
        <v>42.036733999999996</v>
      </c>
      <c r="I11" s="108">
        <f>'Single Family'!H31/2</f>
        <v>2.9326435000000002</v>
      </c>
      <c r="J11" s="108">
        <f>'Single Family'!H31/2</f>
        <v>2.9326435000000002</v>
      </c>
      <c r="K11" s="108">
        <f>'Single Family'!H28</f>
        <v>23.278265999999999</v>
      </c>
      <c r="L11" s="108">
        <f>'Single Family'!H36</f>
        <v>7.7463590000000169</v>
      </c>
      <c r="M11" s="64"/>
      <c r="N11" s="134">
        <f t="shared" si="0"/>
        <v>130.63</v>
      </c>
      <c r="P11" s="68"/>
    </row>
    <row r="12" spans="1:16" ht="15.75" customHeight="1" x14ac:dyDescent="0.2">
      <c r="A12" s="65">
        <f t="shared" si="1"/>
        <v>43069</v>
      </c>
      <c r="B12" s="66" t="s">
        <v>72</v>
      </c>
      <c r="C12" s="108">
        <f>'Single Family'!I32</f>
        <v>1.2094499999999999</v>
      </c>
      <c r="D12" s="109">
        <f>'Single Family'!I34</f>
        <v>28.510767999999999</v>
      </c>
      <c r="E12" s="108">
        <f>'Single Family'!I35</f>
        <v>0</v>
      </c>
      <c r="F12" s="108">
        <f>'Single Family'!I30</f>
        <v>2.66079</v>
      </c>
      <c r="G12" s="108">
        <f>'Single Family'!I27</f>
        <v>31.445699999999999</v>
      </c>
      <c r="H12" s="108">
        <f>'Single Family'!I37</f>
        <v>51.893467999999991</v>
      </c>
      <c r="I12" s="108">
        <f>'Single Family'!I31/2</f>
        <v>3.6202869999999998</v>
      </c>
      <c r="J12" s="108">
        <f>'Single Family'!I31/2</f>
        <v>3.6202869999999998</v>
      </c>
      <c r="K12" s="108">
        <f>'Single Family'!I28</f>
        <v>28.736531999999997</v>
      </c>
      <c r="L12" s="108">
        <f>'Single Family'!I36</f>
        <v>9.5627180000000198</v>
      </c>
      <c r="M12" s="64"/>
      <c r="N12" s="134">
        <f t="shared" si="0"/>
        <v>161.26</v>
      </c>
      <c r="P12" s="68"/>
    </row>
    <row r="13" spans="1:16" ht="15.75" customHeight="1" x14ac:dyDescent="0.2">
      <c r="A13" s="65">
        <f t="shared" si="1"/>
        <v>43100</v>
      </c>
      <c r="B13" s="66" t="s">
        <v>73</v>
      </c>
      <c r="C13" s="108">
        <f>'Single Family'!J32</f>
        <v>0.97387499999999994</v>
      </c>
      <c r="D13" s="109">
        <f>'Single Family'!J34</f>
        <v>22.95748</v>
      </c>
      <c r="E13" s="108">
        <f>'Single Family'!J35</f>
        <v>0</v>
      </c>
      <c r="F13" s="108">
        <f>'Single Family'!J30</f>
        <v>2.142525</v>
      </c>
      <c r="G13" s="108">
        <f>'Single Family'!J27</f>
        <v>25.32075</v>
      </c>
      <c r="H13" s="108">
        <f>'Single Family'!J37</f>
        <v>41.785729999999994</v>
      </c>
      <c r="I13" s="108">
        <f>'Single Family'!J31/2</f>
        <v>2.9151324999999999</v>
      </c>
      <c r="J13" s="108">
        <f>'Single Family'!J31/2</f>
        <v>2.9151324999999999</v>
      </c>
      <c r="K13" s="108">
        <f>'Single Family'!J28</f>
        <v>23.13927</v>
      </c>
      <c r="L13" s="108">
        <f>'Single Family'!J36</f>
        <v>7.7001050000000166</v>
      </c>
      <c r="M13" s="64"/>
      <c r="N13" s="134">
        <f t="shared" si="0"/>
        <v>129.85</v>
      </c>
      <c r="P13" s="68"/>
    </row>
    <row r="14" spans="1:16" ht="15.75" customHeight="1" x14ac:dyDescent="0.2">
      <c r="A14" s="65">
        <f t="shared" si="1"/>
        <v>43131</v>
      </c>
      <c r="B14" s="66" t="s">
        <v>74</v>
      </c>
      <c r="C14" s="108">
        <f>'Single Family'!K32</f>
        <v>1.0913999999999999</v>
      </c>
      <c r="D14" s="109">
        <f>'Single Family'!K34</f>
        <v>25.727936000000003</v>
      </c>
      <c r="E14" s="108">
        <f>'Single Family'!K35</f>
        <v>0</v>
      </c>
      <c r="F14" s="108">
        <f>'Single Family'!K30</f>
        <v>2.4010800000000003</v>
      </c>
      <c r="G14" s="108">
        <f>'Single Family'!K27</f>
        <v>28.376400000000004</v>
      </c>
      <c r="H14" s="108">
        <f>'Single Family'!K37</f>
        <v>46.828336</v>
      </c>
      <c r="I14" s="108">
        <f>'Single Family'!K31/2</f>
        <v>3.2669240000000004</v>
      </c>
      <c r="J14" s="108">
        <f>'Single Family'!K31/2</f>
        <v>3.2669240000000004</v>
      </c>
      <c r="K14" s="108">
        <f>'Single Family'!K28</f>
        <v>25.931664000000001</v>
      </c>
      <c r="L14" s="108">
        <f>'Single Family'!K36</f>
        <v>8.6293360000000199</v>
      </c>
      <c r="M14" s="64"/>
      <c r="N14" s="134">
        <f t="shared" si="0"/>
        <v>145.52000000000004</v>
      </c>
      <c r="P14" s="68"/>
    </row>
    <row r="15" spans="1:16" ht="15.75" customHeight="1" x14ac:dyDescent="0.2">
      <c r="A15" s="65">
        <f t="shared" si="1"/>
        <v>43159</v>
      </c>
      <c r="B15" s="66" t="s">
        <v>75</v>
      </c>
      <c r="C15" s="108">
        <f>'Single Family'!L32</f>
        <v>0.75989999999999991</v>
      </c>
      <c r="D15" s="109">
        <f>'Single Family'!L34</f>
        <v>17.913376</v>
      </c>
      <c r="E15" s="108">
        <f>'Single Family'!L35</f>
        <v>0</v>
      </c>
      <c r="F15" s="108">
        <f>'Single Family'!L30</f>
        <v>1.67178</v>
      </c>
      <c r="G15" s="108">
        <f>'Single Family'!L27</f>
        <v>19.757400000000001</v>
      </c>
      <c r="H15" s="108">
        <f>'Single Family'!L37</f>
        <v>32.604775999999994</v>
      </c>
      <c r="I15" s="108">
        <f>'Single Family'!L31/2</f>
        <v>2.2746339999999998</v>
      </c>
      <c r="J15" s="108">
        <f>'Single Family'!L31/2</f>
        <v>2.2746339999999998</v>
      </c>
      <c r="K15" s="108">
        <f>'Single Family'!L28</f>
        <v>18.055223999999999</v>
      </c>
      <c r="L15" s="108">
        <f>'Single Family'!L36</f>
        <v>6.0082760000000128</v>
      </c>
      <c r="M15" s="64"/>
      <c r="N15" s="134">
        <f t="shared" si="0"/>
        <v>101.32000000000002</v>
      </c>
      <c r="P15" s="68"/>
    </row>
    <row r="16" spans="1:16" ht="15.75" customHeight="1" x14ac:dyDescent="0.2">
      <c r="A16" s="65">
        <f t="shared" si="1"/>
        <v>43190</v>
      </c>
      <c r="B16" s="66" t="s">
        <v>76</v>
      </c>
      <c r="C16" s="108">
        <f>'Single Family'!M32</f>
        <v>1.0099499999999999</v>
      </c>
      <c r="D16" s="109">
        <f>'Single Family'!M34</f>
        <v>23.807888000000002</v>
      </c>
      <c r="E16" s="108">
        <f>'Single Family'!M35</f>
        <v>0</v>
      </c>
      <c r="F16" s="108">
        <f>'Single Family'!M30</f>
        <v>2.2218900000000001</v>
      </c>
      <c r="G16" s="108">
        <f>'Single Family'!M27</f>
        <v>26.258700000000001</v>
      </c>
      <c r="H16" s="108">
        <f>'Single Family'!M37</f>
        <v>43.333587999999999</v>
      </c>
      <c r="I16" s="108">
        <f>'Single Family'!M31/2</f>
        <v>3.0231170000000001</v>
      </c>
      <c r="J16" s="108">
        <f>'Single Family'!M31/2</f>
        <v>3.0231170000000001</v>
      </c>
      <c r="K16" s="108">
        <f>'Single Family'!M28</f>
        <v>23.996411999999999</v>
      </c>
      <c r="L16" s="108">
        <f>'Single Family'!M36</f>
        <v>7.9853380000000174</v>
      </c>
      <c r="M16" s="64"/>
      <c r="N16" s="134">
        <f t="shared" si="0"/>
        <v>134.66</v>
      </c>
      <c r="P16" s="68"/>
    </row>
    <row r="17" spans="1:16" ht="15.75" customHeight="1" x14ac:dyDescent="0.2">
      <c r="A17" s="65">
        <f t="shared" si="1"/>
        <v>43220</v>
      </c>
      <c r="B17" s="66" t="s">
        <v>77</v>
      </c>
      <c r="C17" s="108">
        <f>'Single Family'!N32</f>
        <v>1.1272500000000001</v>
      </c>
      <c r="D17" s="109">
        <f>'Single Family'!N34</f>
        <v>26.573040000000002</v>
      </c>
      <c r="E17" s="108">
        <f>'Single Family'!N35</f>
        <v>0</v>
      </c>
      <c r="F17" s="108">
        <f>'Single Family'!N30</f>
        <v>2.4799500000000001</v>
      </c>
      <c r="G17" s="108">
        <f>'Single Family'!N27</f>
        <v>0</v>
      </c>
      <c r="H17" s="108">
        <f>'Single Family'!N37</f>
        <v>77.67504000000001</v>
      </c>
      <c r="I17" s="108">
        <f>'Single Family'!N31/2</f>
        <v>3.3742350000000005</v>
      </c>
      <c r="J17" s="108">
        <f>'Single Family'!N31/2</f>
        <v>3.3742350000000005</v>
      </c>
      <c r="K17" s="108">
        <f>'Single Family'!N28</f>
        <v>26.783460000000002</v>
      </c>
      <c r="L17" s="108">
        <f>'Single Family'!N36</f>
        <v>8.9127900000000206</v>
      </c>
      <c r="M17" s="64"/>
      <c r="N17" s="134">
        <f t="shared" si="0"/>
        <v>150.30000000000004</v>
      </c>
      <c r="P17" s="68"/>
    </row>
    <row r="18" spans="1:16" ht="15.75" customHeight="1" x14ac:dyDescent="0.2">
      <c r="A18" s="69" t="s">
        <v>31</v>
      </c>
      <c r="B18" s="66"/>
      <c r="C18" s="135">
        <f t="shared" ref="C18:L18" si="2">SUM(C6:C17)</f>
        <v>11.831099999999999</v>
      </c>
      <c r="D18" s="135">
        <f t="shared" si="2"/>
        <v>278.89846399999999</v>
      </c>
      <c r="E18" s="135">
        <f t="shared" si="2"/>
        <v>0</v>
      </c>
      <c r="F18" s="135">
        <f t="shared" si="2"/>
        <v>26.028420000000001</v>
      </c>
      <c r="G18" s="135">
        <f t="shared" si="2"/>
        <v>278.30009999999999</v>
      </c>
      <c r="H18" s="135">
        <f t="shared" si="2"/>
        <v>536.94156399999997</v>
      </c>
      <c r="I18" s="135">
        <f t="shared" si="2"/>
        <v>35.414425999999999</v>
      </c>
      <c r="J18" s="135">
        <f t="shared" si="2"/>
        <v>35.414425999999999</v>
      </c>
      <c r="K18" s="135">
        <f t="shared" si="2"/>
        <v>281.10693600000002</v>
      </c>
      <c r="L18" s="135">
        <f t="shared" si="2"/>
        <v>93.544564000000193</v>
      </c>
      <c r="M18" s="64"/>
      <c r="N18" s="136">
        <f>SUM(N6:N17)</f>
        <v>1577.48</v>
      </c>
      <c r="O18" s="67"/>
    </row>
    <row r="19" spans="1:16" x14ac:dyDescent="0.2">
      <c r="A19" s="65"/>
      <c r="B19" s="66"/>
      <c r="C19" s="66"/>
      <c r="D19" s="66"/>
      <c r="E19" s="66"/>
      <c r="F19" s="66"/>
      <c r="G19" s="66"/>
      <c r="H19" s="66"/>
      <c r="I19" s="66"/>
      <c r="J19" s="66"/>
      <c r="K19" s="66"/>
      <c r="L19" s="66"/>
      <c r="M19" s="64"/>
      <c r="N19" s="67"/>
    </row>
    <row r="20" spans="1:16" x14ac:dyDescent="0.2">
      <c r="A20" s="59"/>
      <c r="B20" s="66"/>
      <c r="C20" s="66"/>
      <c r="D20" s="66"/>
      <c r="E20" s="66"/>
      <c r="F20" s="66"/>
      <c r="G20" s="66"/>
      <c r="H20" s="66"/>
      <c r="I20" s="66"/>
      <c r="J20" s="66"/>
      <c r="K20" s="66"/>
      <c r="L20" s="66"/>
      <c r="M20" s="64"/>
      <c r="N20" s="67"/>
    </row>
    <row r="21" spans="1:16" x14ac:dyDescent="0.2">
      <c r="A21" s="65"/>
      <c r="B21" s="66"/>
      <c r="C21" s="66"/>
      <c r="D21" s="66"/>
      <c r="E21" s="66"/>
      <c r="F21" s="66"/>
      <c r="G21" s="66"/>
      <c r="H21" s="66"/>
      <c r="I21" s="66"/>
      <c r="J21" s="66"/>
      <c r="K21" s="66"/>
      <c r="L21" s="66"/>
      <c r="M21" s="64"/>
      <c r="N21" s="67"/>
    </row>
    <row r="22" spans="1:16" x14ac:dyDescent="0.2">
      <c r="A22" s="65"/>
      <c r="B22" s="66"/>
      <c r="C22" s="66"/>
      <c r="D22" s="66"/>
      <c r="E22" s="66"/>
      <c r="F22" s="66"/>
      <c r="G22" s="66"/>
      <c r="H22" s="66"/>
      <c r="I22" s="66"/>
      <c r="J22" s="66"/>
      <c r="K22" s="66"/>
      <c r="L22" s="66"/>
      <c r="M22" s="64"/>
      <c r="N22" s="67"/>
    </row>
    <row r="23" spans="1:16" x14ac:dyDescent="0.2">
      <c r="A23" s="66"/>
      <c r="B23" s="66"/>
      <c r="C23" s="66"/>
      <c r="D23" s="66"/>
      <c r="E23" s="66"/>
      <c r="F23" s="66"/>
      <c r="G23" s="66"/>
      <c r="H23" s="66"/>
      <c r="I23" s="66"/>
      <c r="J23" s="66"/>
      <c r="K23" s="66"/>
      <c r="L23" s="66"/>
      <c r="M23" s="64"/>
      <c r="N23" s="67"/>
    </row>
    <row r="24" spans="1:16" x14ac:dyDescent="0.2">
      <c r="A24" s="66"/>
      <c r="B24" s="66"/>
      <c r="C24" s="66"/>
      <c r="D24" s="66"/>
      <c r="E24" s="66"/>
      <c r="F24" s="66"/>
      <c r="G24" s="66"/>
      <c r="H24" s="66"/>
      <c r="I24" s="66"/>
      <c r="J24" s="66"/>
      <c r="K24" s="66"/>
      <c r="L24" s="66"/>
      <c r="M24" s="64"/>
      <c r="N24" s="67"/>
    </row>
    <row r="25" spans="1:16" x14ac:dyDescent="0.2">
      <c r="A25" s="66"/>
      <c r="B25" s="66"/>
      <c r="C25" s="66"/>
      <c r="E25" s="66"/>
      <c r="F25" s="66"/>
      <c r="G25" s="66"/>
      <c r="H25" s="66"/>
      <c r="I25" s="66"/>
      <c r="J25" s="66"/>
      <c r="K25" s="66"/>
      <c r="L25" s="66"/>
      <c r="M25" s="64"/>
      <c r="N25" s="67"/>
    </row>
    <row r="26" spans="1:16" x14ac:dyDescent="0.2">
      <c r="A26" s="66"/>
      <c r="B26" s="66"/>
      <c r="C26" s="66"/>
      <c r="D26" s="66"/>
      <c r="E26" s="66"/>
      <c r="F26" s="66"/>
      <c r="G26" s="66"/>
      <c r="H26" s="66"/>
      <c r="I26" s="66"/>
      <c r="J26" s="66"/>
      <c r="K26" s="66"/>
      <c r="L26" s="66"/>
      <c r="M26" s="64"/>
      <c r="N26" s="67"/>
    </row>
    <row r="27" spans="1:16" x14ac:dyDescent="0.2">
      <c r="A27" s="66"/>
      <c r="B27" s="66"/>
      <c r="C27" s="66"/>
      <c r="D27" s="66"/>
      <c r="E27" s="66"/>
      <c r="F27" s="66"/>
      <c r="G27" s="66"/>
      <c r="H27" s="66"/>
      <c r="I27" s="66"/>
      <c r="J27" s="66"/>
      <c r="K27" s="66"/>
      <c r="L27" s="66"/>
      <c r="M27" s="64"/>
      <c r="N27" s="67"/>
    </row>
    <row r="28" spans="1:16" x14ac:dyDescent="0.2">
      <c r="A28" s="66"/>
      <c r="B28" s="66"/>
      <c r="C28" s="66"/>
      <c r="D28" s="66"/>
      <c r="E28" s="66"/>
      <c r="F28" s="66"/>
      <c r="G28" s="66"/>
      <c r="H28" s="66"/>
      <c r="I28" s="66"/>
      <c r="J28" s="66"/>
      <c r="K28" s="66"/>
      <c r="L28" s="66"/>
      <c r="M28" s="64"/>
      <c r="N28" s="66"/>
    </row>
    <row r="29" spans="1:16" x14ac:dyDescent="0.2">
      <c r="A29" s="66"/>
      <c r="B29" s="66"/>
      <c r="C29" s="66"/>
      <c r="D29" s="66"/>
      <c r="E29" s="66"/>
      <c r="F29" s="66"/>
      <c r="G29" s="66"/>
      <c r="H29" s="66"/>
      <c r="I29" s="66"/>
      <c r="J29" s="66"/>
      <c r="K29" s="66"/>
      <c r="L29" s="66"/>
      <c r="M29" s="64"/>
      <c r="N29" s="66"/>
    </row>
    <row r="30" spans="1:16" x14ac:dyDescent="0.2">
      <c r="A30" s="66"/>
      <c r="B30" s="66"/>
      <c r="C30" s="66"/>
      <c r="D30" s="66"/>
      <c r="E30" s="66"/>
      <c r="F30" s="66"/>
      <c r="G30" s="66"/>
      <c r="H30" s="66"/>
      <c r="I30" s="66"/>
      <c r="J30" s="66"/>
      <c r="K30" s="66"/>
      <c r="L30" s="66"/>
      <c r="M30" s="64"/>
      <c r="N30" s="66"/>
    </row>
    <row r="31" spans="1:16" x14ac:dyDescent="0.2">
      <c r="A31" s="66"/>
      <c r="B31" s="66"/>
      <c r="C31" s="66"/>
      <c r="D31" s="66"/>
      <c r="E31" s="66"/>
      <c r="F31" s="66"/>
      <c r="G31" s="66"/>
      <c r="H31" s="66"/>
      <c r="I31" s="66"/>
      <c r="J31" s="66"/>
      <c r="K31" s="66"/>
      <c r="L31" s="66"/>
      <c r="M31" s="64"/>
      <c r="N31" s="66"/>
    </row>
    <row r="32" spans="1:16" x14ac:dyDescent="0.2">
      <c r="A32" s="66"/>
      <c r="B32" s="66"/>
      <c r="C32" s="66"/>
      <c r="D32" s="66"/>
      <c r="E32" s="66"/>
      <c r="F32" s="66"/>
      <c r="G32" s="66"/>
      <c r="H32" s="66"/>
      <c r="I32" s="66"/>
      <c r="J32" s="66"/>
      <c r="K32" s="66"/>
      <c r="L32" s="66"/>
      <c r="M32" s="64"/>
      <c r="N32" s="66"/>
    </row>
    <row r="33" spans="1:14" x14ac:dyDescent="0.2">
      <c r="A33" s="66"/>
      <c r="B33" s="66"/>
      <c r="C33" s="66"/>
      <c r="D33" s="66"/>
      <c r="E33" s="66"/>
      <c r="F33" s="66"/>
      <c r="G33" s="66"/>
      <c r="H33" s="66"/>
      <c r="I33" s="66"/>
      <c r="J33" s="66"/>
      <c r="K33" s="66"/>
      <c r="L33" s="66"/>
      <c r="M33" s="64"/>
      <c r="N33" s="66"/>
    </row>
    <row r="34" spans="1:14" x14ac:dyDescent="0.2">
      <c r="A34" s="66"/>
      <c r="B34" s="66"/>
      <c r="C34" s="66"/>
      <c r="D34" s="66"/>
      <c r="E34" s="66"/>
      <c r="F34" s="66"/>
      <c r="G34" s="66"/>
      <c r="H34" s="66"/>
      <c r="I34" s="66"/>
      <c r="J34" s="66"/>
      <c r="K34" s="66"/>
      <c r="L34" s="66"/>
      <c r="M34" s="64"/>
      <c r="N34" s="66"/>
    </row>
    <row r="35" spans="1:14" x14ac:dyDescent="0.2">
      <c r="A35" s="66"/>
      <c r="B35" s="66"/>
      <c r="C35" s="66"/>
      <c r="D35" s="66"/>
      <c r="E35" s="66"/>
      <c r="F35" s="66"/>
      <c r="G35" s="66"/>
      <c r="H35" s="66"/>
      <c r="I35" s="66"/>
      <c r="J35" s="66"/>
      <c r="K35" s="66"/>
      <c r="L35" s="66"/>
      <c r="M35" s="64"/>
      <c r="N35" s="66"/>
    </row>
    <row r="36" spans="1:14" x14ac:dyDescent="0.2">
      <c r="A36" s="66"/>
      <c r="B36" s="66"/>
      <c r="C36" s="66"/>
      <c r="D36" s="66"/>
      <c r="E36" s="66"/>
      <c r="F36" s="66"/>
      <c r="G36" s="66"/>
      <c r="H36" s="66"/>
      <c r="I36" s="66"/>
      <c r="J36" s="66"/>
      <c r="K36" s="66"/>
      <c r="L36" s="66"/>
      <c r="M36" s="64"/>
      <c r="N36" s="66"/>
    </row>
    <row r="37" spans="1:14" x14ac:dyDescent="0.2">
      <c r="A37" s="66"/>
      <c r="B37" s="66"/>
      <c r="C37" s="66"/>
      <c r="D37" s="66"/>
      <c r="E37" s="66"/>
      <c r="F37" s="66"/>
      <c r="G37" s="66"/>
      <c r="H37" s="66"/>
      <c r="I37" s="66"/>
      <c r="J37" s="66"/>
      <c r="K37" s="66"/>
      <c r="L37" s="66"/>
      <c r="M37" s="64"/>
      <c r="N37" s="66"/>
    </row>
    <row r="38" spans="1:14" x14ac:dyDescent="0.2">
      <c r="A38" s="66"/>
      <c r="B38" s="66"/>
      <c r="C38" s="66"/>
      <c r="D38" s="66"/>
      <c r="E38" s="66"/>
      <c r="F38" s="66"/>
      <c r="G38" s="66"/>
      <c r="H38" s="66"/>
      <c r="I38" s="66"/>
      <c r="J38" s="66"/>
      <c r="K38" s="66"/>
      <c r="L38" s="66"/>
      <c r="M38" s="64"/>
      <c r="N38" s="66"/>
    </row>
    <row r="39" spans="1:14" x14ac:dyDescent="0.2">
      <c r="A39" s="66"/>
      <c r="B39" s="66"/>
      <c r="C39" s="66"/>
      <c r="D39" s="66"/>
      <c r="E39" s="66"/>
      <c r="F39" s="66"/>
      <c r="G39" s="66"/>
      <c r="H39" s="66"/>
      <c r="I39" s="66"/>
      <c r="J39" s="66"/>
      <c r="K39" s="66"/>
      <c r="L39" s="66"/>
      <c r="M39" s="66"/>
      <c r="N39" s="66"/>
    </row>
    <row r="40" spans="1:14" x14ac:dyDescent="0.2">
      <c r="A40" s="66"/>
      <c r="B40" s="66"/>
      <c r="C40" s="66"/>
      <c r="D40" s="66"/>
      <c r="E40" s="66"/>
      <c r="F40" s="66"/>
      <c r="G40" s="66"/>
      <c r="H40" s="66"/>
      <c r="I40" s="66"/>
      <c r="J40" s="66"/>
      <c r="K40" s="66"/>
      <c r="L40" s="66"/>
      <c r="M40" s="66"/>
      <c r="N40" s="66"/>
    </row>
    <row r="41" spans="1:14" x14ac:dyDescent="0.2">
      <c r="A41" s="66"/>
      <c r="B41" s="66"/>
      <c r="C41" s="66"/>
      <c r="D41" s="66"/>
      <c r="E41" s="66"/>
      <c r="F41" s="66"/>
      <c r="G41" s="66"/>
      <c r="H41" s="66"/>
      <c r="I41" s="66"/>
      <c r="J41" s="66"/>
      <c r="K41" s="66"/>
      <c r="L41" s="66"/>
      <c r="M41" s="66"/>
      <c r="N41" s="66"/>
    </row>
    <row r="42" spans="1:14" x14ac:dyDescent="0.2">
      <c r="A42" s="66"/>
      <c r="B42" s="66"/>
      <c r="C42" s="66"/>
      <c r="D42" s="66"/>
      <c r="E42" s="66"/>
      <c r="F42" s="66"/>
      <c r="G42" s="66"/>
      <c r="H42" s="66"/>
      <c r="I42" s="66"/>
      <c r="J42" s="66"/>
      <c r="K42" s="66"/>
      <c r="L42" s="66"/>
      <c r="M42" s="66"/>
      <c r="N42" s="66"/>
    </row>
    <row r="43" spans="1:14" x14ac:dyDescent="0.2">
      <c r="A43" s="66"/>
      <c r="B43" s="66"/>
      <c r="C43" s="66"/>
      <c r="D43" s="66"/>
      <c r="E43" s="66"/>
      <c r="F43" s="66"/>
      <c r="G43" s="66"/>
      <c r="H43" s="66"/>
      <c r="I43" s="66"/>
      <c r="J43" s="66"/>
      <c r="K43" s="66"/>
      <c r="L43" s="66"/>
      <c r="M43" s="66"/>
      <c r="N43" s="66"/>
    </row>
    <row r="44" spans="1:14" x14ac:dyDescent="0.2">
      <c r="A44" s="66"/>
      <c r="B44" s="66"/>
      <c r="C44" s="66"/>
      <c r="D44" s="66"/>
      <c r="E44" s="66"/>
      <c r="F44" s="66"/>
      <c r="G44" s="66"/>
      <c r="H44" s="66"/>
      <c r="I44" s="66"/>
      <c r="J44" s="66"/>
      <c r="K44" s="66"/>
      <c r="L44" s="66"/>
      <c r="M44" s="66"/>
      <c r="N44" s="66"/>
    </row>
    <row r="45" spans="1:14" x14ac:dyDescent="0.2">
      <c r="A45" s="66"/>
      <c r="B45" s="66"/>
      <c r="C45" s="66"/>
      <c r="D45" s="66"/>
      <c r="E45" s="66"/>
      <c r="F45" s="66"/>
      <c r="G45" s="66"/>
      <c r="H45" s="66"/>
      <c r="I45" s="66"/>
      <c r="J45" s="66"/>
      <c r="K45" s="66"/>
      <c r="L45" s="66"/>
      <c r="M45" s="66"/>
      <c r="N45" s="66"/>
    </row>
    <row r="46" spans="1:14" x14ac:dyDescent="0.2">
      <c r="A46" s="66"/>
      <c r="B46" s="66"/>
      <c r="C46" s="66"/>
      <c r="D46" s="66"/>
      <c r="E46" s="66"/>
      <c r="F46" s="66"/>
      <c r="G46" s="66"/>
      <c r="H46" s="66"/>
      <c r="I46" s="66"/>
      <c r="J46" s="66"/>
      <c r="K46" s="66"/>
      <c r="L46" s="66"/>
      <c r="M46" s="66"/>
      <c r="N46" s="66"/>
    </row>
    <row r="47" spans="1:14" x14ac:dyDescent="0.2">
      <c r="A47" s="66"/>
      <c r="B47" s="66"/>
      <c r="C47" s="66"/>
      <c r="D47" s="66"/>
      <c r="E47" s="66"/>
      <c r="F47" s="66"/>
      <c r="G47" s="66"/>
      <c r="H47" s="66"/>
      <c r="I47" s="66"/>
      <c r="J47" s="66"/>
      <c r="K47" s="66"/>
      <c r="L47" s="66"/>
      <c r="M47" s="66"/>
      <c r="N47" s="66"/>
    </row>
    <row r="48" spans="1:14" x14ac:dyDescent="0.2">
      <c r="A48" s="66"/>
      <c r="B48" s="66"/>
      <c r="C48" s="66"/>
      <c r="D48" s="66"/>
      <c r="E48" s="66"/>
      <c r="F48" s="66"/>
      <c r="G48" s="66"/>
      <c r="H48" s="66"/>
      <c r="I48" s="66"/>
      <c r="J48" s="66"/>
      <c r="K48" s="66"/>
      <c r="L48" s="66"/>
      <c r="M48" s="66"/>
      <c r="N48" s="66"/>
    </row>
    <row r="49" spans="1:14" x14ac:dyDescent="0.2">
      <c r="A49" s="66"/>
      <c r="B49" s="66"/>
      <c r="C49" s="66"/>
      <c r="D49" s="66"/>
      <c r="E49" s="66"/>
      <c r="F49" s="66"/>
      <c r="G49" s="66"/>
      <c r="H49" s="66"/>
      <c r="I49" s="66"/>
      <c r="J49" s="66"/>
      <c r="K49" s="66"/>
      <c r="L49" s="66"/>
      <c r="M49" s="66"/>
      <c r="N49" s="66"/>
    </row>
    <row r="50" spans="1:14" x14ac:dyDescent="0.2">
      <c r="A50" s="66"/>
      <c r="B50" s="66"/>
      <c r="C50" s="66"/>
      <c r="D50" s="66"/>
      <c r="E50" s="66"/>
      <c r="F50" s="66"/>
      <c r="G50" s="66"/>
      <c r="H50" s="66"/>
      <c r="I50" s="66"/>
      <c r="J50" s="66"/>
      <c r="K50" s="66"/>
      <c r="L50" s="66"/>
      <c r="M50" s="66"/>
      <c r="N50" s="66"/>
    </row>
    <row r="51" spans="1:14" x14ac:dyDescent="0.2">
      <c r="A51" s="66"/>
      <c r="B51" s="66"/>
      <c r="C51" s="66"/>
      <c r="D51" s="66"/>
      <c r="E51" s="66"/>
      <c r="F51" s="66"/>
      <c r="G51" s="66"/>
      <c r="H51" s="66"/>
      <c r="I51" s="66"/>
      <c r="J51" s="66"/>
      <c r="K51" s="66"/>
      <c r="L51" s="66"/>
      <c r="M51" s="66"/>
      <c r="N51" s="66"/>
    </row>
    <row r="52" spans="1:14" x14ac:dyDescent="0.2">
      <c r="A52" s="66"/>
      <c r="B52" s="66"/>
      <c r="C52" s="66"/>
      <c r="D52" s="66"/>
      <c r="E52" s="66"/>
      <c r="F52" s="66"/>
      <c r="G52" s="66"/>
      <c r="H52" s="66"/>
      <c r="I52" s="66"/>
      <c r="J52" s="66"/>
      <c r="K52" s="66"/>
      <c r="L52" s="66"/>
      <c r="M52" s="66"/>
      <c r="N52" s="66"/>
    </row>
    <row r="53" spans="1:14" x14ac:dyDescent="0.2">
      <c r="A53" s="66"/>
      <c r="B53" s="66"/>
      <c r="C53" s="66"/>
      <c r="D53" s="66"/>
      <c r="E53" s="66"/>
      <c r="F53" s="66"/>
      <c r="G53" s="66"/>
      <c r="H53" s="66"/>
      <c r="I53" s="66"/>
      <c r="J53" s="66"/>
      <c r="K53" s="66"/>
      <c r="L53" s="66"/>
      <c r="M53" s="66"/>
      <c r="N53" s="66"/>
    </row>
    <row r="54" spans="1:14" x14ac:dyDescent="0.2">
      <c r="A54" s="66"/>
      <c r="B54" s="66"/>
      <c r="C54" s="66"/>
      <c r="D54" s="66"/>
      <c r="E54" s="66"/>
      <c r="F54" s="66"/>
      <c r="G54" s="66"/>
      <c r="H54" s="66"/>
      <c r="I54" s="66"/>
      <c r="J54" s="66"/>
      <c r="K54" s="66"/>
      <c r="L54" s="66"/>
      <c r="M54" s="66"/>
      <c r="N54" s="66"/>
    </row>
    <row r="55" spans="1:14" x14ac:dyDescent="0.2">
      <c r="A55" s="66"/>
      <c r="B55" s="66"/>
      <c r="C55" s="66"/>
      <c r="D55" s="66"/>
      <c r="E55" s="66"/>
      <c r="F55" s="66"/>
      <c r="G55" s="66"/>
      <c r="H55" s="66"/>
      <c r="I55" s="66"/>
      <c r="J55" s="66"/>
      <c r="K55" s="66"/>
      <c r="L55" s="66"/>
      <c r="M55" s="66"/>
      <c r="N55" s="66"/>
    </row>
    <row r="56" spans="1:14" x14ac:dyDescent="0.2">
      <c r="A56" s="66"/>
      <c r="B56" s="66"/>
      <c r="C56" s="66"/>
      <c r="D56" s="66"/>
      <c r="E56" s="66"/>
      <c r="F56" s="66"/>
      <c r="G56" s="66"/>
      <c r="H56" s="66"/>
      <c r="I56" s="66"/>
      <c r="J56" s="66"/>
      <c r="K56" s="66"/>
      <c r="L56" s="66"/>
      <c r="M56" s="66"/>
      <c r="N56" s="66"/>
    </row>
    <row r="57" spans="1:14" x14ac:dyDescent="0.2">
      <c r="A57" s="66"/>
      <c r="B57" s="66"/>
      <c r="C57" s="66"/>
      <c r="D57" s="66"/>
      <c r="E57" s="66"/>
      <c r="F57" s="66"/>
      <c r="G57" s="66"/>
      <c r="H57" s="66"/>
      <c r="I57" s="66"/>
      <c r="J57" s="66"/>
      <c r="K57" s="66"/>
      <c r="L57" s="66"/>
      <c r="M57" s="66"/>
      <c r="N57" s="66"/>
    </row>
    <row r="58" spans="1:14" x14ac:dyDescent="0.2">
      <c r="A58" s="66"/>
      <c r="B58" s="66"/>
      <c r="C58" s="66"/>
      <c r="D58" s="66"/>
      <c r="E58" s="66"/>
      <c r="F58" s="66"/>
      <c r="G58" s="66"/>
      <c r="H58" s="66"/>
      <c r="I58" s="66"/>
      <c r="J58" s="66"/>
      <c r="K58" s="66"/>
      <c r="L58" s="66"/>
      <c r="M58" s="66"/>
      <c r="N58" s="66"/>
    </row>
    <row r="59" spans="1:14" x14ac:dyDescent="0.2">
      <c r="A59" s="66"/>
      <c r="B59" s="66"/>
      <c r="C59" s="66"/>
      <c r="D59" s="66"/>
      <c r="E59" s="66"/>
      <c r="F59" s="66"/>
      <c r="G59" s="66"/>
      <c r="H59" s="66"/>
      <c r="I59" s="66"/>
      <c r="J59" s="66"/>
      <c r="K59" s="66"/>
      <c r="L59" s="66"/>
      <c r="M59" s="66"/>
      <c r="N59" s="66"/>
    </row>
    <row r="60" spans="1:14" x14ac:dyDescent="0.2">
      <c r="A60" s="66"/>
      <c r="B60" s="66"/>
      <c r="C60" s="66"/>
      <c r="D60" s="66"/>
      <c r="E60" s="66"/>
      <c r="F60" s="66"/>
      <c r="G60" s="66"/>
      <c r="H60" s="66"/>
      <c r="I60" s="66"/>
      <c r="J60" s="66"/>
      <c r="K60" s="66"/>
      <c r="L60" s="66"/>
      <c r="M60" s="66"/>
      <c r="N60" s="66"/>
    </row>
    <row r="61" spans="1:14" x14ac:dyDescent="0.2">
      <c r="A61" s="66"/>
      <c r="B61" s="66"/>
      <c r="C61" s="66"/>
      <c r="D61" s="66"/>
      <c r="E61" s="66"/>
      <c r="F61" s="66"/>
      <c r="G61" s="66"/>
      <c r="H61" s="66"/>
      <c r="I61" s="66"/>
      <c r="J61" s="66"/>
      <c r="K61" s="66"/>
      <c r="L61" s="66"/>
      <c r="M61" s="66"/>
      <c r="N61" s="66"/>
    </row>
    <row r="62" spans="1:14" x14ac:dyDescent="0.2">
      <c r="A62" s="66"/>
      <c r="B62" s="66"/>
      <c r="C62" s="66"/>
      <c r="D62" s="66"/>
      <c r="E62" s="66"/>
      <c r="F62" s="66"/>
      <c r="G62" s="66"/>
      <c r="H62" s="66"/>
      <c r="I62" s="66"/>
      <c r="J62" s="66"/>
      <c r="K62" s="66"/>
      <c r="L62" s="66"/>
      <c r="M62" s="66"/>
      <c r="N62" s="66"/>
    </row>
    <row r="63" spans="1:14" x14ac:dyDescent="0.2">
      <c r="A63" s="66"/>
      <c r="B63" s="66"/>
      <c r="C63" s="66"/>
      <c r="D63" s="66"/>
      <c r="E63" s="66"/>
      <c r="F63" s="66"/>
      <c r="G63" s="66"/>
      <c r="H63" s="66"/>
      <c r="I63" s="66"/>
      <c r="J63" s="66"/>
      <c r="K63" s="66"/>
      <c r="L63" s="66"/>
      <c r="M63" s="66"/>
      <c r="N63" s="66"/>
    </row>
    <row r="64" spans="1:14" x14ac:dyDescent="0.2">
      <c r="A64" s="66"/>
      <c r="B64" s="66"/>
      <c r="C64" s="66"/>
      <c r="D64" s="66"/>
      <c r="E64" s="66"/>
      <c r="F64" s="66"/>
      <c r="G64" s="66"/>
      <c r="H64" s="66"/>
      <c r="I64" s="66"/>
      <c r="J64" s="66"/>
      <c r="K64" s="66"/>
      <c r="L64" s="66"/>
      <c r="M64" s="66"/>
      <c r="N64" s="66"/>
    </row>
    <row r="65" spans="1:14" x14ac:dyDescent="0.2">
      <c r="A65" s="66"/>
      <c r="B65" s="66"/>
      <c r="C65" s="66"/>
      <c r="D65" s="66"/>
      <c r="E65" s="66"/>
      <c r="F65" s="66"/>
      <c r="G65" s="66"/>
      <c r="H65" s="66"/>
      <c r="I65" s="66"/>
      <c r="J65" s="66"/>
      <c r="K65" s="66"/>
      <c r="L65" s="66"/>
      <c r="M65" s="66"/>
      <c r="N65" s="66"/>
    </row>
    <row r="66" spans="1:14" x14ac:dyDescent="0.2">
      <c r="A66" s="66"/>
      <c r="B66" s="66"/>
      <c r="C66" s="66"/>
      <c r="D66" s="66"/>
      <c r="E66" s="66"/>
      <c r="F66" s="66"/>
      <c r="G66" s="66"/>
      <c r="H66" s="66"/>
      <c r="I66" s="66"/>
      <c r="J66" s="66"/>
      <c r="K66" s="66"/>
      <c r="L66" s="66"/>
      <c r="M66" s="66"/>
      <c r="N66" s="66"/>
    </row>
    <row r="67" spans="1:14" x14ac:dyDescent="0.2">
      <c r="A67" s="66"/>
      <c r="B67" s="66"/>
      <c r="C67" s="66"/>
      <c r="D67" s="66"/>
      <c r="E67" s="66"/>
      <c r="F67" s="66"/>
      <c r="G67" s="66"/>
      <c r="H67" s="66"/>
      <c r="I67" s="66"/>
      <c r="J67" s="66"/>
      <c r="K67" s="66"/>
      <c r="L67" s="66"/>
      <c r="M67" s="66"/>
      <c r="N67" s="66"/>
    </row>
    <row r="68" spans="1:14" x14ac:dyDescent="0.2">
      <c r="A68" s="66"/>
      <c r="B68" s="66"/>
      <c r="C68" s="66"/>
      <c r="D68" s="66"/>
      <c r="E68" s="66"/>
      <c r="F68" s="66"/>
      <c r="G68" s="66"/>
      <c r="H68" s="66"/>
      <c r="I68" s="66"/>
      <c r="J68" s="66"/>
      <c r="K68" s="66"/>
      <c r="L68" s="66"/>
      <c r="M68" s="66"/>
      <c r="N68" s="66"/>
    </row>
    <row r="69" spans="1:14" x14ac:dyDescent="0.2">
      <c r="A69" s="66"/>
      <c r="B69" s="66"/>
      <c r="C69" s="66"/>
      <c r="D69" s="66"/>
      <c r="E69" s="66"/>
      <c r="F69" s="66"/>
      <c r="G69" s="66"/>
      <c r="H69" s="66"/>
      <c r="I69" s="66"/>
      <c r="J69" s="66"/>
      <c r="K69" s="66"/>
      <c r="L69" s="66"/>
      <c r="M69" s="66"/>
      <c r="N69" s="66"/>
    </row>
    <row r="70" spans="1:14" x14ac:dyDescent="0.2">
      <c r="A70" s="66"/>
      <c r="B70" s="66"/>
      <c r="C70" s="66"/>
      <c r="D70" s="66"/>
      <c r="E70" s="66"/>
      <c r="F70" s="66"/>
      <c r="G70" s="66"/>
      <c r="H70" s="66"/>
      <c r="I70" s="66"/>
      <c r="J70" s="66"/>
      <c r="K70" s="66"/>
      <c r="L70" s="66"/>
      <c r="M70" s="66"/>
      <c r="N70" s="66"/>
    </row>
    <row r="71" spans="1:14" x14ac:dyDescent="0.2">
      <c r="A71" s="66"/>
      <c r="B71" s="66"/>
      <c r="C71" s="66"/>
      <c r="D71" s="66"/>
      <c r="E71" s="66"/>
      <c r="F71" s="66"/>
      <c r="G71" s="66"/>
      <c r="H71" s="66"/>
      <c r="I71" s="66"/>
      <c r="J71" s="66"/>
      <c r="K71" s="66"/>
      <c r="L71" s="66"/>
      <c r="M71" s="66"/>
      <c r="N71" s="66"/>
    </row>
    <row r="72" spans="1:14" x14ac:dyDescent="0.2">
      <c r="A72" s="66"/>
      <c r="B72" s="66"/>
      <c r="C72" s="66"/>
      <c r="D72" s="66"/>
      <c r="E72" s="66"/>
      <c r="F72" s="66"/>
      <c r="G72" s="66"/>
      <c r="H72" s="66"/>
      <c r="I72" s="66"/>
      <c r="J72" s="66"/>
      <c r="K72" s="66"/>
      <c r="L72" s="66"/>
      <c r="M72" s="66"/>
      <c r="N72" s="66"/>
    </row>
    <row r="73" spans="1:14" x14ac:dyDescent="0.2">
      <c r="A73" s="66"/>
      <c r="B73" s="66"/>
      <c r="C73" s="66"/>
      <c r="D73" s="66"/>
      <c r="E73" s="66"/>
      <c r="F73" s="66"/>
      <c r="G73" s="66"/>
      <c r="H73" s="66"/>
      <c r="I73" s="66"/>
      <c r="J73" s="66"/>
      <c r="K73" s="66"/>
      <c r="L73" s="66"/>
      <c r="M73" s="66"/>
      <c r="N73" s="66"/>
    </row>
    <row r="74" spans="1:14" x14ac:dyDescent="0.2">
      <c r="A74" s="66"/>
      <c r="B74" s="66"/>
      <c r="C74" s="66"/>
      <c r="D74" s="66"/>
      <c r="E74" s="66"/>
      <c r="F74" s="66"/>
      <c r="G74" s="66"/>
      <c r="H74" s="66"/>
      <c r="I74" s="66"/>
      <c r="J74" s="66"/>
      <c r="K74" s="66"/>
      <c r="L74" s="66"/>
      <c r="M74" s="66"/>
      <c r="N74" s="66"/>
    </row>
    <row r="75" spans="1:14" x14ac:dyDescent="0.2">
      <c r="A75" s="66"/>
      <c r="B75" s="66"/>
      <c r="C75" s="66"/>
      <c r="D75" s="66"/>
      <c r="E75" s="66"/>
      <c r="F75" s="66"/>
      <c r="G75" s="66"/>
      <c r="H75" s="66"/>
      <c r="I75" s="66"/>
      <c r="J75" s="66"/>
      <c r="K75" s="66"/>
      <c r="L75" s="66"/>
      <c r="M75" s="66"/>
      <c r="N75" s="66"/>
    </row>
    <row r="76" spans="1:14" x14ac:dyDescent="0.2">
      <c r="A76" s="66"/>
      <c r="B76" s="66"/>
      <c r="C76" s="66"/>
      <c r="D76" s="66"/>
      <c r="E76" s="66"/>
      <c r="F76" s="66"/>
      <c r="G76" s="66"/>
      <c r="H76" s="66"/>
      <c r="I76" s="66"/>
      <c r="J76" s="66"/>
      <c r="K76" s="66"/>
      <c r="L76" s="66"/>
      <c r="M76" s="66"/>
      <c r="N76" s="66"/>
    </row>
    <row r="77" spans="1:14" x14ac:dyDescent="0.2">
      <c r="A77" s="66"/>
      <c r="B77" s="66"/>
      <c r="C77" s="66"/>
      <c r="D77" s="66"/>
      <c r="E77" s="66"/>
      <c r="F77" s="66"/>
      <c r="G77" s="66"/>
      <c r="H77" s="66"/>
      <c r="I77" s="66"/>
      <c r="J77" s="66"/>
      <c r="K77" s="66"/>
      <c r="L77" s="66"/>
      <c r="M77" s="66"/>
      <c r="N77" s="66"/>
    </row>
    <row r="78" spans="1:14" x14ac:dyDescent="0.2">
      <c r="A78" s="66"/>
      <c r="B78" s="66"/>
      <c r="C78" s="66"/>
      <c r="D78" s="66"/>
      <c r="E78" s="66"/>
      <c r="F78" s="66"/>
      <c r="G78" s="66"/>
      <c r="H78" s="66"/>
      <c r="I78" s="66"/>
      <c r="J78" s="66"/>
      <c r="K78" s="66"/>
      <c r="L78" s="66"/>
      <c r="M78" s="66"/>
      <c r="N78" s="66"/>
    </row>
    <row r="79" spans="1:14" x14ac:dyDescent="0.2">
      <c r="A79" s="66"/>
      <c r="B79" s="66"/>
      <c r="C79" s="66"/>
      <c r="D79" s="66"/>
      <c r="E79" s="66"/>
      <c r="F79" s="66"/>
      <c r="G79" s="66"/>
      <c r="H79" s="66"/>
      <c r="I79" s="66"/>
      <c r="J79" s="66"/>
      <c r="K79" s="66"/>
      <c r="L79" s="66"/>
      <c r="M79" s="66"/>
      <c r="N79" s="66"/>
    </row>
    <row r="80" spans="1:14" x14ac:dyDescent="0.2">
      <c r="A80" s="66"/>
      <c r="B80" s="66"/>
      <c r="C80" s="66"/>
      <c r="D80" s="66"/>
      <c r="E80" s="66"/>
      <c r="F80" s="66"/>
      <c r="G80" s="66"/>
      <c r="H80" s="66"/>
      <c r="I80" s="66"/>
      <c r="J80" s="66"/>
      <c r="K80" s="66"/>
      <c r="L80" s="66"/>
      <c r="M80" s="66"/>
      <c r="N80" s="66"/>
    </row>
    <row r="81" spans="1:14" x14ac:dyDescent="0.2">
      <c r="A81" s="66"/>
      <c r="B81" s="66"/>
      <c r="C81" s="66"/>
      <c r="D81" s="66"/>
      <c r="E81" s="66"/>
      <c r="F81" s="66"/>
      <c r="G81" s="66"/>
      <c r="H81" s="66"/>
      <c r="I81" s="66"/>
      <c r="J81" s="66"/>
      <c r="K81" s="66"/>
      <c r="L81" s="66"/>
      <c r="M81" s="66"/>
      <c r="N81" s="66"/>
    </row>
    <row r="82" spans="1:14" x14ac:dyDescent="0.2">
      <c r="A82" s="66"/>
      <c r="B82" s="66"/>
      <c r="C82" s="66"/>
      <c r="D82" s="66"/>
      <c r="E82" s="66"/>
      <c r="F82" s="66"/>
      <c r="G82" s="66"/>
      <c r="H82" s="66"/>
      <c r="I82" s="66"/>
      <c r="J82" s="66"/>
      <c r="K82" s="66"/>
      <c r="L82" s="66"/>
      <c r="M82" s="66"/>
      <c r="N82" s="66"/>
    </row>
    <row r="83" spans="1:14" x14ac:dyDescent="0.2">
      <c r="A83" s="66"/>
      <c r="B83" s="66"/>
      <c r="C83" s="66"/>
      <c r="D83" s="66"/>
      <c r="E83" s="66"/>
      <c r="F83" s="66"/>
      <c r="G83" s="66"/>
      <c r="H83" s="66"/>
      <c r="I83" s="66"/>
      <c r="J83" s="66"/>
      <c r="K83" s="66"/>
      <c r="L83" s="66"/>
      <c r="M83" s="66"/>
      <c r="N83" s="66"/>
    </row>
    <row r="84" spans="1:14" x14ac:dyDescent="0.2">
      <c r="A84" s="66"/>
      <c r="B84" s="66"/>
      <c r="C84" s="66"/>
      <c r="D84" s="66"/>
      <c r="E84" s="66"/>
      <c r="F84" s="66"/>
      <c r="G84" s="66"/>
      <c r="H84" s="66"/>
      <c r="I84" s="66"/>
      <c r="J84" s="66"/>
      <c r="K84" s="66"/>
      <c r="L84" s="66"/>
      <c r="M84" s="66"/>
      <c r="N84" s="66"/>
    </row>
    <row r="85" spans="1:14" x14ac:dyDescent="0.2">
      <c r="A85" s="66"/>
      <c r="B85" s="66"/>
      <c r="C85" s="66"/>
      <c r="D85" s="66"/>
      <c r="E85" s="66"/>
      <c r="F85" s="66"/>
      <c r="G85" s="66"/>
      <c r="H85" s="66"/>
      <c r="I85" s="66"/>
      <c r="J85" s="66"/>
      <c r="K85" s="66"/>
      <c r="L85" s="66"/>
      <c r="M85" s="66"/>
      <c r="N85" s="66"/>
    </row>
    <row r="86" spans="1:14" x14ac:dyDescent="0.2">
      <c r="A86" s="66"/>
      <c r="B86" s="66"/>
      <c r="C86" s="66"/>
      <c r="D86" s="66"/>
      <c r="E86" s="66"/>
      <c r="F86" s="66"/>
      <c r="G86" s="66"/>
      <c r="H86" s="66"/>
      <c r="I86" s="66"/>
      <c r="J86" s="66"/>
      <c r="K86" s="66"/>
      <c r="L86" s="66"/>
      <c r="M86" s="66"/>
      <c r="N86" s="66"/>
    </row>
    <row r="87" spans="1:14" x14ac:dyDescent="0.2">
      <c r="A87" s="66"/>
      <c r="B87" s="66"/>
      <c r="C87" s="66"/>
      <c r="D87" s="66"/>
      <c r="E87" s="66"/>
      <c r="F87" s="66"/>
      <c r="G87" s="66"/>
      <c r="H87" s="66"/>
      <c r="I87" s="66"/>
      <c r="J87" s="66"/>
      <c r="K87" s="66"/>
      <c r="L87" s="66"/>
      <c r="M87" s="66"/>
      <c r="N87" s="66"/>
    </row>
    <row r="88" spans="1:14" x14ac:dyDescent="0.2">
      <c r="A88" s="66"/>
      <c r="B88" s="66"/>
      <c r="C88" s="66"/>
      <c r="D88" s="66"/>
      <c r="E88" s="66"/>
      <c r="F88" s="66"/>
      <c r="G88" s="66"/>
      <c r="H88" s="66"/>
      <c r="I88" s="66"/>
      <c r="J88" s="66"/>
      <c r="K88" s="66"/>
      <c r="L88" s="66"/>
      <c r="M88" s="66"/>
      <c r="N88" s="66"/>
    </row>
    <row r="89" spans="1:14" x14ac:dyDescent="0.2">
      <c r="A89" s="66"/>
      <c r="B89" s="66"/>
      <c r="C89" s="66"/>
      <c r="D89" s="66"/>
      <c r="E89" s="66"/>
      <c r="F89" s="66"/>
      <c r="G89" s="66"/>
      <c r="H89" s="66"/>
      <c r="I89" s="66"/>
      <c r="J89" s="66"/>
      <c r="K89" s="66"/>
      <c r="L89" s="66"/>
      <c r="M89" s="66"/>
      <c r="N89" s="66"/>
    </row>
    <row r="90" spans="1:14" x14ac:dyDescent="0.2">
      <c r="A90" s="66"/>
      <c r="B90" s="66"/>
      <c r="C90" s="66"/>
      <c r="D90" s="66"/>
      <c r="E90" s="66"/>
      <c r="F90" s="66"/>
      <c r="G90" s="66"/>
      <c r="H90" s="66"/>
      <c r="I90" s="66"/>
      <c r="J90" s="66"/>
      <c r="K90" s="66"/>
      <c r="L90" s="66"/>
      <c r="M90" s="66"/>
      <c r="N90" s="66"/>
    </row>
    <row r="91" spans="1:14" x14ac:dyDescent="0.2">
      <c r="A91" s="66"/>
      <c r="B91" s="66"/>
      <c r="C91" s="66"/>
      <c r="D91" s="66"/>
      <c r="E91" s="66"/>
      <c r="F91" s="66"/>
      <c r="G91" s="66"/>
      <c r="H91" s="66"/>
      <c r="I91" s="66"/>
      <c r="J91" s="66"/>
      <c r="K91" s="66"/>
      <c r="L91" s="66"/>
      <c r="M91" s="66"/>
      <c r="N91" s="66"/>
    </row>
    <row r="92" spans="1:14" x14ac:dyDescent="0.2">
      <c r="A92" s="66"/>
      <c r="B92" s="66"/>
      <c r="C92" s="66"/>
      <c r="D92" s="66"/>
      <c r="E92" s="66"/>
      <c r="F92" s="66"/>
      <c r="G92" s="66"/>
      <c r="H92" s="66"/>
      <c r="I92" s="66"/>
      <c r="J92" s="66"/>
      <c r="K92" s="66"/>
      <c r="L92" s="66"/>
      <c r="M92" s="66"/>
      <c r="N92" s="66"/>
    </row>
    <row r="93" spans="1:14" x14ac:dyDescent="0.2">
      <c r="A93" s="66"/>
      <c r="B93" s="66"/>
      <c r="C93" s="66"/>
      <c r="D93" s="66"/>
      <c r="E93" s="66"/>
      <c r="F93" s="66"/>
      <c r="G93" s="66"/>
      <c r="H93" s="66"/>
      <c r="I93" s="66"/>
      <c r="J93" s="66"/>
      <c r="K93" s="66"/>
      <c r="L93" s="66"/>
      <c r="M93" s="66"/>
      <c r="N93" s="66"/>
    </row>
    <row r="94" spans="1:14" x14ac:dyDescent="0.2">
      <c r="A94" s="66"/>
      <c r="B94" s="66"/>
      <c r="C94" s="66"/>
      <c r="D94" s="66"/>
      <c r="E94" s="66"/>
      <c r="F94" s="66"/>
      <c r="G94" s="66"/>
      <c r="H94" s="66"/>
      <c r="I94" s="66"/>
      <c r="J94" s="66"/>
      <c r="K94" s="66"/>
      <c r="L94" s="66"/>
      <c r="M94" s="66"/>
      <c r="N94" s="66"/>
    </row>
    <row r="95" spans="1:14" x14ac:dyDescent="0.2">
      <c r="A95" s="66"/>
      <c r="B95" s="66"/>
      <c r="C95" s="66"/>
      <c r="D95" s="66"/>
      <c r="E95" s="66"/>
      <c r="F95" s="66"/>
      <c r="G95" s="66"/>
      <c r="H95" s="66"/>
      <c r="I95" s="66"/>
      <c r="J95" s="66"/>
      <c r="K95" s="66"/>
      <c r="L95" s="66"/>
      <c r="M95" s="66"/>
      <c r="N95" s="66"/>
    </row>
    <row r="96" spans="1:14" x14ac:dyDescent="0.2">
      <c r="A96" s="66"/>
      <c r="B96" s="66"/>
      <c r="C96" s="66"/>
      <c r="D96" s="66"/>
      <c r="E96" s="66"/>
      <c r="F96" s="66"/>
      <c r="G96" s="66"/>
      <c r="H96" s="66"/>
      <c r="I96" s="66"/>
      <c r="J96" s="66"/>
      <c r="K96" s="66"/>
      <c r="L96" s="66"/>
      <c r="M96" s="66"/>
      <c r="N96" s="66"/>
    </row>
    <row r="97" spans="1:14" x14ac:dyDescent="0.2">
      <c r="A97" s="66"/>
      <c r="B97" s="66"/>
      <c r="C97" s="66"/>
      <c r="D97" s="66"/>
      <c r="E97" s="66"/>
      <c r="F97" s="66"/>
      <c r="G97" s="66"/>
      <c r="H97" s="66"/>
      <c r="I97" s="66"/>
      <c r="J97" s="66"/>
      <c r="K97" s="66"/>
      <c r="L97" s="66"/>
      <c r="M97" s="66"/>
      <c r="N97" s="66"/>
    </row>
    <row r="98" spans="1:14" x14ac:dyDescent="0.2">
      <c r="A98" s="66"/>
      <c r="B98" s="66"/>
      <c r="C98" s="66"/>
      <c r="D98" s="66"/>
      <c r="E98" s="66"/>
      <c r="F98" s="66"/>
      <c r="G98" s="66"/>
      <c r="H98" s="66"/>
      <c r="I98" s="66"/>
      <c r="J98" s="66"/>
      <c r="K98" s="66"/>
      <c r="L98" s="66"/>
      <c r="M98" s="66"/>
      <c r="N98" s="66"/>
    </row>
    <row r="99" spans="1:14" x14ac:dyDescent="0.2">
      <c r="A99" s="66"/>
      <c r="B99" s="66"/>
      <c r="C99" s="66"/>
      <c r="D99" s="66"/>
      <c r="E99" s="66"/>
      <c r="F99" s="66"/>
      <c r="G99" s="66"/>
      <c r="H99" s="66"/>
      <c r="I99" s="66"/>
      <c r="J99" s="66"/>
      <c r="K99" s="66"/>
      <c r="L99" s="66"/>
      <c r="M99" s="66"/>
      <c r="N99" s="66"/>
    </row>
    <row r="100" spans="1:14" x14ac:dyDescent="0.2">
      <c r="A100" s="66"/>
      <c r="B100" s="66"/>
      <c r="C100" s="66"/>
      <c r="D100" s="66"/>
      <c r="E100" s="66"/>
      <c r="F100" s="66"/>
      <c r="G100" s="66"/>
      <c r="H100" s="66"/>
      <c r="I100" s="66"/>
      <c r="J100" s="66"/>
      <c r="K100" s="66"/>
      <c r="L100" s="66"/>
      <c r="M100" s="66"/>
      <c r="N100" s="66"/>
    </row>
    <row r="101" spans="1:14" x14ac:dyDescent="0.2">
      <c r="A101" s="66"/>
      <c r="B101" s="66"/>
      <c r="C101" s="66"/>
      <c r="D101" s="66"/>
      <c r="E101" s="66"/>
      <c r="F101" s="66"/>
      <c r="G101" s="66"/>
      <c r="H101" s="66"/>
      <c r="I101" s="66"/>
      <c r="J101" s="66"/>
      <c r="K101" s="66"/>
      <c r="L101" s="66"/>
      <c r="M101" s="66"/>
      <c r="N101" s="66"/>
    </row>
    <row r="102" spans="1:14" x14ac:dyDescent="0.2">
      <c r="A102" s="66"/>
      <c r="B102" s="66"/>
      <c r="C102" s="66"/>
      <c r="D102" s="66"/>
      <c r="E102" s="66"/>
      <c r="F102" s="66"/>
      <c r="G102" s="66"/>
      <c r="H102" s="66"/>
      <c r="I102" s="66"/>
      <c r="J102" s="66"/>
      <c r="K102" s="66"/>
      <c r="L102" s="66"/>
      <c r="M102" s="66"/>
      <c r="N102" s="66"/>
    </row>
    <row r="103" spans="1:14" x14ac:dyDescent="0.2">
      <c r="A103" s="66"/>
      <c r="B103" s="66"/>
      <c r="C103" s="66"/>
      <c r="D103" s="66"/>
      <c r="E103" s="66"/>
      <c r="F103" s="66"/>
      <c r="G103" s="66"/>
      <c r="H103" s="66"/>
      <c r="I103" s="66"/>
      <c r="J103" s="66"/>
      <c r="K103" s="66"/>
      <c r="L103" s="66"/>
      <c r="M103" s="66"/>
      <c r="N103" s="66"/>
    </row>
    <row r="104" spans="1:14" x14ac:dyDescent="0.2">
      <c r="A104" s="66"/>
      <c r="B104" s="66"/>
      <c r="C104" s="66"/>
      <c r="D104" s="66"/>
      <c r="E104" s="66"/>
      <c r="F104" s="66"/>
      <c r="G104" s="66"/>
      <c r="H104" s="66"/>
      <c r="I104" s="66"/>
      <c r="J104" s="66"/>
      <c r="K104" s="66"/>
      <c r="L104" s="66"/>
      <c r="M104" s="66"/>
      <c r="N104" s="66"/>
    </row>
    <row r="105" spans="1:14" x14ac:dyDescent="0.2">
      <c r="A105" s="66"/>
      <c r="B105" s="66"/>
      <c r="C105" s="66"/>
      <c r="D105" s="66"/>
      <c r="E105" s="66"/>
      <c r="F105" s="66"/>
      <c r="G105" s="66"/>
      <c r="H105" s="66"/>
      <c r="I105" s="66"/>
      <c r="J105" s="66"/>
      <c r="K105" s="66"/>
      <c r="L105" s="66"/>
      <c r="M105" s="66"/>
      <c r="N105" s="66"/>
    </row>
    <row r="106" spans="1:14" x14ac:dyDescent="0.2">
      <c r="A106" s="66"/>
      <c r="B106" s="66"/>
      <c r="C106" s="66"/>
      <c r="D106" s="66"/>
      <c r="E106" s="66"/>
      <c r="F106" s="66"/>
      <c r="G106" s="66"/>
      <c r="H106" s="66"/>
      <c r="I106" s="66"/>
      <c r="J106" s="66"/>
      <c r="K106" s="66"/>
      <c r="L106" s="66"/>
      <c r="M106" s="66"/>
      <c r="N106" s="66"/>
    </row>
    <row r="107" spans="1:14" x14ac:dyDescent="0.2">
      <c r="A107" s="66"/>
      <c r="B107" s="66"/>
      <c r="C107" s="66"/>
      <c r="D107" s="66"/>
      <c r="E107" s="66"/>
      <c r="F107" s="66"/>
      <c r="G107" s="66"/>
      <c r="H107" s="66"/>
      <c r="I107" s="66"/>
      <c r="J107" s="66"/>
      <c r="K107" s="66"/>
      <c r="L107" s="66"/>
      <c r="M107" s="66"/>
      <c r="N107" s="66"/>
    </row>
    <row r="108" spans="1:14" x14ac:dyDescent="0.2">
      <c r="A108" s="66"/>
      <c r="B108" s="66"/>
      <c r="C108" s="66"/>
      <c r="D108" s="66"/>
      <c r="E108" s="66"/>
      <c r="F108" s="66"/>
      <c r="G108" s="66"/>
      <c r="H108" s="66"/>
      <c r="I108" s="66"/>
      <c r="J108" s="66"/>
      <c r="K108" s="66"/>
      <c r="L108" s="66"/>
      <c r="M108" s="66"/>
      <c r="N108" s="66"/>
    </row>
    <row r="109" spans="1:14" x14ac:dyDescent="0.2">
      <c r="A109" s="66"/>
      <c r="B109" s="66"/>
      <c r="C109" s="66"/>
      <c r="D109" s="66"/>
      <c r="E109" s="66"/>
      <c r="F109" s="66"/>
      <c r="G109" s="66"/>
      <c r="H109" s="66"/>
      <c r="I109" s="66"/>
      <c r="J109" s="66"/>
      <c r="K109" s="66"/>
      <c r="L109" s="66"/>
      <c r="M109" s="66"/>
      <c r="N109" s="66"/>
    </row>
    <row r="110" spans="1:14" x14ac:dyDescent="0.2">
      <c r="A110" s="66"/>
      <c r="B110" s="66"/>
      <c r="C110" s="66"/>
      <c r="D110" s="66"/>
      <c r="E110" s="66"/>
      <c r="F110" s="66"/>
      <c r="G110" s="66"/>
      <c r="H110" s="66"/>
      <c r="I110" s="66"/>
      <c r="J110" s="66"/>
      <c r="K110" s="66"/>
      <c r="L110" s="66"/>
      <c r="M110" s="66"/>
      <c r="N110" s="66"/>
    </row>
    <row r="111" spans="1:14" x14ac:dyDescent="0.2">
      <c r="A111" s="66"/>
      <c r="B111" s="66"/>
      <c r="C111" s="66"/>
      <c r="D111" s="66"/>
      <c r="E111" s="66"/>
      <c r="F111" s="66"/>
      <c r="G111" s="66"/>
      <c r="H111" s="66"/>
      <c r="I111" s="66"/>
      <c r="J111" s="66"/>
      <c r="K111" s="66"/>
      <c r="L111" s="66"/>
      <c r="M111" s="66"/>
      <c r="N111" s="66"/>
    </row>
    <row r="112" spans="1:14" x14ac:dyDescent="0.2">
      <c r="A112" s="66"/>
      <c r="B112" s="66"/>
      <c r="C112" s="66"/>
      <c r="D112" s="66"/>
      <c r="E112" s="66"/>
      <c r="F112" s="66"/>
      <c r="G112" s="66"/>
      <c r="H112" s="66"/>
      <c r="I112" s="66"/>
      <c r="J112" s="66"/>
      <c r="K112" s="66"/>
      <c r="L112" s="66"/>
      <c r="M112" s="66"/>
      <c r="N112" s="66"/>
    </row>
    <row r="113" spans="1:14" x14ac:dyDescent="0.2">
      <c r="A113" s="66"/>
      <c r="B113" s="66"/>
      <c r="C113" s="66"/>
      <c r="D113" s="66"/>
      <c r="E113" s="66"/>
      <c r="F113" s="66"/>
      <c r="G113" s="66"/>
      <c r="H113" s="66"/>
      <c r="I113" s="66"/>
      <c r="J113" s="66"/>
      <c r="K113" s="66"/>
      <c r="L113" s="66"/>
      <c r="M113" s="66"/>
      <c r="N113" s="66"/>
    </row>
    <row r="114" spans="1:14" x14ac:dyDescent="0.2">
      <c r="A114" s="66"/>
      <c r="B114" s="66"/>
      <c r="C114" s="66"/>
      <c r="D114" s="66"/>
      <c r="E114" s="66"/>
      <c r="F114" s="66"/>
      <c r="G114" s="66"/>
      <c r="H114" s="66"/>
      <c r="I114" s="66"/>
      <c r="J114" s="66"/>
      <c r="K114" s="66"/>
      <c r="L114" s="66"/>
      <c r="M114" s="66"/>
      <c r="N114" s="66"/>
    </row>
    <row r="115" spans="1:14" x14ac:dyDescent="0.2">
      <c r="A115" s="66"/>
      <c r="B115" s="66"/>
      <c r="C115" s="66"/>
      <c r="D115" s="66"/>
      <c r="E115" s="66"/>
      <c r="F115" s="66"/>
      <c r="G115" s="66"/>
      <c r="H115" s="66"/>
      <c r="I115" s="66"/>
      <c r="J115" s="66"/>
      <c r="K115" s="66"/>
      <c r="L115" s="66"/>
      <c r="M115" s="66"/>
      <c r="N115" s="66"/>
    </row>
    <row r="116" spans="1:14" x14ac:dyDescent="0.2">
      <c r="A116" s="66"/>
      <c r="B116" s="66"/>
      <c r="C116" s="66"/>
      <c r="D116" s="66"/>
      <c r="E116" s="66"/>
      <c r="F116" s="66"/>
      <c r="G116" s="66"/>
      <c r="H116" s="66"/>
      <c r="I116" s="66"/>
      <c r="J116" s="66"/>
      <c r="K116" s="66"/>
      <c r="L116" s="66"/>
      <c r="M116" s="66"/>
      <c r="N116" s="66"/>
    </row>
    <row r="117" spans="1:14" x14ac:dyDescent="0.2">
      <c r="A117" s="66"/>
      <c r="B117" s="66"/>
      <c r="C117" s="66"/>
      <c r="D117" s="66"/>
      <c r="E117" s="66"/>
      <c r="F117" s="66"/>
      <c r="G117" s="66"/>
      <c r="H117" s="66"/>
      <c r="I117" s="66"/>
      <c r="J117" s="66"/>
      <c r="K117" s="66"/>
      <c r="L117" s="66"/>
      <c r="M117" s="66"/>
      <c r="N117" s="66"/>
    </row>
    <row r="118" spans="1:14" x14ac:dyDescent="0.2">
      <c r="A118" s="66"/>
      <c r="B118" s="66"/>
      <c r="C118" s="66"/>
      <c r="D118" s="66"/>
      <c r="E118" s="66"/>
      <c r="F118" s="66"/>
      <c r="G118" s="66"/>
      <c r="H118" s="66"/>
      <c r="I118" s="66"/>
      <c r="J118" s="66"/>
      <c r="K118" s="66"/>
      <c r="L118" s="66"/>
      <c r="M118" s="66"/>
      <c r="N118" s="66"/>
    </row>
  </sheetData>
  <phoneticPr fontId="0" type="noConversion"/>
  <pageMargins left="0.25" right="0.25" top="0.75" bottom="0.75" header="0.3" footer="0.3"/>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zoomScaleNormal="100" workbookViewId="0">
      <selection activeCell="M6" sqref="M6:N19"/>
    </sheetView>
  </sheetViews>
  <sheetFormatPr defaultRowHeight="12.75" x14ac:dyDescent="0.2"/>
  <cols>
    <col min="2" max="2" width="2.28515625" bestFit="1" customWidth="1"/>
    <col min="3" max="12" width="11.7109375" customWidth="1"/>
  </cols>
  <sheetData>
    <row r="1" spans="1:13" x14ac:dyDescent="0.2">
      <c r="A1" s="59" t="str">
        <f>"Commodity Pricing ("&amp;TEXT(A6,"mmmm yyyy")&amp;" through "&amp;TEXT(A17,"mmmm yyyy")&amp;")"</f>
        <v>Commodity Pricing (May 2017 through April 2018)</v>
      </c>
      <c r="B1" s="60"/>
    </row>
    <row r="2" spans="1:13" x14ac:dyDescent="0.2">
      <c r="A2" s="61" t="str">
        <f>Value!A2</f>
        <v>Rabanco Ltd (dba Allied Waste of Kent)</v>
      </c>
      <c r="B2" s="61"/>
    </row>
    <row r="3" spans="1:13" x14ac:dyDescent="0.2">
      <c r="A3" s="61"/>
      <c r="B3" s="61"/>
    </row>
    <row r="4" spans="1:13" x14ac:dyDescent="0.2">
      <c r="A4" s="61"/>
      <c r="B4" s="61"/>
    </row>
    <row r="5" spans="1:13" x14ac:dyDescent="0.2">
      <c r="B5" s="70"/>
      <c r="C5" s="63" t="s">
        <v>21</v>
      </c>
      <c r="D5" s="63" t="s">
        <v>22</v>
      </c>
      <c r="E5" s="63" t="s">
        <v>32</v>
      </c>
      <c r="F5" s="63" t="s">
        <v>23</v>
      </c>
      <c r="G5" s="63" t="s">
        <v>24</v>
      </c>
      <c r="H5" s="63" t="s">
        <v>25</v>
      </c>
      <c r="I5" s="63" t="s">
        <v>26</v>
      </c>
      <c r="J5" s="63" t="s">
        <v>27</v>
      </c>
      <c r="K5" s="63" t="s">
        <v>28</v>
      </c>
      <c r="L5" s="63" t="s">
        <v>29</v>
      </c>
      <c r="M5" s="63"/>
    </row>
    <row r="6" spans="1:13" ht="15.75" customHeight="1" x14ac:dyDescent="0.2">
      <c r="A6" s="128">
        <f>'Single Family'!$C$6</f>
        <v>42856</v>
      </c>
      <c r="B6" s="66" t="s">
        <v>66</v>
      </c>
      <c r="C6" s="106">
        <f>'Single Family'!C74</f>
        <v>905.35</v>
      </c>
      <c r="D6" s="107">
        <f>'Single Family'!C76</f>
        <v>-15.91</v>
      </c>
      <c r="E6" s="107">
        <f>'Single Family'!C77</f>
        <v>0</v>
      </c>
      <c r="F6" s="108">
        <f>'Single Family'!C72</f>
        <v>71.989999999999995</v>
      </c>
      <c r="G6" s="106">
        <f>'Single Family'!C69</f>
        <v>65.3</v>
      </c>
      <c r="H6" s="106">
        <f>'Single Family'!C79</f>
        <v>60.14</v>
      </c>
      <c r="I6" s="106">
        <f>'Single Family'!C73</f>
        <v>92.51</v>
      </c>
      <c r="J6" s="106">
        <f>'Single Family'!C73</f>
        <v>92.51</v>
      </c>
      <c r="K6" s="106">
        <f>'Single Family'!C70</f>
        <v>132.68</v>
      </c>
      <c r="L6" s="107">
        <f>'Single Family'!C78</f>
        <v>-134.59</v>
      </c>
      <c r="M6" s="155"/>
    </row>
    <row r="7" spans="1:13" ht="15.75" customHeight="1" x14ac:dyDescent="0.2">
      <c r="A7" s="65">
        <f>+'Commodity Tonnages'!A7</f>
        <v>42916</v>
      </c>
      <c r="B7" s="66" t="s">
        <v>67</v>
      </c>
      <c r="C7" s="106">
        <f>'Single Family'!D74</f>
        <v>894.34</v>
      </c>
      <c r="D7" s="107">
        <f>'Single Family'!D76</f>
        <v>-6.4</v>
      </c>
      <c r="E7" s="107">
        <f>'Single Family'!D77</f>
        <v>0</v>
      </c>
      <c r="F7" s="108">
        <f>'Single Family'!D72</f>
        <v>69.08</v>
      </c>
      <c r="G7" s="106">
        <f>'Single Family'!D69</f>
        <v>85.06</v>
      </c>
      <c r="H7" s="106">
        <f>'Single Family'!D79</f>
        <v>78.88</v>
      </c>
      <c r="I7" s="106">
        <f>'Single Family'!D73</f>
        <v>70.599999999999994</v>
      </c>
      <c r="J7" s="106">
        <f>'Single Family'!D73</f>
        <v>70.599999999999994</v>
      </c>
      <c r="K7" s="106">
        <f>'Single Family'!D70</f>
        <v>159.52000000000001</v>
      </c>
      <c r="L7" s="107">
        <f>'Single Family'!D78</f>
        <v>-134.59</v>
      </c>
      <c r="M7" s="155"/>
    </row>
    <row r="8" spans="1:13" ht="15.75" customHeight="1" x14ac:dyDescent="0.2">
      <c r="A8" s="65">
        <f>+'Commodity Tonnages'!A8</f>
        <v>42947</v>
      </c>
      <c r="B8" s="66" t="s">
        <v>68</v>
      </c>
      <c r="C8" s="106">
        <f>'Single Family'!E74</f>
        <v>871.1</v>
      </c>
      <c r="D8" s="107">
        <f>'Single Family'!E76</f>
        <v>-6.61</v>
      </c>
      <c r="E8" s="107">
        <f>'Single Family'!E77</f>
        <v>0</v>
      </c>
      <c r="F8" s="108">
        <f>'Single Family'!E72</f>
        <v>67.63</v>
      </c>
      <c r="G8" s="106">
        <f>'Single Family'!E69</f>
        <v>98.56</v>
      </c>
      <c r="H8" s="106">
        <f>'Single Family'!E79</f>
        <v>93.44</v>
      </c>
      <c r="I8" s="106">
        <f>'Single Family'!E73</f>
        <v>62.55</v>
      </c>
      <c r="J8" s="106">
        <f>'Single Family'!E73</f>
        <v>62.55</v>
      </c>
      <c r="K8" s="106">
        <f>'Single Family'!E70</f>
        <v>163.29</v>
      </c>
      <c r="L8" s="107">
        <f>'Single Family'!E78</f>
        <v>-134.59</v>
      </c>
      <c r="M8" s="155"/>
    </row>
    <row r="9" spans="1:13" ht="15.75" customHeight="1" x14ac:dyDescent="0.2">
      <c r="A9" s="65">
        <f>+'Commodity Tonnages'!A9</f>
        <v>42978</v>
      </c>
      <c r="B9" s="66" t="s">
        <v>69</v>
      </c>
      <c r="C9" s="106">
        <f>'Single Family'!F74</f>
        <v>905.36</v>
      </c>
      <c r="D9" s="107">
        <f>'Single Family'!F76</f>
        <v>-4.34</v>
      </c>
      <c r="E9" s="107">
        <f>'Single Family'!F77</f>
        <v>0</v>
      </c>
      <c r="F9" s="108">
        <f>'Single Family'!F72</f>
        <v>78.11</v>
      </c>
      <c r="G9" s="106">
        <f>'Single Family'!F69</f>
        <v>81.63</v>
      </c>
      <c r="H9" s="106">
        <f>'Single Family'!F79</f>
        <v>77.209999999999994</v>
      </c>
      <c r="I9" s="106">
        <f>'Single Family'!F73</f>
        <v>83.03</v>
      </c>
      <c r="J9" s="106">
        <f>'Single Family'!F73</f>
        <v>83.03</v>
      </c>
      <c r="K9" s="106">
        <f>'Single Family'!F70</f>
        <v>145.72999999999999</v>
      </c>
      <c r="L9" s="107">
        <f>'Single Family'!F78</f>
        <v>-134.59</v>
      </c>
      <c r="M9" s="155"/>
    </row>
    <row r="10" spans="1:13" ht="15.75" customHeight="1" x14ac:dyDescent="0.2">
      <c r="A10" s="65">
        <f>+'Commodity Tonnages'!A10</f>
        <v>43008</v>
      </c>
      <c r="B10" s="66" t="s">
        <v>70</v>
      </c>
      <c r="C10" s="106">
        <f>'Single Family'!G74</f>
        <v>953.11</v>
      </c>
      <c r="D10" s="107">
        <f>'Single Family'!G76</f>
        <v>-5.61</v>
      </c>
      <c r="E10" s="107">
        <f>'Single Family'!G77</f>
        <v>0</v>
      </c>
      <c r="F10" s="108">
        <f>'Single Family'!G72</f>
        <v>86.53</v>
      </c>
      <c r="G10" s="106">
        <f>'Single Family'!G69</f>
        <v>63.02</v>
      </c>
      <c r="H10" s="106">
        <f>'Single Family'!G79</f>
        <v>57.85</v>
      </c>
      <c r="I10" s="106">
        <f>'Single Family'!G73</f>
        <v>72.099999999999994</v>
      </c>
      <c r="J10" s="106">
        <f>'Single Family'!G73</f>
        <v>72.099999999999994</v>
      </c>
      <c r="K10" s="106">
        <f>'Single Family'!G70</f>
        <v>110.68</v>
      </c>
      <c r="L10" s="107">
        <f>'Single Family'!G78</f>
        <v>-134.59</v>
      </c>
      <c r="M10" s="155"/>
    </row>
    <row r="11" spans="1:13" ht="15.75" customHeight="1" x14ac:dyDescent="0.2">
      <c r="A11" s="65">
        <f>+'Commodity Tonnages'!A11</f>
        <v>43039</v>
      </c>
      <c r="B11" s="66" t="s">
        <v>71</v>
      </c>
      <c r="C11" s="106">
        <f>'Single Family'!H74</f>
        <v>980.71</v>
      </c>
      <c r="D11" s="107">
        <f>'Single Family'!H76</f>
        <v>-8.7799999999999994</v>
      </c>
      <c r="E11" s="107">
        <f>'Single Family'!H77</f>
        <v>0</v>
      </c>
      <c r="F11" s="108">
        <f>'Single Family'!H72</f>
        <v>76.06</v>
      </c>
      <c r="G11" s="106">
        <f>'Single Family'!H69</f>
        <v>60.33</v>
      </c>
      <c r="H11" s="106">
        <f>'Single Family'!H79</f>
        <v>55.22</v>
      </c>
      <c r="I11" s="106">
        <f>'Single Family'!H73</f>
        <v>48.29</v>
      </c>
      <c r="J11" s="106">
        <f>'Single Family'!H73</f>
        <v>48.29</v>
      </c>
      <c r="K11" s="106">
        <f>'Single Family'!H70</f>
        <v>81.77</v>
      </c>
      <c r="L11" s="107">
        <f>'Single Family'!H78</f>
        <v>-134.59</v>
      </c>
      <c r="M11" s="155"/>
    </row>
    <row r="12" spans="1:13" ht="15.75" customHeight="1" x14ac:dyDescent="0.2">
      <c r="A12" s="65">
        <f>+'Commodity Tonnages'!A12</f>
        <v>43069</v>
      </c>
      <c r="B12" s="66" t="s">
        <v>72</v>
      </c>
      <c r="C12" s="106">
        <f>'Single Family'!I74</f>
        <v>971.66</v>
      </c>
      <c r="D12" s="107">
        <f>'Single Family'!I76</f>
        <v>-2.5099999999999998</v>
      </c>
      <c r="E12" s="107">
        <f>'Single Family'!I77</f>
        <v>0</v>
      </c>
      <c r="F12" s="108">
        <f>'Single Family'!I72</f>
        <v>78.08</v>
      </c>
      <c r="G12" s="106">
        <f>'Single Family'!I69</f>
        <v>65.930000000000007</v>
      </c>
      <c r="H12" s="106">
        <f>'Single Family'!I79</f>
        <v>52.85</v>
      </c>
      <c r="I12" s="106">
        <f>'Single Family'!I73</f>
        <v>50.05</v>
      </c>
      <c r="J12" s="106">
        <f>'Single Family'!I73</f>
        <v>50.05</v>
      </c>
      <c r="K12" s="106">
        <f>'Single Family'!I70</f>
        <v>114.18</v>
      </c>
      <c r="L12" s="107">
        <f>'Single Family'!I78</f>
        <v>-134.59</v>
      </c>
      <c r="M12" s="155"/>
    </row>
    <row r="13" spans="1:13" ht="15.75" customHeight="1" x14ac:dyDescent="0.2">
      <c r="A13" s="65">
        <f>+'Commodity Tonnages'!A13</f>
        <v>43100</v>
      </c>
      <c r="B13" s="66" t="s">
        <v>73</v>
      </c>
      <c r="C13" s="106">
        <f>'Single Family'!J74</f>
        <v>973.36</v>
      </c>
      <c r="D13" s="107">
        <f>'Single Family'!J76</f>
        <v>-9.4600000000000009</v>
      </c>
      <c r="E13" s="107">
        <f>'Single Family'!J77</f>
        <v>0</v>
      </c>
      <c r="F13" s="108">
        <f>'Single Family'!J72</f>
        <v>88.61</v>
      </c>
      <c r="G13" s="106">
        <f>'Single Family'!J69</f>
        <v>63.69</v>
      </c>
      <c r="H13" s="106">
        <f>'Single Family'!J79</f>
        <v>49.88</v>
      </c>
      <c r="I13" s="106">
        <f>'Single Family'!J73</f>
        <v>51.67</v>
      </c>
      <c r="J13" s="106">
        <f>'Single Family'!J73</f>
        <v>51.67</v>
      </c>
      <c r="K13" s="106">
        <f>'Single Family'!J70</f>
        <v>107.57</v>
      </c>
      <c r="L13" s="107">
        <f>'Single Family'!J78</f>
        <v>-134.59</v>
      </c>
      <c r="M13" s="155"/>
    </row>
    <row r="14" spans="1:13" ht="15.75" customHeight="1" x14ac:dyDescent="0.2">
      <c r="A14" s="65">
        <f>+'Commodity Tonnages'!A14</f>
        <v>43131</v>
      </c>
      <c r="B14" s="66" t="s">
        <v>74</v>
      </c>
      <c r="C14" s="106">
        <f>'Single Family'!K74</f>
        <v>1013.02</v>
      </c>
      <c r="D14" s="107">
        <f>'Single Family'!K76</f>
        <v>-9.98</v>
      </c>
      <c r="E14" s="107">
        <f>'Single Family'!K77</f>
        <v>0</v>
      </c>
      <c r="F14" s="108">
        <f>'Single Family'!K72</f>
        <v>102.96</v>
      </c>
      <c r="G14" s="106">
        <f>'Single Family'!K69</f>
        <v>39.799999999999997</v>
      </c>
      <c r="H14" s="106">
        <f>'Single Family'!K79</f>
        <v>40.17</v>
      </c>
      <c r="I14" s="106">
        <f>'Single Family'!K73</f>
        <v>53.44</v>
      </c>
      <c r="J14" s="106">
        <f>'Single Family'!K73</f>
        <v>53.44</v>
      </c>
      <c r="K14" s="106">
        <f>'Single Family'!K70</f>
        <v>105.09</v>
      </c>
      <c r="L14" s="107">
        <f>'Single Family'!K78</f>
        <v>-134.59</v>
      </c>
      <c r="M14" s="155"/>
    </row>
    <row r="15" spans="1:13" ht="15.75" customHeight="1" x14ac:dyDescent="0.2">
      <c r="A15" s="65">
        <f>+'Commodity Tonnages'!A15</f>
        <v>43159</v>
      </c>
      <c r="B15" s="66" t="s">
        <v>75</v>
      </c>
      <c r="C15" s="106">
        <f>'Single Family'!L74</f>
        <v>988.19</v>
      </c>
      <c r="D15" s="107">
        <f>'Single Family'!L76</f>
        <v>-8.01</v>
      </c>
      <c r="E15" s="107">
        <f>'Single Family'!L77</f>
        <v>0</v>
      </c>
      <c r="F15" s="108">
        <f>'Single Family'!L72</f>
        <v>92.72</v>
      </c>
      <c r="G15" s="106">
        <f>'Single Family'!L69</f>
        <v>-18.13</v>
      </c>
      <c r="H15" s="106">
        <f>'Single Family'!L79</f>
        <v>-21.81</v>
      </c>
      <c r="I15" s="106">
        <f>'Single Family'!L73</f>
        <v>85.33</v>
      </c>
      <c r="J15" s="106">
        <f>'Single Family'!L73</f>
        <v>85.33</v>
      </c>
      <c r="K15" s="106">
        <f>'Single Family'!L70</f>
        <v>62.76</v>
      </c>
      <c r="L15" s="107">
        <f>'Single Family'!L78</f>
        <v>-134.59</v>
      </c>
      <c r="M15" s="155"/>
    </row>
    <row r="16" spans="1:13" ht="15.75" customHeight="1" x14ac:dyDescent="0.2">
      <c r="A16" s="65">
        <f>+'Commodity Tonnages'!A16</f>
        <v>43190</v>
      </c>
      <c r="B16" s="66" t="s">
        <v>76</v>
      </c>
      <c r="C16" s="106">
        <f>'Single Family'!M74</f>
        <v>977.91</v>
      </c>
      <c r="D16" s="107">
        <f>'Single Family'!M76</f>
        <v>-9</v>
      </c>
      <c r="E16" s="107">
        <f>'Single Family'!M77</f>
        <v>0</v>
      </c>
      <c r="F16" s="108">
        <f>'Single Family'!M72</f>
        <v>106.7</v>
      </c>
      <c r="G16" s="106">
        <f>'Single Family'!M69</f>
        <v>-16.23</v>
      </c>
      <c r="H16" s="106">
        <f>'Single Family'!M79</f>
        <v>-21.39</v>
      </c>
      <c r="I16" s="106">
        <f>'Single Family'!M73</f>
        <v>105.24</v>
      </c>
      <c r="J16" s="106">
        <f>'Single Family'!M73</f>
        <v>105.24</v>
      </c>
      <c r="K16" s="106">
        <f>'Single Family'!M70</f>
        <v>56.69</v>
      </c>
      <c r="L16" s="107">
        <f>'Single Family'!M78</f>
        <v>-134.59</v>
      </c>
      <c r="M16" s="155"/>
    </row>
    <row r="17" spans="1:14" ht="15.75" customHeight="1" x14ac:dyDescent="0.2">
      <c r="A17" s="65">
        <f>+'Commodity Tonnages'!A17</f>
        <v>43220</v>
      </c>
      <c r="B17" s="66" t="s">
        <v>77</v>
      </c>
      <c r="C17" s="106">
        <f>'Single Family'!N74</f>
        <v>989.87</v>
      </c>
      <c r="D17" s="107">
        <f>'Single Family'!N76</f>
        <v>-10.23</v>
      </c>
      <c r="E17" s="107">
        <f>'Single Family'!N77</f>
        <v>0</v>
      </c>
      <c r="F17" s="108">
        <f>'Single Family'!N72</f>
        <v>109.51</v>
      </c>
      <c r="G17" s="106">
        <f>'Single Family'!N69</f>
        <v>0</v>
      </c>
      <c r="H17" s="106">
        <f>'Single Family'!N79</f>
        <v>-20.59</v>
      </c>
      <c r="I17" s="106">
        <f>'Single Family'!N73</f>
        <v>107.91</v>
      </c>
      <c r="J17" s="106">
        <f>'Single Family'!N73</f>
        <v>107.91</v>
      </c>
      <c r="K17" s="106">
        <f>'Single Family'!N70</f>
        <v>57.61</v>
      </c>
      <c r="L17" s="107">
        <f>'Single Family'!N78</f>
        <v>-134.59</v>
      </c>
      <c r="M17" s="155"/>
    </row>
    <row r="18" spans="1:14" x14ac:dyDescent="0.2">
      <c r="A18" s="66"/>
      <c r="B18" s="66"/>
      <c r="C18" s="67"/>
      <c r="D18" s="67"/>
      <c r="E18" s="67"/>
      <c r="F18" s="67"/>
      <c r="G18" s="67"/>
      <c r="H18" s="67"/>
      <c r="I18" s="67"/>
      <c r="J18" s="67"/>
      <c r="K18" s="67"/>
      <c r="L18" s="66"/>
      <c r="M18" s="67"/>
    </row>
    <row r="19" spans="1:14" x14ac:dyDescent="0.2">
      <c r="A19" s="69"/>
      <c r="B19" s="66"/>
      <c r="C19" s="67"/>
      <c r="D19" s="67"/>
      <c r="E19" s="67"/>
      <c r="F19" s="67"/>
      <c r="G19" s="67"/>
      <c r="H19" s="67"/>
      <c r="I19" s="67"/>
      <c r="J19" s="67"/>
      <c r="K19" s="67"/>
      <c r="L19" s="67"/>
      <c r="M19" s="67"/>
      <c r="N19" s="67"/>
    </row>
    <row r="20" spans="1:14" x14ac:dyDescent="0.2">
      <c r="A20" s="66"/>
      <c r="B20" s="66"/>
      <c r="C20" s="66"/>
      <c r="D20" s="66"/>
      <c r="E20" s="66"/>
      <c r="F20" s="66"/>
      <c r="G20" s="66"/>
      <c r="H20" s="66"/>
      <c r="I20" s="66"/>
      <c r="J20" s="66"/>
      <c r="K20" s="66"/>
      <c r="L20" s="66"/>
      <c r="M20" s="67"/>
    </row>
    <row r="21" spans="1:14" x14ac:dyDescent="0.2">
      <c r="A21" s="66"/>
      <c r="B21" s="66"/>
      <c r="C21" s="66"/>
      <c r="D21" s="66"/>
      <c r="E21" s="66"/>
      <c r="F21" s="66"/>
      <c r="G21" s="66"/>
      <c r="H21" s="66"/>
      <c r="I21" s="66"/>
      <c r="J21" s="66"/>
      <c r="K21" s="66"/>
      <c r="L21" s="66"/>
      <c r="M21" s="67"/>
    </row>
    <row r="22" spans="1:14" x14ac:dyDescent="0.2">
      <c r="A22" s="66"/>
      <c r="B22" s="66"/>
      <c r="C22" s="66"/>
      <c r="D22" s="66"/>
      <c r="F22" s="66"/>
      <c r="G22" s="66"/>
      <c r="H22" s="66"/>
      <c r="I22" s="66"/>
      <c r="J22" s="66"/>
      <c r="K22" s="66"/>
      <c r="L22" s="66"/>
      <c r="M22" s="67"/>
    </row>
    <row r="23" spans="1:14" x14ac:dyDescent="0.2">
      <c r="A23" s="66"/>
      <c r="B23" s="66"/>
      <c r="C23" s="66"/>
      <c r="D23" s="66"/>
      <c r="F23" s="66"/>
      <c r="G23" s="66"/>
      <c r="H23" s="66"/>
      <c r="I23" s="66"/>
      <c r="J23" s="66"/>
      <c r="K23" s="66"/>
      <c r="L23" s="66"/>
      <c r="M23" s="67"/>
    </row>
    <row r="24" spans="1:14" x14ac:dyDescent="0.2">
      <c r="A24" s="66"/>
      <c r="B24" s="66"/>
      <c r="C24" s="66"/>
      <c r="D24" s="66"/>
      <c r="G24" s="66"/>
      <c r="H24" s="66"/>
      <c r="I24" s="66"/>
      <c r="J24" s="66"/>
      <c r="K24" s="66"/>
      <c r="L24" s="66"/>
      <c r="M24" s="67"/>
    </row>
    <row r="25" spans="1:14" x14ac:dyDescent="0.2">
      <c r="A25" s="66"/>
      <c r="B25" s="66"/>
      <c r="C25" s="66"/>
      <c r="D25" s="66"/>
      <c r="F25" s="66"/>
      <c r="G25" s="66"/>
      <c r="H25" s="66"/>
      <c r="I25" s="66"/>
      <c r="J25" s="66"/>
      <c r="K25" s="66"/>
      <c r="L25" s="66"/>
      <c r="M25" s="67"/>
    </row>
    <row r="26" spans="1:14" x14ac:dyDescent="0.2">
      <c r="A26" s="66"/>
      <c r="B26" s="66"/>
      <c r="C26" s="66"/>
      <c r="D26" s="66"/>
      <c r="F26" s="66"/>
      <c r="G26" s="66"/>
      <c r="H26" s="66"/>
      <c r="I26" s="66"/>
      <c r="J26" s="66"/>
      <c r="K26" s="66"/>
      <c r="L26" s="66"/>
      <c r="M26" s="67"/>
    </row>
    <row r="27" spans="1:14" x14ac:dyDescent="0.2">
      <c r="A27" s="66"/>
      <c r="B27" s="66"/>
      <c r="C27" s="66"/>
      <c r="D27" s="66"/>
      <c r="F27" s="66"/>
      <c r="G27" s="66"/>
      <c r="H27" s="66"/>
      <c r="I27" s="66"/>
      <c r="J27" s="66"/>
      <c r="K27" s="66"/>
      <c r="L27" s="66"/>
      <c r="M27" s="67"/>
    </row>
    <row r="28" spans="1:14" x14ac:dyDescent="0.2">
      <c r="A28" s="66"/>
      <c r="B28" s="66"/>
      <c r="C28" s="66"/>
      <c r="D28" s="66"/>
      <c r="F28" s="66"/>
      <c r="G28" s="66"/>
      <c r="H28" s="66"/>
      <c r="I28" s="66"/>
      <c r="J28" s="66"/>
      <c r="K28" s="66"/>
      <c r="L28" s="66"/>
      <c r="M28" s="67"/>
    </row>
    <row r="29" spans="1:14" x14ac:dyDescent="0.2">
      <c r="A29" s="66"/>
      <c r="B29" s="66"/>
      <c r="C29" s="66"/>
      <c r="D29" s="66"/>
      <c r="F29" s="66"/>
      <c r="G29" s="66"/>
      <c r="H29" s="66"/>
      <c r="I29" s="66"/>
      <c r="J29" s="66"/>
      <c r="K29" s="66"/>
      <c r="L29" s="66"/>
      <c r="M29" s="67"/>
    </row>
    <row r="30" spans="1:14" x14ac:dyDescent="0.2">
      <c r="A30" s="66"/>
      <c r="B30" s="66"/>
      <c r="C30" s="66"/>
      <c r="D30" s="66"/>
      <c r="F30" s="66"/>
      <c r="G30" s="66"/>
      <c r="H30" s="66"/>
      <c r="I30" s="66"/>
      <c r="J30" s="66"/>
      <c r="K30" s="66"/>
      <c r="L30" s="66"/>
      <c r="M30" s="66"/>
    </row>
    <row r="31" spans="1:14" x14ac:dyDescent="0.2">
      <c r="A31" s="66"/>
      <c r="B31" s="66"/>
      <c r="C31" s="66"/>
      <c r="D31" s="66"/>
      <c r="F31" s="66"/>
      <c r="G31" s="66"/>
      <c r="H31" s="66"/>
      <c r="I31" s="66"/>
      <c r="J31" s="66"/>
      <c r="K31" s="66"/>
      <c r="L31" s="66"/>
      <c r="M31" s="66"/>
    </row>
    <row r="32" spans="1:14" x14ac:dyDescent="0.2">
      <c r="A32" s="66"/>
      <c r="B32" s="66"/>
      <c r="C32" s="66"/>
      <c r="D32" s="66"/>
      <c r="F32" s="66"/>
      <c r="G32" s="66"/>
      <c r="H32" s="66"/>
      <c r="I32" s="66"/>
      <c r="J32" s="66"/>
      <c r="K32" s="66"/>
      <c r="L32" s="66"/>
      <c r="M32" s="66"/>
    </row>
    <row r="33" spans="1:13" x14ac:dyDescent="0.2">
      <c r="A33" s="66"/>
      <c r="B33" s="66"/>
      <c r="C33" s="66"/>
      <c r="D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row r="119" spans="1:13" x14ac:dyDescent="0.2">
      <c r="A119" s="66"/>
      <c r="B119" s="66"/>
      <c r="C119" s="66"/>
      <c r="D119" s="66"/>
      <c r="E119" s="66"/>
      <c r="F119" s="66"/>
      <c r="G119" s="66"/>
      <c r="H119" s="66"/>
      <c r="I119" s="66"/>
      <c r="J119" s="66"/>
      <c r="K119" s="66"/>
      <c r="L119" s="66"/>
      <c r="M119" s="66"/>
    </row>
    <row r="120" spans="1:13" x14ac:dyDescent="0.2">
      <c r="A120" s="66"/>
      <c r="B120" s="66"/>
      <c r="C120" s="66"/>
      <c r="D120" s="66"/>
      <c r="E120" s="66"/>
      <c r="F120" s="66"/>
      <c r="G120" s="66"/>
      <c r="H120" s="66"/>
      <c r="I120" s="66"/>
      <c r="J120" s="66"/>
      <c r="K120" s="66"/>
      <c r="L120" s="66"/>
      <c r="M120" s="66"/>
    </row>
  </sheetData>
  <phoneticPr fontId="0" type="noConversion"/>
  <pageMargins left="0.5" right="0.5" top="0.75" bottom="0.7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V105"/>
  <sheetViews>
    <sheetView showGridLines="0" zoomScaleNormal="100" workbookViewId="0">
      <pane xSplit="2" ySplit="6" topLeftCell="C7" activePane="bottomRight" state="frozen"/>
      <selection activeCell="G56" sqref="G56"/>
      <selection pane="topRight" activeCell="G56" sqref="G56"/>
      <selection pane="bottomLeft" activeCell="G56" sqref="G56"/>
      <selection pane="bottomRight" activeCell="C10" sqref="C10:N10"/>
    </sheetView>
  </sheetViews>
  <sheetFormatPr defaultRowHeight="11.25" x14ac:dyDescent="0.2"/>
  <cols>
    <col min="1" max="1" width="6" style="66" customWidth="1"/>
    <col min="2" max="2" width="17.85546875" style="66" customWidth="1"/>
    <col min="3" max="4" width="9.85546875" style="66" customWidth="1"/>
    <col min="5" max="5" width="11.28515625" style="66" customWidth="1"/>
    <col min="6" max="7" width="9.5703125" style="66" customWidth="1"/>
    <col min="8" max="8" width="9.85546875" style="66" customWidth="1"/>
    <col min="9" max="9" width="10.42578125" style="66" customWidth="1"/>
    <col min="10" max="10" width="10.7109375" style="66" customWidth="1"/>
    <col min="11" max="14" width="11.140625" style="66" bestFit="1" customWidth="1"/>
    <col min="15" max="15" width="10.7109375" style="66" bestFit="1" customWidth="1"/>
    <col min="16" max="16" width="9.85546875" style="66" bestFit="1" customWidth="1"/>
    <col min="17" max="21" width="9.140625" style="66"/>
    <col min="22" max="22" width="9.7109375" style="66" bestFit="1" customWidth="1"/>
    <col min="23" max="16384" width="9.140625" style="66"/>
  </cols>
  <sheetData>
    <row r="2" spans="1:17" x14ac:dyDescent="0.2">
      <c r="B2" s="83" t="s">
        <v>79</v>
      </c>
      <c r="C2" s="84"/>
    </row>
    <row r="3" spans="1:17" x14ac:dyDescent="0.2">
      <c r="C3" s="84"/>
    </row>
    <row r="4" spans="1:17" x14ac:dyDescent="0.2">
      <c r="C4" s="85"/>
      <c r="D4" s="85"/>
      <c r="E4" s="85"/>
      <c r="F4" s="85"/>
      <c r="G4" s="85"/>
      <c r="H4" s="86"/>
      <c r="I4" s="86"/>
      <c r="J4" s="83"/>
    </row>
    <row r="5" spans="1:17" x14ac:dyDescent="0.2">
      <c r="C5" s="85"/>
      <c r="D5" s="85"/>
      <c r="E5" s="85"/>
      <c r="F5" s="85"/>
      <c r="G5" s="85"/>
      <c r="H5" s="86"/>
      <c r="I5" s="86"/>
      <c r="J5" s="85"/>
    </row>
    <row r="6" spans="1:17" ht="9.9499999999999993" customHeight="1" x14ac:dyDescent="0.2">
      <c r="C6" s="125">
        <v>42856</v>
      </c>
      <c r="D6" s="87">
        <f t="shared" ref="D6:N6" si="0">EOMONTH(C6,1)</f>
        <v>42916</v>
      </c>
      <c r="E6" s="87">
        <f t="shared" si="0"/>
        <v>42947</v>
      </c>
      <c r="F6" s="87">
        <f t="shared" si="0"/>
        <v>42978</v>
      </c>
      <c r="G6" s="87">
        <f t="shared" si="0"/>
        <v>43008</v>
      </c>
      <c r="H6" s="87">
        <f t="shared" si="0"/>
        <v>43039</v>
      </c>
      <c r="I6" s="87">
        <f t="shared" si="0"/>
        <v>43069</v>
      </c>
      <c r="J6" s="87">
        <f t="shared" si="0"/>
        <v>43100</v>
      </c>
      <c r="K6" s="87">
        <f t="shared" si="0"/>
        <v>43131</v>
      </c>
      <c r="L6" s="87">
        <f t="shared" si="0"/>
        <v>43159</v>
      </c>
      <c r="M6" s="87">
        <f t="shared" si="0"/>
        <v>43190</v>
      </c>
      <c r="N6" s="87">
        <f t="shared" si="0"/>
        <v>43220</v>
      </c>
    </row>
    <row r="7" spans="1:17" s="67" customFormat="1" x14ac:dyDescent="0.2">
      <c r="A7" s="88" t="s">
        <v>46</v>
      </c>
      <c r="C7" s="126">
        <v>158.18</v>
      </c>
      <c r="D7" s="126">
        <v>120.3</v>
      </c>
      <c r="E7" s="126">
        <v>116.99</v>
      </c>
      <c r="F7" s="126">
        <v>118.45</v>
      </c>
      <c r="G7" s="126">
        <v>110.02</v>
      </c>
      <c r="H7" s="126">
        <v>130.63</v>
      </c>
      <c r="I7" s="126">
        <v>161.26</v>
      </c>
      <c r="J7" s="126">
        <v>129.85</v>
      </c>
      <c r="K7" s="126">
        <v>145.52000000000001</v>
      </c>
      <c r="L7" s="126">
        <v>101.32</v>
      </c>
      <c r="M7" s="126">
        <v>134.66</v>
      </c>
      <c r="N7" s="126">
        <v>150.30000000000001</v>
      </c>
      <c r="Q7" s="67">
        <f>AVERAGE(C7:N7)</f>
        <v>131.45666666666668</v>
      </c>
    </row>
    <row r="8" spans="1:17" x14ac:dyDescent="0.2">
      <c r="A8" s="66" t="s">
        <v>47</v>
      </c>
      <c r="C8" s="89">
        <v>0</v>
      </c>
      <c r="D8" s="89">
        <v>0</v>
      </c>
      <c r="E8" s="89">
        <v>0</v>
      </c>
      <c r="F8" s="89">
        <v>0</v>
      </c>
      <c r="G8" s="89">
        <v>0</v>
      </c>
      <c r="H8" s="89">
        <v>0</v>
      </c>
      <c r="I8" s="89">
        <v>0</v>
      </c>
      <c r="J8" s="89">
        <v>0</v>
      </c>
      <c r="K8" s="89">
        <v>0</v>
      </c>
      <c r="L8" s="89">
        <v>0</v>
      </c>
      <c r="M8" s="89">
        <v>0</v>
      </c>
      <c r="N8" s="89">
        <v>0</v>
      </c>
    </row>
    <row r="9" spans="1:17" x14ac:dyDescent="0.2">
      <c r="A9" s="66" t="s">
        <v>48</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17" x14ac:dyDescent="0.2">
      <c r="A10" s="83" t="s">
        <v>49</v>
      </c>
      <c r="C10" s="91">
        <f t="shared" ref="C10:N10" si="2">+C7-C9</f>
        <v>158.18</v>
      </c>
      <c r="D10" s="91">
        <f t="shared" si="2"/>
        <v>120.3</v>
      </c>
      <c r="E10" s="91">
        <f t="shared" si="2"/>
        <v>116.99</v>
      </c>
      <c r="F10" s="91">
        <f t="shared" si="2"/>
        <v>118.45</v>
      </c>
      <c r="G10" s="91">
        <f t="shared" si="2"/>
        <v>110.02</v>
      </c>
      <c r="H10" s="91">
        <f t="shared" si="2"/>
        <v>130.63</v>
      </c>
      <c r="I10" s="91">
        <f t="shared" si="2"/>
        <v>161.26</v>
      </c>
      <c r="J10" s="91">
        <f t="shared" si="2"/>
        <v>129.85</v>
      </c>
      <c r="K10" s="91">
        <f t="shared" si="2"/>
        <v>145.52000000000001</v>
      </c>
      <c r="L10" s="91">
        <f t="shared" si="2"/>
        <v>101.32</v>
      </c>
      <c r="M10" s="91">
        <f t="shared" si="2"/>
        <v>134.66</v>
      </c>
      <c r="N10" s="91">
        <f t="shared" si="2"/>
        <v>150.30000000000001</v>
      </c>
    </row>
    <row r="12" spans="1:17" x14ac:dyDescent="0.2">
      <c r="A12" s="83" t="s">
        <v>50</v>
      </c>
    </row>
    <row r="13" spans="1:17" s="92" customFormat="1" x14ac:dyDescent="0.2">
      <c r="B13" s="92" t="s">
        <v>24</v>
      </c>
      <c r="C13" s="123">
        <v>0.19500000000000001</v>
      </c>
      <c r="D13" s="123">
        <f>+C13</f>
        <v>0.19500000000000001</v>
      </c>
      <c r="E13" s="123">
        <f t="shared" ref="E13:M13" si="3">+D13</f>
        <v>0.19500000000000001</v>
      </c>
      <c r="F13" s="123">
        <f t="shared" si="3"/>
        <v>0.19500000000000001</v>
      </c>
      <c r="G13" s="123">
        <f t="shared" si="3"/>
        <v>0.19500000000000001</v>
      </c>
      <c r="H13" s="123">
        <f t="shared" si="3"/>
        <v>0.19500000000000001</v>
      </c>
      <c r="I13" s="123">
        <f t="shared" si="3"/>
        <v>0.19500000000000001</v>
      </c>
      <c r="J13" s="123">
        <f t="shared" si="3"/>
        <v>0.19500000000000001</v>
      </c>
      <c r="K13" s="123">
        <f t="shared" si="3"/>
        <v>0.19500000000000001</v>
      </c>
      <c r="L13" s="123">
        <f t="shared" si="3"/>
        <v>0.19500000000000001</v>
      </c>
      <c r="M13" s="123">
        <f t="shared" si="3"/>
        <v>0.19500000000000001</v>
      </c>
      <c r="N13" s="123">
        <v>0</v>
      </c>
    </row>
    <row r="14" spans="1:17" s="92" customFormat="1" x14ac:dyDescent="0.2">
      <c r="B14" s="92" t="s">
        <v>28</v>
      </c>
      <c r="C14" s="123">
        <v>0.1782</v>
      </c>
      <c r="D14" s="123">
        <f t="shared" ref="D14:N23" si="4">+C14</f>
        <v>0.1782</v>
      </c>
      <c r="E14" s="123">
        <f t="shared" si="4"/>
        <v>0.1782</v>
      </c>
      <c r="F14" s="123">
        <f t="shared" si="4"/>
        <v>0.1782</v>
      </c>
      <c r="G14" s="123">
        <f t="shared" si="4"/>
        <v>0.1782</v>
      </c>
      <c r="H14" s="123">
        <f t="shared" si="4"/>
        <v>0.1782</v>
      </c>
      <c r="I14" s="123">
        <f t="shared" si="4"/>
        <v>0.1782</v>
      </c>
      <c r="J14" s="123">
        <f t="shared" si="4"/>
        <v>0.1782</v>
      </c>
      <c r="K14" s="123">
        <f t="shared" si="4"/>
        <v>0.1782</v>
      </c>
      <c r="L14" s="123">
        <f t="shared" si="4"/>
        <v>0.1782</v>
      </c>
      <c r="M14" s="123">
        <f t="shared" si="4"/>
        <v>0.1782</v>
      </c>
      <c r="N14" s="123">
        <f t="shared" si="4"/>
        <v>0.1782</v>
      </c>
    </row>
    <row r="15" spans="1:17" s="92" customFormat="1" x14ac:dyDescent="0.2">
      <c r="B15" s="92" t="s">
        <v>51</v>
      </c>
      <c r="C15" s="123">
        <v>0</v>
      </c>
      <c r="D15" s="123">
        <f t="shared" si="4"/>
        <v>0</v>
      </c>
      <c r="E15" s="123">
        <f t="shared" si="4"/>
        <v>0</v>
      </c>
      <c r="F15" s="123">
        <f t="shared" si="4"/>
        <v>0</v>
      </c>
      <c r="G15" s="123">
        <f t="shared" si="4"/>
        <v>0</v>
      </c>
      <c r="H15" s="123">
        <f t="shared" si="4"/>
        <v>0</v>
      </c>
      <c r="I15" s="123">
        <f t="shared" si="4"/>
        <v>0</v>
      </c>
      <c r="J15" s="123">
        <f t="shared" si="4"/>
        <v>0</v>
      </c>
      <c r="K15" s="123">
        <f t="shared" si="4"/>
        <v>0</v>
      </c>
      <c r="L15" s="123">
        <f t="shared" si="4"/>
        <v>0</v>
      </c>
      <c r="M15" s="123">
        <f t="shared" si="4"/>
        <v>0</v>
      </c>
      <c r="N15" s="123">
        <f t="shared" si="4"/>
        <v>0</v>
      </c>
    </row>
    <row r="16" spans="1:17" s="92" customFormat="1" x14ac:dyDescent="0.2">
      <c r="B16" s="92" t="s">
        <v>52</v>
      </c>
      <c r="C16" s="123">
        <v>1.6500000000000001E-2</v>
      </c>
      <c r="D16" s="123">
        <f t="shared" si="4"/>
        <v>1.6500000000000001E-2</v>
      </c>
      <c r="E16" s="123">
        <f t="shared" si="4"/>
        <v>1.6500000000000001E-2</v>
      </c>
      <c r="F16" s="123">
        <f t="shared" si="4"/>
        <v>1.6500000000000001E-2</v>
      </c>
      <c r="G16" s="123">
        <f t="shared" si="4"/>
        <v>1.6500000000000001E-2</v>
      </c>
      <c r="H16" s="123">
        <f t="shared" si="4"/>
        <v>1.6500000000000001E-2</v>
      </c>
      <c r="I16" s="123">
        <f t="shared" si="4"/>
        <v>1.6500000000000001E-2</v>
      </c>
      <c r="J16" s="123">
        <f t="shared" si="4"/>
        <v>1.6500000000000001E-2</v>
      </c>
      <c r="K16" s="123">
        <f t="shared" si="4"/>
        <v>1.6500000000000001E-2</v>
      </c>
      <c r="L16" s="123">
        <f t="shared" si="4"/>
        <v>1.6500000000000001E-2</v>
      </c>
      <c r="M16" s="123">
        <f t="shared" si="4"/>
        <v>1.6500000000000001E-2</v>
      </c>
      <c r="N16" s="123">
        <f t="shared" si="4"/>
        <v>1.6500000000000001E-2</v>
      </c>
    </row>
    <row r="17" spans="1:14" s="92" customFormat="1" x14ac:dyDescent="0.2">
      <c r="B17" s="92" t="s">
        <v>53</v>
      </c>
      <c r="C17" s="123">
        <v>4.4900000000000002E-2</v>
      </c>
      <c r="D17" s="123">
        <f t="shared" si="4"/>
        <v>4.4900000000000002E-2</v>
      </c>
      <c r="E17" s="123">
        <f t="shared" si="4"/>
        <v>4.4900000000000002E-2</v>
      </c>
      <c r="F17" s="123">
        <f t="shared" si="4"/>
        <v>4.4900000000000002E-2</v>
      </c>
      <c r="G17" s="123">
        <f t="shared" si="4"/>
        <v>4.4900000000000002E-2</v>
      </c>
      <c r="H17" s="123">
        <f t="shared" si="4"/>
        <v>4.4900000000000002E-2</v>
      </c>
      <c r="I17" s="123">
        <f t="shared" si="4"/>
        <v>4.4900000000000002E-2</v>
      </c>
      <c r="J17" s="123">
        <f t="shared" si="4"/>
        <v>4.4900000000000002E-2</v>
      </c>
      <c r="K17" s="123">
        <f t="shared" si="4"/>
        <v>4.4900000000000002E-2</v>
      </c>
      <c r="L17" s="123">
        <f t="shared" si="4"/>
        <v>4.4900000000000002E-2</v>
      </c>
      <c r="M17" s="123">
        <f t="shared" si="4"/>
        <v>4.4900000000000002E-2</v>
      </c>
      <c r="N17" s="123">
        <f t="shared" si="4"/>
        <v>4.4900000000000002E-2</v>
      </c>
    </row>
    <row r="18" spans="1:14" s="92" customFormat="1" x14ac:dyDescent="0.2">
      <c r="B18" s="92" t="s">
        <v>54</v>
      </c>
      <c r="C18" s="123">
        <v>7.4999999999999997E-3</v>
      </c>
      <c r="D18" s="123">
        <f t="shared" si="4"/>
        <v>7.4999999999999997E-3</v>
      </c>
      <c r="E18" s="123">
        <f t="shared" si="4"/>
        <v>7.4999999999999997E-3</v>
      </c>
      <c r="F18" s="123">
        <f t="shared" si="4"/>
        <v>7.4999999999999997E-3</v>
      </c>
      <c r="G18" s="123">
        <f t="shared" si="4"/>
        <v>7.4999999999999997E-3</v>
      </c>
      <c r="H18" s="123">
        <f t="shared" si="4"/>
        <v>7.4999999999999997E-3</v>
      </c>
      <c r="I18" s="123">
        <f t="shared" si="4"/>
        <v>7.4999999999999997E-3</v>
      </c>
      <c r="J18" s="123">
        <f t="shared" si="4"/>
        <v>7.4999999999999997E-3</v>
      </c>
      <c r="K18" s="123">
        <f t="shared" si="4"/>
        <v>7.4999999999999997E-3</v>
      </c>
      <c r="L18" s="123">
        <f t="shared" si="4"/>
        <v>7.4999999999999997E-3</v>
      </c>
      <c r="M18" s="123">
        <f t="shared" si="4"/>
        <v>7.4999999999999997E-3</v>
      </c>
      <c r="N18" s="123">
        <f t="shared" si="4"/>
        <v>7.4999999999999997E-3</v>
      </c>
    </row>
    <row r="19" spans="1:14" s="92" customFormat="1" x14ac:dyDescent="0.2">
      <c r="B19" s="66" t="s">
        <v>55</v>
      </c>
      <c r="C19" s="123">
        <v>0</v>
      </c>
      <c r="D19" s="123">
        <f t="shared" si="4"/>
        <v>0</v>
      </c>
      <c r="E19" s="123">
        <f t="shared" si="4"/>
        <v>0</v>
      </c>
      <c r="F19" s="123">
        <f t="shared" si="4"/>
        <v>0</v>
      </c>
      <c r="G19" s="123">
        <f t="shared" si="4"/>
        <v>0</v>
      </c>
      <c r="H19" s="123">
        <f t="shared" si="4"/>
        <v>0</v>
      </c>
      <c r="I19" s="123">
        <f t="shared" si="4"/>
        <v>0</v>
      </c>
      <c r="J19" s="123">
        <f t="shared" si="4"/>
        <v>0</v>
      </c>
      <c r="K19" s="123">
        <f t="shared" si="4"/>
        <v>0</v>
      </c>
      <c r="L19" s="123">
        <f t="shared" si="4"/>
        <v>0</v>
      </c>
      <c r="M19" s="123">
        <f t="shared" si="4"/>
        <v>0</v>
      </c>
      <c r="N19" s="123">
        <f t="shared" si="4"/>
        <v>0</v>
      </c>
    </row>
    <row r="20" spans="1:14" s="92" customFormat="1" x14ac:dyDescent="0.2">
      <c r="B20" s="66" t="s">
        <v>22</v>
      </c>
      <c r="C20" s="123">
        <v>0.17680000000000001</v>
      </c>
      <c r="D20" s="123">
        <f t="shared" si="4"/>
        <v>0.17680000000000001</v>
      </c>
      <c r="E20" s="123">
        <f t="shared" si="4"/>
        <v>0.17680000000000001</v>
      </c>
      <c r="F20" s="123">
        <f t="shared" si="4"/>
        <v>0.17680000000000001</v>
      </c>
      <c r="G20" s="123">
        <f t="shared" si="4"/>
        <v>0.17680000000000001</v>
      </c>
      <c r="H20" s="123">
        <f t="shared" si="4"/>
        <v>0.17680000000000001</v>
      </c>
      <c r="I20" s="123">
        <f t="shared" si="4"/>
        <v>0.17680000000000001</v>
      </c>
      <c r="J20" s="123">
        <f t="shared" si="4"/>
        <v>0.17680000000000001</v>
      </c>
      <c r="K20" s="123">
        <f t="shared" si="4"/>
        <v>0.17680000000000001</v>
      </c>
      <c r="L20" s="123">
        <f t="shared" si="4"/>
        <v>0.17680000000000001</v>
      </c>
      <c r="M20" s="123">
        <f t="shared" si="4"/>
        <v>0.17680000000000001</v>
      </c>
      <c r="N20" s="123">
        <f t="shared" si="4"/>
        <v>0.17680000000000001</v>
      </c>
    </row>
    <row r="21" spans="1:14" s="92" customFormat="1" x14ac:dyDescent="0.2">
      <c r="B21" s="92" t="s">
        <v>56</v>
      </c>
      <c r="C21" s="123">
        <v>0</v>
      </c>
      <c r="D21" s="123">
        <f t="shared" si="4"/>
        <v>0</v>
      </c>
      <c r="E21" s="123">
        <f t="shared" si="4"/>
        <v>0</v>
      </c>
      <c r="F21" s="123">
        <f t="shared" si="4"/>
        <v>0</v>
      </c>
      <c r="G21" s="123">
        <f t="shared" si="4"/>
        <v>0</v>
      </c>
      <c r="H21" s="123">
        <f t="shared" si="4"/>
        <v>0</v>
      </c>
      <c r="I21" s="123">
        <f t="shared" si="4"/>
        <v>0</v>
      </c>
      <c r="J21" s="123">
        <f t="shared" si="4"/>
        <v>0</v>
      </c>
      <c r="K21" s="123">
        <f t="shared" si="4"/>
        <v>0</v>
      </c>
      <c r="L21" s="123">
        <f t="shared" si="4"/>
        <v>0</v>
      </c>
      <c r="M21" s="123">
        <f t="shared" si="4"/>
        <v>0</v>
      </c>
      <c r="N21" s="123">
        <f t="shared" si="4"/>
        <v>0</v>
      </c>
    </row>
    <row r="22" spans="1:14" s="92" customFormat="1" x14ac:dyDescent="0.2">
      <c r="B22" s="92" t="s">
        <v>57</v>
      </c>
      <c r="C22" s="123">
        <v>5.930000000000013E-2</v>
      </c>
      <c r="D22" s="123">
        <f t="shared" si="4"/>
        <v>5.930000000000013E-2</v>
      </c>
      <c r="E22" s="123">
        <f t="shared" si="4"/>
        <v>5.930000000000013E-2</v>
      </c>
      <c r="F22" s="123">
        <f t="shared" si="4"/>
        <v>5.930000000000013E-2</v>
      </c>
      <c r="G22" s="123">
        <f t="shared" si="4"/>
        <v>5.930000000000013E-2</v>
      </c>
      <c r="H22" s="123">
        <f t="shared" si="4"/>
        <v>5.930000000000013E-2</v>
      </c>
      <c r="I22" s="123">
        <f t="shared" si="4"/>
        <v>5.930000000000013E-2</v>
      </c>
      <c r="J22" s="123">
        <f t="shared" si="4"/>
        <v>5.930000000000013E-2</v>
      </c>
      <c r="K22" s="123">
        <f t="shared" si="4"/>
        <v>5.930000000000013E-2</v>
      </c>
      <c r="L22" s="123">
        <f t="shared" si="4"/>
        <v>5.930000000000013E-2</v>
      </c>
      <c r="M22" s="123">
        <f t="shared" si="4"/>
        <v>5.930000000000013E-2</v>
      </c>
      <c r="N22" s="123">
        <f t="shared" si="4"/>
        <v>5.930000000000013E-2</v>
      </c>
    </row>
    <row r="23" spans="1:14" s="92" customFormat="1" x14ac:dyDescent="0.2">
      <c r="B23" s="92" t="s">
        <v>58</v>
      </c>
      <c r="C23" s="124">
        <v>0.32179999999999997</v>
      </c>
      <c r="D23" s="123">
        <f t="shared" si="4"/>
        <v>0.32179999999999997</v>
      </c>
      <c r="E23" s="123">
        <f t="shared" si="4"/>
        <v>0.32179999999999997</v>
      </c>
      <c r="F23" s="123">
        <f t="shared" si="4"/>
        <v>0.32179999999999997</v>
      </c>
      <c r="G23" s="123">
        <f t="shared" si="4"/>
        <v>0.32179999999999997</v>
      </c>
      <c r="H23" s="123">
        <f t="shared" si="4"/>
        <v>0.32179999999999997</v>
      </c>
      <c r="I23" s="123">
        <f t="shared" si="4"/>
        <v>0.32179999999999997</v>
      </c>
      <c r="J23" s="123">
        <f t="shared" si="4"/>
        <v>0.32179999999999997</v>
      </c>
      <c r="K23" s="123">
        <f t="shared" si="4"/>
        <v>0.32179999999999997</v>
      </c>
      <c r="L23" s="123">
        <f t="shared" si="4"/>
        <v>0.32179999999999997</v>
      </c>
      <c r="M23" s="123">
        <f t="shared" si="4"/>
        <v>0.32179999999999997</v>
      </c>
      <c r="N23" s="123">
        <v>0.51680000000000004</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83" t="s">
        <v>59</v>
      </c>
    </row>
    <row r="27" spans="1:14" x14ac:dyDescent="0.2">
      <c r="B27" s="66" t="s">
        <v>24</v>
      </c>
      <c r="C27" s="75">
        <f t="shared" ref="C27:C37" si="5">+C$10*C13</f>
        <v>30.845100000000002</v>
      </c>
      <c r="D27" s="75">
        <f t="shared" ref="D27:M27" si="6">+D$10*D13</f>
        <v>23.458500000000001</v>
      </c>
      <c r="E27" s="75">
        <f t="shared" si="6"/>
        <v>22.81305</v>
      </c>
      <c r="F27" s="75">
        <f t="shared" si="6"/>
        <v>23.097750000000001</v>
      </c>
      <c r="G27" s="75">
        <f t="shared" si="6"/>
        <v>21.453900000000001</v>
      </c>
      <c r="H27" s="75">
        <f t="shared" si="6"/>
        <v>25.472850000000001</v>
      </c>
      <c r="I27" s="75">
        <f t="shared" si="6"/>
        <v>31.445699999999999</v>
      </c>
      <c r="J27" s="75">
        <f t="shared" si="6"/>
        <v>25.32075</v>
      </c>
      <c r="K27" s="75">
        <f t="shared" si="6"/>
        <v>28.376400000000004</v>
      </c>
      <c r="L27" s="75">
        <f t="shared" si="6"/>
        <v>19.757400000000001</v>
      </c>
      <c r="M27" s="75">
        <f t="shared" si="6"/>
        <v>26.258700000000001</v>
      </c>
      <c r="N27" s="75">
        <f>+N$10*N13</f>
        <v>0</v>
      </c>
    </row>
    <row r="28" spans="1:14" x14ac:dyDescent="0.2">
      <c r="B28" s="66" t="s">
        <v>28</v>
      </c>
      <c r="C28" s="75">
        <f t="shared" si="5"/>
        <v>28.187676</v>
      </c>
      <c r="D28" s="75">
        <f t="shared" ref="D28:M28" si="7">+D$10*D14</f>
        <v>21.437459999999998</v>
      </c>
      <c r="E28" s="75">
        <f>+E$10*E14</f>
        <v>20.847617999999997</v>
      </c>
      <c r="F28" s="75">
        <f t="shared" si="7"/>
        <v>21.107790000000001</v>
      </c>
      <c r="G28" s="75">
        <f t="shared" si="7"/>
        <v>19.605563999999998</v>
      </c>
      <c r="H28" s="75">
        <f t="shared" si="7"/>
        <v>23.278265999999999</v>
      </c>
      <c r="I28" s="75">
        <f t="shared" si="7"/>
        <v>28.736531999999997</v>
      </c>
      <c r="J28" s="75">
        <f t="shared" si="7"/>
        <v>23.13927</v>
      </c>
      <c r="K28" s="75">
        <f t="shared" si="7"/>
        <v>25.931664000000001</v>
      </c>
      <c r="L28" s="75">
        <f t="shared" si="7"/>
        <v>18.055223999999999</v>
      </c>
      <c r="M28" s="75">
        <f t="shared" si="7"/>
        <v>23.996411999999999</v>
      </c>
      <c r="N28" s="75">
        <f>+N$10*N14</f>
        <v>26.783460000000002</v>
      </c>
    </row>
    <row r="29" spans="1:14" x14ac:dyDescent="0.2">
      <c r="B29" s="66" t="s">
        <v>51</v>
      </c>
      <c r="C29" s="75">
        <f t="shared" si="5"/>
        <v>0</v>
      </c>
      <c r="D29" s="75">
        <f t="shared" ref="D29:N29" si="8">+D$10*D15</f>
        <v>0</v>
      </c>
      <c r="E29" s="75">
        <f t="shared" si="8"/>
        <v>0</v>
      </c>
      <c r="F29" s="75">
        <f t="shared" si="8"/>
        <v>0</v>
      </c>
      <c r="G29" s="75">
        <f t="shared" si="8"/>
        <v>0</v>
      </c>
      <c r="H29" s="75">
        <f t="shared" si="8"/>
        <v>0</v>
      </c>
      <c r="I29" s="75">
        <f t="shared" si="8"/>
        <v>0</v>
      </c>
      <c r="J29" s="75">
        <f t="shared" si="8"/>
        <v>0</v>
      </c>
      <c r="K29" s="75">
        <f t="shared" si="8"/>
        <v>0</v>
      </c>
      <c r="L29" s="75">
        <f t="shared" si="8"/>
        <v>0</v>
      </c>
      <c r="M29" s="75">
        <f t="shared" si="8"/>
        <v>0</v>
      </c>
      <c r="N29" s="75">
        <f t="shared" si="8"/>
        <v>0</v>
      </c>
    </row>
    <row r="30" spans="1:14" x14ac:dyDescent="0.2">
      <c r="B30" s="66" t="s">
        <v>52</v>
      </c>
      <c r="C30" s="75">
        <f t="shared" si="5"/>
        <v>2.6099700000000001</v>
      </c>
      <c r="D30" s="75">
        <f t="shared" ref="D30:N30" si="9">+D$10*D16</f>
        <v>1.98495</v>
      </c>
      <c r="E30" s="75">
        <f t="shared" si="9"/>
        <v>1.9303349999999999</v>
      </c>
      <c r="F30" s="75">
        <f t="shared" si="9"/>
        <v>1.9544250000000001</v>
      </c>
      <c r="G30" s="75">
        <f t="shared" si="9"/>
        <v>1.8153300000000001</v>
      </c>
      <c r="H30" s="75">
        <f t="shared" si="9"/>
        <v>2.1553949999999999</v>
      </c>
      <c r="I30" s="75">
        <f t="shared" si="9"/>
        <v>2.66079</v>
      </c>
      <c r="J30" s="75">
        <f t="shared" si="9"/>
        <v>2.142525</v>
      </c>
      <c r="K30" s="75">
        <f t="shared" si="9"/>
        <v>2.4010800000000003</v>
      </c>
      <c r="L30" s="75">
        <f t="shared" si="9"/>
        <v>1.67178</v>
      </c>
      <c r="M30" s="75">
        <f t="shared" si="9"/>
        <v>2.2218900000000001</v>
      </c>
      <c r="N30" s="75">
        <f t="shared" si="9"/>
        <v>2.4799500000000001</v>
      </c>
    </row>
    <row r="31" spans="1:14" x14ac:dyDescent="0.2">
      <c r="B31" s="66" t="s">
        <v>53</v>
      </c>
      <c r="C31" s="75">
        <f t="shared" si="5"/>
        <v>7.1022820000000007</v>
      </c>
      <c r="D31" s="75">
        <f t="shared" ref="D31:N31" si="10">+D$10*D17</f>
        <v>5.4014699999999998</v>
      </c>
      <c r="E31" s="75">
        <f t="shared" si="10"/>
        <v>5.2528509999999997</v>
      </c>
      <c r="F31" s="75">
        <f t="shared" si="10"/>
        <v>5.3184050000000003</v>
      </c>
      <c r="G31" s="75">
        <f t="shared" si="10"/>
        <v>4.9398980000000003</v>
      </c>
      <c r="H31" s="75">
        <f t="shared" si="10"/>
        <v>5.8652870000000004</v>
      </c>
      <c r="I31" s="75">
        <f t="shared" si="10"/>
        <v>7.2405739999999996</v>
      </c>
      <c r="J31" s="75">
        <f t="shared" si="10"/>
        <v>5.8302649999999998</v>
      </c>
      <c r="K31" s="75">
        <f t="shared" si="10"/>
        <v>6.5338480000000008</v>
      </c>
      <c r="L31" s="75">
        <f t="shared" si="10"/>
        <v>4.5492679999999996</v>
      </c>
      <c r="M31" s="75">
        <f t="shared" si="10"/>
        <v>6.0462340000000001</v>
      </c>
      <c r="N31" s="75">
        <f t="shared" si="10"/>
        <v>6.7484700000000011</v>
      </c>
    </row>
    <row r="32" spans="1:14" x14ac:dyDescent="0.2">
      <c r="B32" s="66" t="s">
        <v>54</v>
      </c>
      <c r="C32" s="75">
        <f t="shared" si="5"/>
        <v>1.18635</v>
      </c>
      <c r="D32" s="75">
        <f t="shared" ref="D32:N32" si="11">+D$10*D18</f>
        <v>0.90225</v>
      </c>
      <c r="E32" s="75">
        <f t="shared" si="11"/>
        <v>0.8774249999999999</v>
      </c>
      <c r="F32" s="75">
        <f t="shared" si="11"/>
        <v>0.88837500000000003</v>
      </c>
      <c r="G32" s="75">
        <f t="shared" si="11"/>
        <v>0.82514999999999994</v>
      </c>
      <c r="H32" s="75">
        <f t="shared" si="11"/>
        <v>0.97972499999999996</v>
      </c>
      <c r="I32" s="75">
        <f t="shared" si="11"/>
        <v>1.2094499999999999</v>
      </c>
      <c r="J32" s="75">
        <f t="shared" si="11"/>
        <v>0.97387499999999994</v>
      </c>
      <c r="K32" s="75">
        <f t="shared" si="11"/>
        <v>1.0913999999999999</v>
      </c>
      <c r="L32" s="75">
        <f t="shared" si="11"/>
        <v>0.75989999999999991</v>
      </c>
      <c r="M32" s="75">
        <f t="shared" si="11"/>
        <v>1.0099499999999999</v>
      </c>
      <c r="N32" s="75">
        <f t="shared" si="11"/>
        <v>1.1272500000000001</v>
      </c>
    </row>
    <row r="33" spans="1:14" x14ac:dyDescent="0.2">
      <c r="B33" s="66" t="s">
        <v>55</v>
      </c>
      <c r="C33" s="75">
        <f t="shared" si="5"/>
        <v>0</v>
      </c>
      <c r="D33" s="75">
        <f t="shared" ref="D33:N33" si="12">+D$10*D19</f>
        <v>0</v>
      </c>
      <c r="E33" s="75">
        <f t="shared" si="12"/>
        <v>0</v>
      </c>
      <c r="F33" s="75">
        <f t="shared" si="12"/>
        <v>0</v>
      </c>
      <c r="G33" s="75">
        <f t="shared" si="12"/>
        <v>0</v>
      </c>
      <c r="H33" s="75">
        <f t="shared" si="12"/>
        <v>0</v>
      </c>
      <c r="I33" s="75">
        <f t="shared" si="12"/>
        <v>0</v>
      </c>
      <c r="J33" s="75">
        <f t="shared" si="12"/>
        <v>0</v>
      </c>
      <c r="K33" s="75">
        <f t="shared" si="12"/>
        <v>0</v>
      </c>
      <c r="L33" s="75">
        <f t="shared" si="12"/>
        <v>0</v>
      </c>
      <c r="M33" s="75">
        <f t="shared" si="12"/>
        <v>0</v>
      </c>
      <c r="N33" s="75">
        <f t="shared" si="12"/>
        <v>0</v>
      </c>
    </row>
    <row r="34" spans="1:14" x14ac:dyDescent="0.2">
      <c r="B34" s="66" t="s">
        <v>22</v>
      </c>
      <c r="C34" s="75">
        <f t="shared" si="5"/>
        <v>27.966224000000004</v>
      </c>
      <c r="D34" s="75">
        <f t="shared" ref="D34:N34" si="13">+D$10*D20</f>
        <v>21.26904</v>
      </c>
      <c r="E34" s="75">
        <f t="shared" si="13"/>
        <v>20.683831999999999</v>
      </c>
      <c r="F34" s="75">
        <f t="shared" si="13"/>
        <v>20.941960000000002</v>
      </c>
      <c r="G34" s="75">
        <f t="shared" si="13"/>
        <v>19.451536000000001</v>
      </c>
      <c r="H34" s="75">
        <f t="shared" si="13"/>
        <v>23.095383999999999</v>
      </c>
      <c r="I34" s="75">
        <f t="shared" si="13"/>
        <v>28.510767999999999</v>
      </c>
      <c r="J34" s="75">
        <f t="shared" si="13"/>
        <v>22.95748</v>
      </c>
      <c r="K34" s="75">
        <f t="shared" si="13"/>
        <v>25.727936000000003</v>
      </c>
      <c r="L34" s="75">
        <f t="shared" si="13"/>
        <v>17.913376</v>
      </c>
      <c r="M34" s="75">
        <f t="shared" si="13"/>
        <v>23.807888000000002</v>
      </c>
      <c r="N34" s="75">
        <f t="shared" si="13"/>
        <v>26.573040000000002</v>
      </c>
    </row>
    <row r="35" spans="1:14" x14ac:dyDescent="0.2">
      <c r="B35" s="66" t="s">
        <v>56</v>
      </c>
      <c r="C35" s="75">
        <f t="shared" si="5"/>
        <v>0</v>
      </c>
      <c r="D35" s="75">
        <f t="shared" ref="D35:N35" si="14">+D$10*D21</f>
        <v>0</v>
      </c>
      <c r="E35" s="75">
        <f t="shared" si="14"/>
        <v>0</v>
      </c>
      <c r="F35" s="75">
        <f t="shared" si="14"/>
        <v>0</v>
      </c>
      <c r="G35" s="75">
        <f t="shared" si="14"/>
        <v>0</v>
      </c>
      <c r="H35" s="75">
        <f t="shared" si="14"/>
        <v>0</v>
      </c>
      <c r="I35" s="75">
        <f t="shared" si="14"/>
        <v>0</v>
      </c>
      <c r="J35" s="75">
        <f t="shared" si="14"/>
        <v>0</v>
      </c>
      <c r="K35" s="75">
        <f t="shared" si="14"/>
        <v>0</v>
      </c>
      <c r="L35" s="75">
        <f t="shared" si="14"/>
        <v>0</v>
      </c>
      <c r="M35" s="75">
        <f t="shared" si="14"/>
        <v>0</v>
      </c>
      <c r="N35" s="75">
        <f t="shared" si="14"/>
        <v>0</v>
      </c>
    </row>
    <row r="36" spans="1:14" x14ac:dyDescent="0.2">
      <c r="B36" s="66" t="s">
        <v>57</v>
      </c>
      <c r="C36" s="75">
        <f t="shared" si="5"/>
        <v>9.3800740000000218</v>
      </c>
      <c r="D36" s="75">
        <f t="shared" ref="D36:N36" si="15">+D$10*D22</f>
        <v>7.1337900000000154</v>
      </c>
      <c r="E36" s="75">
        <f t="shared" si="15"/>
        <v>6.9375070000000152</v>
      </c>
      <c r="F36" s="75">
        <f t="shared" si="15"/>
        <v>7.0240850000000155</v>
      </c>
      <c r="G36" s="75">
        <f t="shared" si="15"/>
        <v>6.5241860000000145</v>
      </c>
      <c r="H36" s="75">
        <f t="shared" si="15"/>
        <v>7.7463590000000169</v>
      </c>
      <c r="I36" s="75">
        <f t="shared" si="15"/>
        <v>9.5627180000000198</v>
      </c>
      <c r="J36" s="75">
        <f t="shared" si="15"/>
        <v>7.7001050000000166</v>
      </c>
      <c r="K36" s="75">
        <f t="shared" si="15"/>
        <v>8.6293360000000199</v>
      </c>
      <c r="L36" s="75">
        <f t="shared" si="15"/>
        <v>6.0082760000000128</v>
      </c>
      <c r="M36" s="75">
        <f t="shared" si="15"/>
        <v>7.9853380000000174</v>
      </c>
      <c r="N36" s="75">
        <f t="shared" si="15"/>
        <v>8.9127900000000206</v>
      </c>
    </row>
    <row r="37" spans="1:14" x14ac:dyDescent="0.2">
      <c r="B37" s="66" t="s">
        <v>58</v>
      </c>
      <c r="C37" s="90">
        <f t="shared" si="5"/>
        <v>50.902324</v>
      </c>
      <c r="D37" s="90">
        <f t="shared" ref="D37:N37" si="16">+D$10*D23</f>
        <v>38.712539999999997</v>
      </c>
      <c r="E37" s="90">
        <f t="shared" si="16"/>
        <v>37.647381999999993</v>
      </c>
      <c r="F37" s="90">
        <f t="shared" si="16"/>
        <v>38.11721</v>
      </c>
      <c r="G37" s="90">
        <f t="shared" si="16"/>
        <v>35.404435999999997</v>
      </c>
      <c r="H37" s="90">
        <f t="shared" si="16"/>
        <v>42.036733999999996</v>
      </c>
      <c r="I37" s="90">
        <f t="shared" si="16"/>
        <v>51.893467999999991</v>
      </c>
      <c r="J37" s="90">
        <f t="shared" si="16"/>
        <v>41.785729999999994</v>
      </c>
      <c r="K37" s="90">
        <f t="shared" si="16"/>
        <v>46.828336</v>
      </c>
      <c r="L37" s="90">
        <f t="shared" si="16"/>
        <v>32.604775999999994</v>
      </c>
      <c r="M37" s="90">
        <f t="shared" si="16"/>
        <v>43.333587999999999</v>
      </c>
      <c r="N37" s="90">
        <f t="shared" si="16"/>
        <v>77.67504000000001</v>
      </c>
    </row>
    <row r="38" spans="1:14" x14ac:dyDescent="0.2">
      <c r="C38" s="75">
        <f>SUM(C27:C37)</f>
        <v>158.18000000000004</v>
      </c>
      <c r="D38" s="75">
        <f t="shared" ref="D38:N38" si="17">SUM(D27:D37)</f>
        <v>120.30000000000001</v>
      </c>
      <c r="E38" s="75">
        <f t="shared" si="17"/>
        <v>116.99000000000001</v>
      </c>
      <c r="F38" s="75">
        <f t="shared" si="17"/>
        <v>118.45000000000002</v>
      </c>
      <c r="G38" s="75">
        <f t="shared" si="17"/>
        <v>110.02000000000001</v>
      </c>
      <c r="H38" s="75">
        <f t="shared" si="17"/>
        <v>130.63</v>
      </c>
      <c r="I38" s="75">
        <f t="shared" si="17"/>
        <v>161.26000000000002</v>
      </c>
      <c r="J38" s="75">
        <f t="shared" si="17"/>
        <v>129.85000000000002</v>
      </c>
      <c r="K38" s="75">
        <f t="shared" si="17"/>
        <v>145.52000000000001</v>
      </c>
      <c r="L38" s="75">
        <f t="shared" si="17"/>
        <v>101.32</v>
      </c>
      <c r="M38" s="75">
        <f t="shared" si="17"/>
        <v>134.66000000000003</v>
      </c>
      <c r="N38" s="75">
        <f t="shared" si="17"/>
        <v>150.30000000000004</v>
      </c>
    </row>
    <row r="40" spans="1:14" x14ac:dyDescent="0.2">
      <c r="A40" s="83" t="s">
        <v>60</v>
      </c>
    </row>
    <row r="41" spans="1:14" x14ac:dyDescent="0.2">
      <c r="B41" s="66" t="s">
        <v>24</v>
      </c>
      <c r="C41" s="94">
        <v>1</v>
      </c>
      <c r="D41" s="95">
        <v>1</v>
      </c>
      <c r="E41" s="95">
        <v>1</v>
      </c>
      <c r="F41" s="95">
        <v>1</v>
      </c>
      <c r="G41" s="95">
        <v>1</v>
      </c>
      <c r="H41" s="95">
        <v>1</v>
      </c>
      <c r="I41" s="95">
        <v>1</v>
      </c>
      <c r="J41" s="95">
        <v>1</v>
      </c>
      <c r="K41" s="95">
        <v>1</v>
      </c>
      <c r="L41" s="95">
        <v>1</v>
      </c>
      <c r="M41" s="95">
        <v>1</v>
      </c>
      <c r="N41" s="95">
        <v>1</v>
      </c>
    </row>
    <row r="42" spans="1:14" x14ac:dyDescent="0.2">
      <c r="B42" s="66" t="s">
        <v>28</v>
      </c>
      <c r="C42" s="94">
        <v>1</v>
      </c>
      <c r="D42" s="95">
        <v>1</v>
      </c>
      <c r="E42" s="95">
        <v>1</v>
      </c>
      <c r="F42" s="95">
        <v>1</v>
      </c>
      <c r="G42" s="95">
        <v>1</v>
      </c>
      <c r="H42" s="95">
        <v>1</v>
      </c>
      <c r="I42" s="95">
        <v>1</v>
      </c>
      <c r="J42" s="95">
        <v>1</v>
      </c>
      <c r="K42" s="95">
        <v>1</v>
      </c>
      <c r="L42" s="95">
        <v>1</v>
      </c>
      <c r="M42" s="95">
        <v>1</v>
      </c>
      <c r="N42" s="95">
        <v>1</v>
      </c>
    </row>
    <row r="43" spans="1:14" x14ac:dyDescent="0.2">
      <c r="B43" s="66" t="s">
        <v>51</v>
      </c>
      <c r="C43" s="94">
        <v>1</v>
      </c>
      <c r="D43" s="95">
        <v>1</v>
      </c>
      <c r="E43" s="95">
        <v>1</v>
      </c>
      <c r="F43" s="95">
        <v>1</v>
      </c>
      <c r="G43" s="95">
        <v>1</v>
      </c>
      <c r="H43" s="95">
        <v>1</v>
      </c>
      <c r="I43" s="95">
        <v>1</v>
      </c>
      <c r="J43" s="95">
        <v>1</v>
      </c>
      <c r="K43" s="95">
        <v>1</v>
      </c>
      <c r="L43" s="95">
        <v>1</v>
      </c>
      <c r="M43" s="95">
        <v>1</v>
      </c>
      <c r="N43" s="95">
        <v>1</v>
      </c>
    </row>
    <row r="44" spans="1:14" x14ac:dyDescent="0.2">
      <c r="B44" s="66" t="s">
        <v>52</v>
      </c>
      <c r="C44" s="94">
        <v>1</v>
      </c>
      <c r="D44" s="95">
        <v>1</v>
      </c>
      <c r="E44" s="95">
        <v>1</v>
      </c>
      <c r="F44" s="95">
        <v>1</v>
      </c>
      <c r="G44" s="95">
        <v>1</v>
      </c>
      <c r="H44" s="95">
        <v>1</v>
      </c>
      <c r="I44" s="95">
        <v>1</v>
      </c>
      <c r="J44" s="95">
        <v>1</v>
      </c>
      <c r="K44" s="95">
        <v>1</v>
      </c>
      <c r="L44" s="95">
        <v>1</v>
      </c>
      <c r="M44" s="95">
        <v>1</v>
      </c>
      <c r="N44" s="95">
        <v>1</v>
      </c>
    </row>
    <row r="45" spans="1:14" x14ac:dyDescent="0.2">
      <c r="B45" s="66" t="s">
        <v>53</v>
      </c>
      <c r="C45" s="94">
        <v>1</v>
      </c>
      <c r="D45" s="95">
        <v>1</v>
      </c>
      <c r="E45" s="95">
        <v>1</v>
      </c>
      <c r="F45" s="95">
        <v>1</v>
      </c>
      <c r="G45" s="95">
        <v>1</v>
      </c>
      <c r="H45" s="95">
        <v>1</v>
      </c>
      <c r="I45" s="95">
        <v>1</v>
      </c>
      <c r="J45" s="95">
        <v>1</v>
      </c>
      <c r="K45" s="95">
        <v>1</v>
      </c>
      <c r="L45" s="95">
        <v>1</v>
      </c>
      <c r="M45" s="95">
        <v>1</v>
      </c>
      <c r="N45" s="95">
        <v>1</v>
      </c>
    </row>
    <row r="46" spans="1:14" x14ac:dyDescent="0.2">
      <c r="B46" s="66" t="s">
        <v>54</v>
      </c>
      <c r="C46" s="94">
        <v>1</v>
      </c>
      <c r="D46" s="95">
        <v>1</v>
      </c>
      <c r="E46" s="95">
        <v>1</v>
      </c>
      <c r="F46" s="95">
        <v>1</v>
      </c>
      <c r="G46" s="95">
        <v>1</v>
      </c>
      <c r="H46" s="95">
        <v>1</v>
      </c>
      <c r="I46" s="95">
        <v>1</v>
      </c>
      <c r="J46" s="95">
        <v>1</v>
      </c>
      <c r="K46" s="95">
        <v>1</v>
      </c>
      <c r="L46" s="95">
        <v>1</v>
      </c>
      <c r="M46" s="95">
        <v>1</v>
      </c>
      <c r="N46" s="95">
        <v>1</v>
      </c>
    </row>
    <row r="47" spans="1:14" x14ac:dyDescent="0.2">
      <c r="B47" s="66" t="s">
        <v>55</v>
      </c>
      <c r="C47" s="94">
        <v>1</v>
      </c>
      <c r="D47" s="95">
        <v>1</v>
      </c>
      <c r="E47" s="95">
        <v>1</v>
      </c>
      <c r="F47" s="95">
        <v>1</v>
      </c>
      <c r="G47" s="95">
        <v>1</v>
      </c>
      <c r="H47" s="95">
        <v>1</v>
      </c>
      <c r="I47" s="95">
        <v>1</v>
      </c>
      <c r="J47" s="95">
        <v>1</v>
      </c>
      <c r="K47" s="95">
        <v>1</v>
      </c>
      <c r="L47" s="95">
        <v>1</v>
      </c>
      <c r="M47" s="95">
        <v>1</v>
      </c>
      <c r="N47" s="95">
        <v>1</v>
      </c>
    </row>
    <row r="48" spans="1:14" x14ac:dyDescent="0.2">
      <c r="B48" s="66" t="s">
        <v>22</v>
      </c>
      <c r="C48" s="94">
        <v>1</v>
      </c>
      <c r="D48" s="95">
        <v>1</v>
      </c>
      <c r="E48" s="95">
        <v>1</v>
      </c>
      <c r="F48" s="95">
        <v>1</v>
      </c>
      <c r="G48" s="95">
        <v>1</v>
      </c>
      <c r="H48" s="95">
        <v>1</v>
      </c>
      <c r="I48" s="95">
        <v>1</v>
      </c>
      <c r="J48" s="95">
        <v>1</v>
      </c>
      <c r="K48" s="95">
        <v>1</v>
      </c>
      <c r="L48" s="95">
        <v>1</v>
      </c>
      <c r="M48" s="95">
        <v>1</v>
      </c>
      <c r="N48" s="95">
        <v>1</v>
      </c>
    </row>
    <row r="49" spans="1:14" x14ac:dyDescent="0.2">
      <c r="B49" s="66" t="s">
        <v>56</v>
      </c>
      <c r="C49" s="94">
        <v>1</v>
      </c>
      <c r="D49" s="95">
        <v>1</v>
      </c>
      <c r="E49" s="95">
        <v>1</v>
      </c>
      <c r="F49" s="95">
        <v>1</v>
      </c>
      <c r="G49" s="95">
        <v>1</v>
      </c>
      <c r="H49" s="95">
        <v>1</v>
      </c>
      <c r="I49" s="95">
        <v>1</v>
      </c>
      <c r="J49" s="95">
        <v>1</v>
      </c>
      <c r="K49" s="95">
        <v>1</v>
      </c>
      <c r="L49" s="95">
        <v>1</v>
      </c>
      <c r="M49" s="95">
        <v>1</v>
      </c>
      <c r="N49" s="95">
        <v>1</v>
      </c>
    </row>
    <row r="50" spans="1:14" x14ac:dyDescent="0.2">
      <c r="B50" s="66" t="s">
        <v>57</v>
      </c>
      <c r="C50" s="94">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66" t="s">
        <v>58</v>
      </c>
      <c r="C52" s="93">
        <f>+C65/C37</f>
        <v>0.99999999999999956</v>
      </c>
      <c r="D52" s="95">
        <v>1</v>
      </c>
      <c r="E52" s="95">
        <v>1</v>
      </c>
      <c r="F52" s="95">
        <v>1</v>
      </c>
      <c r="G52" s="95">
        <v>1</v>
      </c>
      <c r="H52" s="95">
        <v>1</v>
      </c>
      <c r="I52" s="95">
        <v>1</v>
      </c>
      <c r="J52" s="95">
        <v>1</v>
      </c>
      <c r="K52" s="95">
        <v>1</v>
      </c>
      <c r="L52" s="95">
        <v>1</v>
      </c>
      <c r="M52" s="95">
        <v>1</v>
      </c>
      <c r="N52" s="95">
        <v>1</v>
      </c>
    </row>
    <row r="53" spans="1:14" x14ac:dyDescent="0.2">
      <c r="L53" s="93"/>
      <c r="N53" s="95"/>
    </row>
    <row r="54" spans="1:14" x14ac:dyDescent="0.2">
      <c r="A54" s="83" t="s">
        <v>61</v>
      </c>
      <c r="L54" s="93"/>
      <c r="N54" s="95"/>
    </row>
    <row r="55" spans="1:14" x14ac:dyDescent="0.2">
      <c r="B55" s="66" t="s">
        <v>24</v>
      </c>
      <c r="C55" s="75">
        <f t="shared" ref="C55:C64" si="18">+C27*C41</f>
        <v>30.845100000000002</v>
      </c>
      <c r="D55" s="75">
        <f t="shared" ref="D55:N55" si="19">+D27*D41</f>
        <v>23.458500000000001</v>
      </c>
      <c r="E55" s="75">
        <f>+E27*E41</f>
        <v>22.81305</v>
      </c>
      <c r="F55" s="75">
        <f t="shared" si="19"/>
        <v>23.097750000000001</v>
      </c>
      <c r="G55" s="75">
        <f t="shared" si="19"/>
        <v>21.453900000000001</v>
      </c>
      <c r="H55" s="75">
        <f t="shared" si="19"/>
        <v>25.472850000000001</v>
      </c>
      <c r="I55" s="75">
        <f t="shared" si="19"/>
        <v>31.445699999999999</v>
      </c>
      <c r="J55" s="75">
        <f t="shared" si="19"/>
        <v>25.32075</v>
      </c>
      <c r="K55" s="75">
        <f t="shared" si="19"/>
        <v>28.376400000000004</v>
      </c>
      <c r="L55" s="75">
        <f t="shared" si="19"/>
        <v>19.757400000000001</v>
      </c>
      <c r="M55" s="75">
        <f t="shared" si="19"/>
        <v>26.258700000000001</v>
      </c>
      <c r="N55" s="75">
        <f t="shared" si="19"/>
        <v>0</v>
      </c>
    </row>
    <row r="56" spans="1:14" x14ac:dyDescent="0.2">
      <c r="B56" s="66" t="s">
        <v>28</v>
      </c>
      <c r="C56" s="75">
        <f t="shared" si="18"/>
        <v>28.187676</v>
      </c>
      <c r="D56" s="75">
        <f t="shared" ref="D56:N56" si="20">+D28*D42</f>
        <v>21.437459999999998</v>
      </c>
      <c r="E56" s="75">
        <f t="shared" si="20"/>
        <v>20.847617999999997</v>
      </c>
      <c r="F56" s="75">
        <f t="shared" si="20"/>
        <v>21.107790000000001</v>
      </c>
      <c r="G56" s="75">
        <f t="shared" si="20"/>
        <v>19.605563999999998</v>
      </c>
      <c r="H56" s="75">
        <f t="shared" si="20"/>
        <v>23.278265999999999</v>
      </c>
      <c r="I56" s="75">
        <f t="shared" si="20"/>
        <v>28.736531999999997</v>
      </c>
      <c r="J56" s="75">
        <f t="shared" si="20"/>
        <v>23.13927</v>
      </c>
      <c r="K56" s="75">
        <f t="shared" si="20"/>
        <v>25.931664000000001</v>
      </c>
      <c r="L56" s="75">
        <f t="shared" si="20"/>
        <v>18.055223999999999</v>
      </c>
      <c r="M56" s="75">
        <f t="shared" si="20"/>
        <v>23.996411999999999</v>
      </c>
      <c r="N56" s="75">
        <f t="shared" si="20"/>
        <v>26.783460000000002</v>
      </c>
    </row>
    <row r="57" spans="1:14" x14ac:dyDescent="0.2">
      <c r="B57" s="66" t="s">
        <v>51</v>
      </c>
      <c r="C57" s="75">
        <f t="shared" si="18"/>
        <v>0</v>
      </c>
      <c r="D57" s="75">
        <f t="shared" ref="D57:N57" si="21">+D29*D43</f>
        <v>0</v>
      </c>
      <c r="E57" s="75">
        <f t="shared" si="21"/>
        <v>0</v>
      </c>
      <c r="F57" s="75">
        <f t="shared" si="21"/>
        <v>0</v>
      </c>
      <c r="G57" s="75">
        <f t="shared" si="21"/>
        <v>0</v>
      </c>
      <c r="H57" s="75">
        <f t="shared" si="21"/>
        <v>0</v>
      </c>
      <c r="I57" s="75">
        <f t="shared" si="21"/>
        <v>0</v>
      </c>
      <c r="J57" s="75">
        <f t="shared" si="21"/>
        <v>0</v>
      </c>
      <c r="K57" s="75">
        <f t="shared" si="21"/>
        <v>0</v>
      </c>
      <c r="L57" s="75">
        <f t="shared" si="21"/>
        <v>0</v>
      </c>
      <c r="M57" s="75">
        <f t="shared" si="21"/>
        <v>0</v>
      </c>
      <c r="N57" s="75">
        <f t="shared" si="21"/>
        <v>0</v>
      </c>
    </row>
    <row r="58" spans="1:14" x14ac:dyDescent="0.2">
      <c r="B58" s="66" t="s">
        <v>52</v>
      </c>
      <c r="C58" s="75">
        <f t="shared" si="18"/>
        <v>2.6099700000000001</v>
      </c>
      <c r="D58" s="75">
        <f t="shared" ref="D58:N58" si="22">+D30*D44</f>
        <v>1.98495</v>
      </c>
      <c r="E58" s="75">
        <f t="shared" si="22"/>
        <v>1.9303349999999999</v>
      </c>
      <c r="F58" s="75">
        <f t="shared" si="22"/>
        <v>1.9544250000000001</v>
      </c>
      <c r="G58" s="75">
        <f t="shared" si="22"/>
        <v>1.8153300000000001</v>
      </c>
      <c r="H58" s="75">
        <f t="shared" si="22"/>
        <v>2.1553949999999999</v>
      </c>
      <c r="I58" s="75">
        <f t="shared" si="22"/>
        <v>2.66079</v>
      </c>
      <c r="J58" s="75">
        <f t="shared" si="22"/>
        <v>2.142525</v>
      </c>
      <c r="K58" s="75">
        <f t="shared" si="22"/>
        <v>2.4010800000000003</v>
      </c>
      <c r="L58" s="75">
        <f t="shared" si="22"/>
        <v>1.67178</v>
      </c>
      <c r="M58" s="75">
        <f t="shared" si="22"/>
        <v>2.2218900000000001</v>
      </c>
      <c r="N58" s="75">
        <f t="shared" si="22"/>
        <v>2.4799500000000001</v>
      </c>
    </row>
    <row r="59" spans="1:14" x14ac:dyDescent="0.2">
      <c r="B59" s="66" t="s">
        <v>53</v>
      </c>
      <c r="C59" s="75">
        <f t="shared" si="18"/>
        <v>7.1022820000000007</v>
      </c>
      <c r="D59" s="75">
        <f t="shared" ref="D59:N59" si="23">+D31*D45</f>
        <v>5.4014699999999998</v>
      </c>
      <c r="E59" s="75">
        <f t="shared" si="23"/>
        <v>5.2528509999999997</v>
      </c>
      <c r="F59" s="75">
        <f t="shared" si="23"/>
        <v>5.3184050000000003</v>
      </c>
      <c r="G59" s="75">
        <f t="shared" si="23"/>
        <v>4.9398980000000003</v>
      </c>
      <c r="H59" s="75">
        <f t="shared" si="23"/>
        <v>5.8652870000000004</v>
      </c>
      <c r="I59" s="75">
        <f t="shared" si="23"/>
        <v>7.2405739999999996</v>
      </c>
      <c r="J59" s="75">
        <f t="shared" si="23"/>
        <v>5.8302649999999998</v>
      </c>
      <c r="K59" s="75">
        <f t="shared" si="23"/>
        <v>6.5338480000000008</v>
      </c>
      <c r="L59" s="75">
        <f t="shared" si="23"/>
        <v>4.5492679999999996</v>
      </c>
      <c r="M59" s="75">
        <f t="shared" si="23"/>
        <v>6.0462340000000001</v>
      </c>
      <c r="N59" s="75">
        <f t="shared" si="23"/>
        <v>6.7484700000000011</v>
      </c>
    </row>
    <row r="60" spans="1:14" x14ac:dyDescent="0.2">
      <c r="B60" s="66" t="s">
        <v>54</v>
      </c>
      <c r="C60" s="96">
        <f t="shared" si="18"/>
        <v>1.18635</v>
      </c>
      <c r="D60" s="96">
        <f t="shared" ref="D60:N60" si="24">+D32*D46</f>
        <v>0.90225</v>
      </c>
      <c r="E60" s="96">
        <f t="shared" si="24"/>
        <v>0.8774249999999999</v>
      </c>
      <c r="F60" s="96">
        <f t="shared" si="24"/>
        <v>0.88837500000000003</v>
      </c>
      <c r="G60" s="96">
        <f t="shared" si="24"/>
        <v>0.82514999999999994</v>
      </c>
      <c r="H60" s="96">
        <f t="shared" si="24"/>
        <v>0.97972499999999996</v>
      </c>
      <c r="I60" s="96">
        <f t="shared" si="24"/>
        <v>1.2094499999999999</v>
      </c>
      <c r="J60" s="96">
        <f t="shared" si="24"/>
        <v>0.97387499999999994</v>
      </c>
      <c r="K60" s="96">
        <f t="shared" si="24"/>
        <v>1.0913999999999999</v>
      </c>
      <c r="L60" s="96">
        <f t="shared" si="24"/>
        <v>0.75989999999999991</v>
      </c>
      <c r="M60" s="96">
        <f t="shared" si="24"/>
        <v>1.0099499999999999</v>
      </c>
      <c r="N60" s="96">
        <f t="shared" si="24"/>
        <v>1.1272500000000001</v>
      </c>
    </row>
    <row r="61" spans="1:14" x14ac:dyDescent="0.2">
      <c r="B61" s="66" t="s">
        <v>55</v>
      </c>
      <c r="C61" s="75">
        <f t="shared" si="18"/>
        <v>0</v>
      </c>
      <c r="D61" s="75">
        <f t="shared" ref="D61:N61" si="25">+D33*D47</f>
        <v>0</v>
      </c>
      <c r="E61" s="75">
        <f t="shared" si="25"/>
        <v>0</v>
      </c>
      <c r="F61" s="75">
        <f t="shared" si="25"/>
        <v>0</v>
      </c>
      <c r="G61" s="75">
        <f t="shared" si="25"/>
        <v>0</v>
      </c>
      <c r="H61" s="75">
        <f t="shared" si="25"/>
        <v>0</v>
      </c>
      <c r="I61" s="75">
        <f t="shared" si="25"/>
        <v>0</v>
      </c>
      <c r="J61" s="75">
        <f t="shared" si="25"/>
        <v>0</v>
      </c>
      <c r="K61" s="75">
        <f t="shared" si="25"/>
        <v>0</v>
      </c>
      <c r="L61" s="75">
        <f t="shared" si="25"/>
        <v>0</v>
      </c>
      <c r="M61" s="75">
        <f t="shared" si="25"/>
        <v>0</v>
      </c>
      <c r="N61" s="75">
        <f t="shared" si="25"/>
        <v>0</v>
      </c>
    </row>
    <row r="62" spans="1:14" x14ac:dyDescent="0.2">
      <c r="B62" s="66" t="s">
        <v>48</v>
      </c>
      <c r="C62" s="75">
        <f t="shared" si="18"/>
        <v>27.966224000000004</v>
      </c>
      <c r="D62" s="75">
        <f t="shared" ref="D62:N62" si="26">+D34*D48</f>
        <v>21.26904</v>
      </c>
      <c r="E62" s="75">
        <f t="shared" si="26"/>
        <v>20.683831999999999</v>
      </c>
      <c r="F62" s="75">
        <f t="shared" si="26"/>
        <v>20.941960000000002</v>
      </c>
      <c r="G62" s="75">
        <f t="shared" si="26"/>
        <v>19.451536000000001</v>
      </c>
      <c r="H62" s="75">
        <f t="shared" si="26"/>
        <v>23.095383999999999</v>
      </c>
      <c r="I62" s="75">
        <f t="shared" si="26"/>
        <v>28.510767999999999</v>
      </c>
      <c r="J62" s="75">
        <f t="shared" si="26"/>
        <v>22.95748</v>
      </c>
      <c r="K62" s="75">
        <f t="shared" si="26"/>
        <v>25.727936000000003</v>
      </c>
      <c r="L62" s="75">
        <f t="shared" si="26"/>
        <v>17.913376</v>
      </c>
      <c r="M62" s="75">
        <f t="shared" si="26"/>
        <v>23.807888000000002</v>
      </c>
      <c r="N62" s="75">
        <f t="shared" si="26"/>
        <v>26.573040000000002</v>
      </c>
    </row>
    <row r="63" spans="1:14" x14ac:dyDescent="0.2">
      <c r="B63" s="66" t="s">
        <v>56</v>
      </c>
      <c r="C63" s="75">
        <f t="shared" si="18"/>
        <v>0</v>
      </c>
      <c r="D63" s="75">
        <f t="shared" ref="D63:N63" si="27">+D35*D49</f>
        <v>0</v>
      </c>
      <c r="E63" s="75">
        <f t="shared" si="27"/>
        <v>0</v>
      </c>
      <c r="F63" s="75">
        <f t="shared" si="27"/>
        <v>0</v>
      </c>
      <c r="G63" s="75">
        <f t="shared" si="27"/>
        <v>0</v>
      </c>
      <c r="H63" s="75">
        <f t="shared" si="27"/>
        <v>0</v>
      </c>
      <c r="I63" s="75">
        <f t="shared" si="27"/>
        <v>0</v>
      </c>
      <c r="J63" s="75">
        <f t="shared" si="27"/>
        <v>0</v>
      </c>
      <c r="K63" s="75">
        <f t="shared" si="27"/>
        <v>0</v>
      </c>
      <c r="L63" s="75">
        <f t="shared" si="27"/>
        <v>0</v>
      </c>
      <c r="M63" s="75">
        <f t="shared" si="27"/>
        <v>0</v>
      </c>
      <c r="N63" s="75">
        <f t="shared" si="27"/>
        <v>0</v>
      </c>
    </row>
    <row r="64" spans="1:14" x14ac:dyDescent="0.2">
      <c r="B64" s="66" t="s">
        <v>57</v>
      </c>
      <c r="C64" s="75">
        <f t="shared" si="18"/>
        <v>9.3800740000000218</v>
      </c>
      <c r="D64" s="75">
        <f t="shared" ref="D64:N64" si="28">+D36*D50</f>
        <v>7.1337900000000154</v>
      </c>
      <c r="E64" s="75">
        <f t="shared" si="28"/>
        <v>6.9375070000000152</v>
      </c>
      <c r="F64" s="75">
        <f t="shared" si="28"/>
        <v>7.0240850000000155</v>
      </c>
      <c r="G64" s="75">
        <f t="shared" si="28"/>
        <v>6.5241860000000145</v>
      </c>
      <c r="H64" s="75">
        <f t="shared" si="28"/>
        <v>7.7463590000000169</v>
      </c>
      <c r="I64" s="75">
        <f t="shared" si="28"/>
        <v>9.5627180000000198</v>
      </c>
      <c r="J64" s="75">
        <f t="shared" si="28"/>
        <v>7.7001050000000166</v>
      </c>
      <c r="K64" s="75">
        <f t="shared" si="28"/>
        <v>8.6293360000000199</v>
      </c>
      <c r="L64" s="75">
        <f t="shared" si="28"/>
        <v>6.0082760000000128</v>
      </c>
      <c r="M64" s="75">
        <f t="shared" si="28"/>
        <v>7.9853380000000174</v>
      </c>
      <c r="N64" s="75">
        <f t="shared" si="28"/>
        <v>8.9127900000000206</v>
      </c>
    </row>
    <row r="65" spans="1:22" x14ac:dyDescent="0.2">
      <c r="B65" s="66" t="s">
        <v>58</v>
      </c>
      <c r="C65" s="90">
        <f>+C7-SUM(C55:C64)</f>
        <v>50.902323999999979</v>
      </c>
      <c r="D65" s="90">
        <f t="shared" ref="D65:N65" si="29">+D7-SUM(D55:D64)</f>
        <v>38.712539999999976</v>
      </c>
      <c r="E65" s="90">
        <f t="shared" si="29"/>
        <v>37.647381999999979</v>
      </c>
      <c r="F65" s="90">
        <f t="shared" si="29"/>
        <v>38.117209999999986</v>
      </c>
      <c r="G65" s="90">
        <f t="shared" si="29"/>
        <v>35.404435999999976</v>
      </c>
      <c r="H65" s="90">
        <f t="shared" si="29"/>
        <v>42.036733999999981</v>
      </c>
      <c r="I65" s="90">
        <f t="shared" si="29"/>
        <v>51.89346799999997</v>
      </c>
      <c r="J65" s="90">
        <f t="shared" si="29"/>
        <v>41.785729999999973</v>
      </c>
      <c r="K65" s="90">
        <f t="shared" si="29"/>
        <v>46.828335999999993</v>
      </c>
      <c r="L65" s="90">
        <f t="shared" si="29"/>
        <v>32.604775999999987</v>
      </c>
      <c r="M65" s="90">
        <f t="shared" si="29"/>
        <v>43.333587999999978</v>
      </c>
      <c r="N65" s="90">
        <f t="shared" si="29"/>
        <v>77.675039999999981</v>
      </c>
    </row>
    <row r="66" spans="1:22" x14ac:dyDescent="0.2">
      <c r="C66" s="75">
        <f>SUM(C55:C65)</f>
        <v>158.18</v>
      </c>
      <c r="D66" s="75">
        <f t="shared" ref="D66:N66" si="30">SUM(D55:D65)</f>
        <v>120.3</v>
      </c>
      <c r="E66" s="75">
        <f t="shared" si="30"/>
        <v>116.99</v>
      </c>
      <c r="F66" s="75">
        <f t="shared" si="30"/>
        <v>118.45</v>
      </c>
      <c r="G66" s="75">
        <f t="shared" si="30"/>
        <v>110.02</v>
      </c>
      <c r="H66" s="75">
        <f t="shared" si="30"/>
        <v>130.63</v>
      </c>
      <c r="I66" s="75">
        <f t="shared" si="30"/>
        <v>161.26</v>
      </c>
      <c r="J66" s="75">
        <f t="shared" si="30"/>
        <v>129.85</v>
      </c>
      <c r="K66" s="75">
        <f t="shared" si="30"/>
        <v>145.52000000000001</v>
      </c>
      <c r="L66" s="75">
        <f t="shared" si="30"/>
        <v>101.32</v>
      </c>
      <c r="M66" s="75">
        <f t="shared" si="30"/>
        <v>134.66</v>
      </c>
      <c r="N66" s="75">
        <f t="shared" si="30"/>
        <v>150.30000000000001</v>
      </c>
    </row>
    <row r="67" spans="1:22" ht="8.1" customHeight="1" x14ac:dyDescent="0.2"/>
    <row r="68" spans="1:22" ht="15" x14ac:dyDescent="0.25">
      <c r="A68" s="97" t="s">
        <v>62</v>
      </c>
      <c r="S68" s="148"/>
      <c r="T68" s="148"/>
    </row>
    <row r="69" spans="1:22" ht="12.75" x14ac:dyDescent="0.2">
      <c r="B69" s="66" t="s">
        <v>24</v>
      </c>
      <c r="C69" s="159">
        <v>65.3</v>
      </c>
      <c r="D69" s="159">
        <v>85.06</v>
      </c>
      <c r="E69" s="159">
        <v>98.56</v>
      </c>
      <c r="F69" s="159">
        <v>81.63</v>
      </c>
      <c r="G69" s="160">
        <v>63.02</v>
      </c>
      <c r="H69" s="160">
        <v>60.33</v>
      </c>
      <c r="I69" s="159">
        <v>65.930000000000007</v>
      </c>
      <c r="J69" s="159">
        <v>63.69</v>
      </c>
      <c r="K69" s="159">
        <v>39.799999999999997</v>
      </c>
      <c r="L69" s="161">
        <v>-18.13</v>
      </c>
      <c r="M69" s="161">
        <v>-16.23</v>
      </c>
      <c r="N69" s="159">
        <v>0</v>
      </c>
      <c r="Q69" s="150"/>
      <c r="R69" s="60"/>
      <c r="S69" s="151"/>
      <c r="T69" s="151"/>
      <c r="U69" s="151"/>
      <c r="V69" s="151"/>
    </row>
    <row r="70" spans="1:22" ht="12.75" x14ac:dyDescent="0.2">
      <c r="B70" s="66" t="s">
        <v>28</v>
      </c>
      <c r="C70" s="159">
        <v>132.68</v>
      </c>
      <c r="D70" s="159">
        <v>159.52000000000001</v>
      </c>
      <c r="E70" s="159">
        <v>163.29</v>
      </c>
      <c r="F70" s="159">
        <v>145.72999999999999</v>
      </c>
      <c r="G70" s="160">
        <v>110.68</v>
      </c>
      <c r="H70" s="160">
        <v>81.77</v>
      </c>
      <c r="I70" s="159">
        <v>114.18</v>
      </c>
      <c r="J70" s="159">
        <v>107.57</v>
      </c>
      <c r="K70" s="159">
        <v>105.09</v>
      </c>
      <c r="L70" s="159">
        <v>62.76</v>
      </c>
      <c r="M70" s="159">
        <v>56.69</v>
      </c>
      <c r="N70" s="168">
        <v>57.61</v>
      </c>
      <c r="Q70" s="150"/>
      <c r="R70" s="60"/>
      <c r="S70" s="151"/>
      <c r="T70" s="151"/>
      <c r="U70" s="151"/>
      <c r="V70" s="151"/>
    </row>
    <row r="71" spans="1:22" ht="12.75" x14ac:dyDescent="0.2">
      <c r="B71" s="66" t="s">
        <v>51</v>
      </c>
      <c r="C71" s="159">
        <v>0</v>
      </c>
      <c r="D71" s="159"/>
      <c r="E71" s="159"/>
      <c r="F71" s="159"/>
      <c r="G71" s="160"/>
      <c r="H71" s="160"/>
      <c r="I71" s="159"/>
      <c r="J71" s="159"/>
      <c r="K71" s="159"/>
      <c r="L71" s="159"/>
      <c r="M71" s="159"/>
      <c r="N71" s="159"/>
      <c r="Q71" s="150"/>
      <c r="R71" s="60"/>
      <c r="S71" s="151"/>
      <c r="T71" s="151"/>
      <c r="U71" s="151"/>
      <c r="V71" s="151"/>
    </row>
    <row r="72" spans="1:22" ht="12.75" x14ac:dyDescent="0.2">
      <c r="B72" s="66" t="s">
        <v>52</v>
      </c>
      <c r="C72" s="159">
        <v>71.989999999999995</v>
      </c>
      <c r="D72" s="159">
        <v>69.08</v>
      </c>
      <c r="E72" s="159">
        <v>67.63</v>
      </c>
      <c r="F72" s="159">
        <v>78.11</v>
      </c>
      <c r="G72" s="160">
        <v>86.53</v>
      </c>
      <c r="H72" s="160">
        <v>76.06</v>
      </c>
      <c r="I72" s="159">
        <v>78.08</v>
      </c>
      <c r="J72" s="159">
        <v>88.61</v>
      </c>
      <c r="K72" s="159">
        <v>102.96</v>
      </c>
      <c r="L72" s="159">
        <v>92.72</v>
      </c>
      <c r="M72" s="159">
        <v>106.7</v>
      </c>
      <c r="N72" s="168">
        <v>109.51</v>
      </c>
      <c r="Q72" s="150"/>
      <c r="R72" s="60"/>
      <c r="S72" s="151"/>
      <c r="T72" s="151"/>
      <c r="U72" s="151"/>
      <c r="V72" s="151"/>
    </row>
    <row r="73" spans="1:22" ht="12.75" x14ac:dyDescent="0.2">
      <c r="B73" s="66" t="s">
        <v>53</v>
      </c>
      <c r="C73" s="159">
        <v>92.51</v>
      </c>
      <c r="D73" s="159">
        <v>70.599999999999994</v>
      </c>
      <c r="E73" s="159">
        <v>62.55</v>
      </c>
      <c r="F73" s="159">
        <v>83.03</v>
      </c>
      <c r="G73" s="160">
        <v>72.099999999999994</v>
      </c>
      <c r="H73" s="160">
        <v>48.29</v>
      </c>
      <c r="I73" s="159">
        <v>50.05</v>
      </c>
      <c r="J73" s="159">
        <v>51.67</v>
      </c>
      <c r="K73" s="159">
        <v>53.44</v>
      </c>
      <c r="L73" s="159">
        <v>85.33</v>
      </c>
      <c r="M73" s="159">
        <v>105.24</v>
      </c>
      <c r="N73" s="168">
        <v>107.91</v>
      </c>
      <c r="Q73" s="150"/>
      <c r="R73" s="60"/>
      <c r="S73" s="151"/>
      <c r="T73" s="151"/>
      <c r="U73" s="151"/>
      <c r="V73" s="151"/>
    </row>
    <row r="74" spans="1:22" ht="12.75" x14ac:dyDescent="0.2">
      <c r="B74" s="66" t="s">
        <v>54</v>
      </c>
      <c r="C74" s="159">
        <v>905.35</v>
      </c>
      <c r="D74" s="159">
        <v>894.34</v>
      </c>
      <c r="E74" s="159">
        <v>871.1</v>
      </c>
      <c r="F74" s="159">
        <v>905.36</v>
      </c>
      <c r="G74" s="160">
        <v>953.11</v>
      </c>
      <c r="H74" s="160">
        <v>980.71</v>
      </c>
      <c r="I74" s="159">
        <v>971.66</v>
      </c>
      <c r="J74" s="159">
        <v>973.36</v>
      </c>
      <c r="K74" s="159">
        <v>1013.02</v>
      </c>
      <c r="L74" s="159">
        <v>988.19</v>
      </c>
      <c r="M74" s="159">
        <v>977.91</v>
      </c>
      <c r="N74" s="168">
        <v>989.87</v>
      </c>
      <c r="Q74" s="150"/>
      <c r="R74" s="60"/>
      <c r="S74" s="151"/>
      <c r="T74" s="151"/>
      <c r="U74" s="151"/>
      <c r="V74" s="151"/>
    </row>
    <row r="75" spans="1:22" ht="12.75" x14ac:dyDescent="0.2">
      <c r="B75" s="66" t="s">
        <v>55</v>
      </c>
      <c r="C75" s="159">
        <v>0</v>
      </c>
      <c r="D75" s="159"/>
      <c r="E75" s="159"/>
      <c r="F75" s="159"/>
      <c r="G75" s="160"/>
      <c r="H75" s="160"/>
      <c r="I75" s="159"/>
      <c r="J75" s="159"/>
      <c r="K75" s="159"/>
      <c r="L75" s="159"/>
      <c r="M75" s="159"/>
      <c r="N75" s="159"/>
      <c r="Q75" s="103"/>
      <c r="R75" s="60"/>
      <c r="S75" s="151"/>
      <c r="T75" s="151"/>
      <c r="U75" s="151"/>
      <c r="V75" s="151"/>
    </row>
    <row r="76" spans="1:22" ht="15" x14ac:dyDescent="0.25">
      <c r="B76" s="66" t="s">
        <v>48</v>
      </c>
      <c r="C76" s="159">
        <v>-15.91</v>
      </c>
      <c r="D76" s="159">
        <v>-6.4</v>
      </c>
      <c r="E76" s="159">
        <v>-6.61</v>
      </c>
      <c r="F76" s="159">
        <v>-4.34</v>
      </c>
      <c r="G76" s="160">
        <v>-5.61</v>
      </c>
      <c r="H76" s="160">
        <v>-8.7799999999999994</v>
      </c>
      <c r="I76" s="159">
        <v>-2.5099999999999998</v>
      </c>
      <c r="J76" s="159">
        <v>-9.4600000000000009</v>
      </c>
      <c r="K76" s="159">
        <v>-9.98</v>
      </c>
      <c r="L76" s="159">
        <v>-8.01</v>
      </c>
      <c r="M76" s="159">
        <v>-9</v>
      </c>
      <c r="N76" s="159">
        <v>-10.23</v>
      </c>
      <c r="Q76" s="152"/>
      <c r="R76" s="60"/>
      <c r="S76" s="151"/>
      <c r="T76" s="151"/>
      <c r="U76" s="151"/>
      <c r="V76" s="151"/>
    </row>
    <row r="77" spans="1:22" x14ac:dyDescent="0.2">
      <c r="B77" s="66" t="s">
        <v>56</v>
      </c>
      <c r="C77" s="161"/>
      <c r="D77" s="161"/>
      <c r="E77" s="161"/>
      <c r="F77" s="161"/>
      <c r="G77" s="162"/>
      <c r="H77" s="162"/>
      <c r="I77" s="161"/>
      <c r="J77" s="161"/>
      <c r="K77" s="161"/>
      <c r="L77" s="161"/>
      <c r="M77" s="161"/>
      <c r="N77" s="168"/>
    </row>
    <row r="78" spans="1:22" x14ac:dyDescent="0.2">
      <c r="B78" s="66" t="s">
        <v>57</v>
      </c>
      <c r="C78" s="161">
        <v>-134.59</v>
      </c>
      <c r="D78" s="161">
        <v>-134.59</v>
      </c>
      <c r="E78" s="161">
        <v>-134.59</v>
      </c>
      <c r="F78" s="161">
        <v>-134.59</v>
      </c>
      <c r="G78" s="162">
        <v>-134.59</v>
      </c>
      <c r="H78" s="162">
        <v>-134.59</v>
      </c>
      <c r="I78" s="161">
        <v>-134.59</v>
      </c>
      <c r="J78" s="161">
        <v>-134.59</v>
      </c>
      <c r="K78" s="161">
        <v>-134.59</v>
      </c>
      <c r="L78" s="161">
        <v>-134.59</v>
      </c>
      <c r="M78" s="161">
        <v>-134.59</v>
      </c>
      <c r="N78" s="168">
        <v>-134.59</v>
      </c>
    </row>
    <row r="79" spans="1:22" ht="15" x14ac:dyDescent="0.25">
      <c r="B79" s="66" t="s">
        <v>58</v>
      </c>
      <c r="C79" s="159">
        <v>60.14</v>
      </c>
      <c r="D79" s="159">
        <v>78.88</v>
      </c>
      <c r="E79" s="159">
        <v>93.44</v>
      </c>
      <c r="F79" s="159">
        <v>77.209999999999994</v>
      </c>
      <c r="G79" s="160">
        <v>57.85</v>
      </c>
      <c r="H79" s="160">
        <v>55.22</v>
      </c>
      <c r="I79" s="159">
        <v>52.85</v>
      </c>
      <c r="J79" s="159">
        <v>49.88</v>
      </c>
      <c r="K79" s="159">
        <v>40.17</v>
      </c>
      <c r="L79" s="161">
        <v>-21.81</v>
      </c>
      <c r="M79" s="161">
        <v>-21.39</v>
      </c>
      <c r="N79" s="168">
        <v>-20.59</v>
      </c>
      <c r="O79" s="111">
        <f>SUM(C69:N79)</f>
        <v>14011.14</v>
      </c>
      <c r="Q79" s="148"/>
      <c r="R79" s="148"/>
      <c r="S79" s="149"/>
      <c r="T79" s="149"/>
    </row>
    <row r="80" spans="1:22" ht="8.1" customHeight="1" x14ac:dyDescent="0.2"/>
    <row r="81" spans="1:16" x14ac:dyDescent="0.2">
      <c r="A81" s="83" t="s">
        <v>63</v>
      </c>
    </row>
    <row r="82" spans="1:16" x14ac:dyDescent="0.2">
      <c r="B82" s="66" t="s">
        <v>24</v>
      </c>
      <c r="C82" s="98">
        <f>+C69*C55</f>
        <v>2014.1850300000001</v>
      </c>
      <c r="D82" s="75">
        <f t="shared" ref="D82:M82" si="31">+D69*D55</f>
        <v>1995.3800100000001</v>
      </c>
      <c r="E82" s="75">
        <f>+E69*E55</f>
        <v>2248.4542080000001</v>
      </c>
      <c r="F82" s="75">
        <f>+F69*F55</f>
        <v>1885.4693325000001</v>
      </c>
      <c r="G82" s="75">
        <f t="shared" si="31"/>
        <v>1352.0247780000002</v>
      </c>
      <c r="H82" s="75">
        <f t="shared" si="31"/>
        <v>1536.7770405000001</v>
      </c>
      <c r="I82" s="75">
        <f>+I69*I55</f>
        <v>2073.215001</v>
      </c>
      <c r="J82" s="75">
        <f t="shared" si="31"/>
        <v>1612.6785674999999</v>
      </c>
      <c r="K82" s="75">
        <f t="shared" si="31"/>
        <v>1129.3807200000001</v>
      </c>
      <c r="L82" s="75">
        <f t="shared" si="31"/>
        <v>-358.201662</v>
      </c>
      <c r="M82" s="75">
        <f t="shared" si="31"/>
        <v>-426.17870100000005</v>
      </c>
      <c r="N82" s="75">
        <f>+N69*N55</f>
        <v>0</v>
      </c>
    </row>
    <row r="83" spans="1:16" x14ac:dyDescent="0.2">
      <c r="B83" s="66" t="s">
        <v>28</v>
      </c>
      <c r="C83" s="98">
        <f t="shared" ref="C83:N83" si="32">+C70*C56</f>
        <v>3739.9408516800004</v>
      </c>
      <c r="D83" s="75">
        <f t="shared" si="32"/>
        <v>3419.7036192</v>
      </c>
      <c r="E83" s="75">
        <f t="shared" si="32"/>
        <v>3404.2075432199995</v>
      </c>
      <c r="F83" s="75">
        <f t="shared" si="32"/>
        <v>3076.0382367000002</v>
      </c>
      <c r="G83" s="75">
        <f t="shared" si="32"/>
        <v>2169.94382352</v>
      </c>
      <c r="H83" s="75">
        <f>+H70*H56</f>
        <v>1903.4638108199997</v>
      </c>
      <c r="I83" s="75">
        <f t="shared" si="32"/>
        <v>3281.1372237599999</v>
      </c>
      <c r="J83" s="75">
        <f t="shared" si="32"/>
        <v>2489.0912739</v>
      </c>
      <c r="K83" s="75">
        <f t="shared" si="32"/>
        <v>2725.1585697600003</v>
      </c>
      <c r="L83" s="75">
        <f t="shared" si="32"/>
        <v>1133.1458582399998</v>
      </c>
      <c r="M83" s="75">
        <f t="shared" si="32"/>
        <v>1360.3565962799998</v>
      </c>
      <c r="N83" s="75">
        <f t="shared" si="32"/>
        <v>1542.9951306</v>
      </c>
    </row>
    <row r="84" spans="1:16" x14ac:dyDescent="0.2">
      <c r="B84" s="66" t="s">
        <v>51</v>
      </c>
      <c r="C84" s="98">
        <f t="shared" ref="C84:N84" si="33">+C71*C57</f>
        <v>0</v>
      </c>
      <c r="D84" s="75">
        <f t="shared" si="33"/>
        <v>0</v>
      </c>
      <c r="E84" s="75">
        <f t="shared" si="33"/>
        <v>0</v>
      </c>
      <c r="F84" s="75">
        <f t="shared" si="33"/>
        <v>0</v>
      </c>
      <c r="G84" s="75">
        <f t="shared" si="33"/>
        <v>0</v>
      </c>
      <c r="H84" s="75">
        <f t="shared" si="33"/>
        <v>0</v>
      </c>
      <c r="I84" s="75"/>
      <c r="J84" s="75">
        <f t="shared" si="33"/>
        <v>0</v>
      </c>
      <c r="K84" s="75">
        <f t="shared" si="33"/>
        <v>0</v>
      </c>
      <c r="L84" s="75">
        <f t="shared" si="33"/>
        <v>0</v>
      </c>
      <c r="M84" s="75">
        <f t="shared" si="33"/>
        <v>0</v>
      </c>
      <c r="N84" s="75">
        <f t="shared" si="33"/>
        <v>0</v>
      </c>
    </row>
    <row r="85" spans="1:16" x14ac:dyDescent="0.2">
      <c r="B85" s="66" t="s">
        <v>52</v>
      </c>
      <c r="C85" s="98">
        <f t="shared" ref="C85:N85" si="34">+C72*C58</f>
        <v>187.89174030000001</v>
      </c>
      <c r="D85" s="75">
        <f t="shared" si="34"/>
        <v>137.12034599999998</v>
      </c>
      <c r="E85" s="75">
        <f t="shared" si="34"/>
        <v>130.54855604999997</v>
      </c>
      <c r="F85" s="75">
        <f t="shared" si="34"/>
        <v>152.66013674999999</v>
      </c>
      <c r="G85" s="75">
        <f t="shared" si="34"/>
        <v>157.08050490000002</v>
      </c>
      <c r="H85" s="75">
        <f t="shared" si="34"/>
        <v>163.93934369999999</v>
      </c>
      <c r="I85" s="75">
        <f t="shared" si="34"/>
        <v>207.75448319999998</v>
      </c>
      <c r="J85" s="75">
        <f t="shared" si="34"/>
        <v>189.84914025</v>
      </c>
      <c r="K85" s="75">
        <f t="shared" si="34"/>
        <v>247.21519680000003</v>
      </c>
      <c r="L85" s="75">
        <f t="shared" si="34"/>
        <v>155.00744159999999</v>
      </c>
      <c r="M85" s="75">
        <f t="shared" si="34"/>
        <v>237.07566300000002</v>
      </c>
      <c r="N85" s="75">
        <f t="shared" si="34"/>
        <v>271.57932450000004</v>
      </c>
    </row>
    <row r="86" spans="1:16" x14ac:dyDescent="0.2">
      <c r="B86" s="66" t="s">
        <v>53</v>
      </c>
      <c r="C86" s="98">
        <f t="shared" ref="C86:N86" si="35">+C73*C59</f>
        <v>657.03210782000008</v>
      </c>
      <c r="D86" s="75">
        <f t="shared" si="35"/>
        <v>381.34378199999998</v>
      </c>
      <c r="E86" s="75">
        <f t="shared" si="35"/>
        <v>328.56583004999999</v>
      </c>
      <c r="F86" s="75">
        <f t="shared" si="35"/>
        <v>441.58716715000003</v>
      </c>
      <c r="G86" s="75">
        <f t="shared" si="35"/>
        <v>356.16664579999997</v>
      </c>
      <c r="H86" s="75">
        <f t="shared" si="35"/>
        <v>283.23470923000002</v>
      </c>
      <c r="I86" s="75">
        <f t="shared" si="35"/>
        <v>362.39072869999995</v>
      </c>
      <c r="J86" s="75">
        <f t="shared" si="35"/>
        <v>301.24979255</v>
      </c>
      <c r="K86" s="75">
        <f t="shared" si="35"/>
        <v>349.16883712000003</v>
      </c>
      <c r="L86" s="75">
        <f t="shared" si="35"/>
        <v>388.18903843999999</v>
      </c>
      <c r="M86" s="75">
        <f t="shared" si="35"/>
        <v>636.30566615999999</v>
      </c>
      <c r="N86" s="75">
        <f t="shared" si="35"/>
        <v>728.2273977000001</v>
      </c>
    </row>
    <row r="87" spans="1:16" x14ac:dyDescent="0.2">
      <c r="B87" s="66" t="s">
        <v>54</v>
      </c>
      <c r="C87" s="98">
        <f t="shared" ref="C87:N87" si="36">+C74*C60</f>
        <v>1074.0619725000001</v>
      </c>
      <c r="D87" s="75">
        <f t="shared" si="36"/>
        <v>806.91826500000002</v>
      </c>
      <c r="E87" s="75">
        <f t="shared" si="36"/>
        <v>764.32491749999997</v>
      </c>
      <c r="F87" s="75">
        <f t="shared" si="36"/>
        <v>804.29919000000007</v>
      </c>
      <c r="G87" s="75">
        <f t="shared" si="36"/>
        <v>786.45871649999992</v>
      </c>
      <c r="H87" s="75">
        <f t="shared" si="36"/>
        <v>960.82610475000001</v>
      </c>
      <c r="I87" s="75">
        <f t="shared" si="36"/>
        <v>1175.1741869999998</v>
      </c>
      <c r="J87" s="75">
        <f t="shared" si="36"/>
        <v>947.93097</v>
      </c>
      <c r="K87" s="75">
        <f t="shared" si="36"/>
        <v>1105.6100279999998</v>
      </c>
      <c r="L87" s="75">
        <f t="shared" si="36"/>
        <v>750.92558099999997</v>
      </c>
      <c r="M87" s="75">
        <f t="shared" si="36"/>
        <v>987.64020449999987</v>
      </c>
      <c r="N87" s="75">
        <f t="shared" si="36"/>
        <v>1115.8309575000001</v>
      </c>
    </row>
    <row r="88" spans="1:16" x14ac:dyDescent="0.2">
      <c r="B88" s="66" t="s">
        <v>55</v>
      </c>
      <c r="C88" s="98">
        <f t="shared" ref="C88:N88" si="37">+C75*C61</f>
        <v>0</v>
      </c>
      <c r="D88" s="75">
        <f t="shared" si="37"/>
        <v>0</v>
      </c>
      <c r="E88" s="75">
        <f t="shared" si="37"/>
        <v>0</v>
      </c>
      <c r="F88" s="75">
        <f t="shared" si="37"/>
        <v>0</v>
      </c>
      <c r="G88" s="75">
        <f t="shared" si="37"/>
        <v>0</v>
      </c>
      <c r="H88" s="75">
        <f t="shared" si="37"/>
        <v>0</v>
      </c>
      <c r="I88" s="75"/>
      <c r="J88" s="75">
        <f t="shared" si="37"/>
        <v>0</v>
      </c>
      <c r="K88" s="75">
        <f t="shared" si="37"/>
        <v>0</v>
      </c>
      <c r="L88" s="75">
        <f t="shared" si="37"/>
        <v>0</v>
      </c>
      <c r="M88" s="75">
        <f t="shared" si="37"/>
        <v>0</v>
      </c>
      <c r="N88" s="75">
        <f t="shared" si="37"/>
        <v>0</v>
      </c>
    </row>
    <row r="89" spans="1:16" x14ac:dyDescent="0.2">
      <c r="B89" s="66" t="s">
        <v>48</v>
      </c>
      <c r="C89" s="98">
        <f t="shared" ref="C89:N89" si="38">+C76*C62</f>
        <v>-444.94262384000007</v>
      </c>
      <c r="D89" s="75">
        <f t="shared" si="38"/>
        <v>-136.12185600000001</v>
      </c>
      <c r="E89" s="75">
        <f t="shared" si="38"/>
        <v>-136.72012952</v>
      </c>
      <c r="F89" s="75">
        <f t="shared" si="38"/>
        <v>-90.888106399999998</v>
      </c>
      <c r="G89" s="75">
        <f t="shared" si="38"/>
        <v>-109.12311696</v>
      </c>
      <c r="H89" s="75">
        <f t="shared" si="38"/>
        <v>-202.77747151999998</v>
      </c>
      <c r="I89" s="75">
        <f t="shared" si="38"/>
        <v>-71.562027679999986</v>
      </c>
      <c r="J89" s="75">
        <f t="shared" si="38"/>
        <v>-217.17776080000002</v>
      </c>
      <c r="K89" s="75">
        <f t="shared" si="38"/>
        <v>-256.76480128000003</v>
      </c>
      <c r="L89" s="75">
        <f t="shared" si="38"/>
        <v>-143.48614175999998</v>
      </c>
      <c r="M89" s="75">
        <f t="shared" si="38"/>
        <v>-214.27099200000001</v>
      </c>
      <c r="N89" s="75">
        <f t="shared" si="38"/>
        <v>-271.84219920000004</v>
      </c>
    </row>
    <row r="90" spans="1:16" x14ac:dyDescent="0.2">
      <c r="B90" s="66" t="s">
        <v>56</v>
      </c>
      <c r="C90" s="98">
        <f t="shared" ref="C90:N90" si="39">+C77*C63</f>
        <v>0</v>
      </c>
      <c r="D90" s="75">
        <f t="shared" si="39"/>
        <v>0</v>
      </c>
      <c r="E90" s="75">
        <f t="shared" si="39"/>
        <v>0</v>
      </c>
      <c r="F90" s="75">
        <f t="shared" si="39"/>
        <v>0</v>
      </c>
      <c r="G90" s="75">
        <f t="shared" si="39"/>
        <v>0</v>
      </c>
      <c r="H90" s="75">
        <f t="shared" si="39"/>
        <v>0</v>
      </c>
      <c r="I90" s="75">
        <f t="shared" si="39"/>
        <v>0</v>
      </c>
      <c r="J90" s="75">
        <f t="shared" si="39"/>
        <v>0</v>
      </c>
      <c r="K90" s="75">
        <f t="shared" si="39"/>
        <v>0</v>
      </c>
      <c r="L90" s="75">
        <f t="shared" si="39"/>
        <v>0</v>
      </c>
      <c r="M90" s="75">
        <f t="shared" si="39"/>
        <v>0</v>
      </c>
      <c r="N90" s="75">
        <f t="shared" si="39"/>
        <v>0</v>
      </c>
    </row>
    <row r="91" spans="1:16" x14ac:dyDescent="0.2">
      <c r="B91" s="66" t="s">
        <v>57</v>
      </c>
      <c r="C91" s="98">
        <f t="shared" ref="C91:N91" si="40">+C78*C64</f>
        <v>-1262.4641596600029</v>
      </c>
      <c r="D91" s="75">
        <f t="shared" si="40"/>
        <v>-960.13679610000213</v>
      </c>
      <c r="E91" s="75">
        <f t="shared" si="40"/>
        <v>-933.71906713000203</v>
      </c>
      <c r="F91" s="75">
        <f t="shared" si="40"/>
        <v>-945.37160015000211</v>
      </c>
      <c r="G91" s="75">
        <f t="shared" si="40"/>
        <v>-878.09019374000195</v>
      </c>
      <c r="H91" s="75">
        <f t="shared" si="40"/>
        <v>-1042.5824578100023</v>
      </c>
      <c r="I91" s="75">
        <f t="shared" si="40"/>
        <v>-1287.0462156200026</v>
      </c>
      <c r="J91" s="75">
        <f t="shared" si="40"/>
        <v>-1036.3571319500022</v>
      </c>
      <c r="K91" s="75">
        <f t="shared" si="40"/>
        <v>-1161.4223322400028</v>
      </c>
      <c r="L91" s="75">
        <f t="shared" si="40"/>
        <v>-808.6538668400018</v>
      </c>
      <c r="M91" s="75">
        <f t="shared" si="40"/>
        <v>-1074.7466414200023</v>
      </c>
      <c r="N91" s="75">
        <f t="shared" si="40"/>
        <v>-1199.5724061000028</v>
      </c>
    </row>
    <row r="92" spans="1:16" x14ac:dyDescent="0.2">
      <c r="B92" s="66" t="s">
        <v>58</v>
      </c>
      <c r="C92" s="99">
        <f t="shared" ref="C92:N92" si="41">+C79*C65</f>
        <v>3061.2657653599986</v>
      </c>
      <c r="D92" s="90">
        <f t="shared" si="41"/>
        <v>3053.645155199998</v>
      </c>
      <c r="E92" s="90">
        <f t="shared" si="41"/>
        <v>3517.7713740799982</v>
      </c>
      <c r="F92" s="90">
        <f t="shared" si="41"/>
        <v>2943.0297840999988</v>
      </c>
      <c r="G92" s="90">
        <f t="shared" si="41"/>
        <v>2048.1466225999989</v>
      </c>
      <c r="H92" s="90">
        <f t="shared" si="41"/>
        <v>2321.2684514799989</v>
      </c>
      <c r="I92" s="90">
        <f t="shared" si="41"/>
        <v>2742.5697837999983</v>
      </c>
      <c r="J92" s="90">
        <f t="shared" si="41"/>
        <v>2084.2722123999988</v>
      </c>
      <c r="K92" s="75">
        <f t="shared" si="41"/>
        <v>1881.0942571199998</v>
      </c>
      <c r="L92" s="75">
        <f t="shared" si="41"/>
        <v>-711.1101645599997</v>
      </c>
      <c r="M92" s="75">
        <f t="shared" si="41"/>
        <v>-926.90544731999955</v>
      </c>
      <c r="N92" s="75">
        <f t="shared" si="41"/>
        <v>-1599.3290735999997</v>
      </c>
    </row>
    <row r="93" spans="1:16" x14ac:dyDescent="0.2">
      <c r="A93" s="83" t="s">
        <v>64</v>
      </c>
      <c r="B93" s="83"/>
      <c r="C93" s="100">
        <f t="shared" ref="C93:N93" si="42">SUM(C82:C92)</f>
        <v>9026.9706841599964</v>
      </c>
      <c r="D93" s="101">
        <f t="shared" si="42"/>
        <v>8697.8525252999971</v>
      </c>
      <c r="E93" s="101">
        <f t="shared" si="42"/>
        <v>9323.433232249994</v>
      </c>
      <c r="F93" s="101">
        <f t="shared" si="42"/>
        <v>8266.8241406499965</v>
      </c>
      <c r="G93" s="101">
        <f t="shared" si="42"/>
        <v>5882.6077806199974</v>
      </c>
      <c r="H93" s="101">
        <f t="shared" si="42"/>
        <v>5924.1495311499957</v>
      </c>
      <c r="I93" s="101">
        <f t="shared" si="42"/>
        <v>8483.6331641599954</v>
      </c>
      <c r="J93" s="101">
        <f t="shared" si="42"/>
        <v>6371.5370638499971</v>
      </c>
      <c r="K93" s="110">
        <f t="shared" si="42"/>
        <v>6019.4404752799965</v>
      </c>
      <c r="L93" s="110">
        <f t="shared" si="42"/>
        <v>405.81608411999832</v>
      </c>
      <c r="M93" s="110">
        <f t="shared" si="42"/>
        <v>579.27634819999787</v>
      </c>
      <c r="N93" s="110">
        <f t="shared" si="42"/>
        <v>587.88913139999818</v>
      </c>
      <c r="O93" s="111">
        <f>SUM(C93:N93)</f>
        <v>69569.430161139971</v>
      </c>
      <c r="P93" s="111">
        <f>O93/2</f>
        <v>34784.715080569986</v>
      </c>
    </row>
    <row r="94" spans="1:16" x14ac:dyDescent="0.2">
      <c r="A94" s="83" t="s">
        <v>65</v>
      </c>
      <c r="B94" s="83"/>
      <c r="C94" s="100">
        <f>+C93/C66</f>
        <v>57.067711999999972</v>
      </c>
      <c r="D94" s="101">
        <f t="shared" ref="D94:M94" si="43">+D93/D66</f>
        <v>72.301350999999983</v>
      </c>
      <c r="E94" s="101">
        <f>+E93/E66</f>
        <v>79.694274999999948</v>
      </c>
      <c r="F94" s="101">
        <f t="shared" si="43"/>
        <v>69.791676999999964</v>
      </c>
      <c r="G94" s="101">
        <f t="shared" si="43"/>
        <v>53.468530999999977</v>
      </c>
      <c r="H94" s="101">
        <f t="shared" si="43"/>
        <v>45.350604999999966</v>
      </c>
      <c r="I94" s="101">
        <f t="shared" si="43"/>
        <v>52.608415999999977</v>
      </c>
      <c r="J94" s="101">
        <f t="shared" si="43"/>
        <v>49.068440999999979</v>
      </c>
      <c r="K94" s="75">
        <f t="shared" si="43"/>
        <v>41.365038999999975</v>
      </c>
      <c r="L94" s="75">
        <f t="shared" si="43"/>
        <v>4.0052909999999837</v>
      </c>
      <c r="M94" s="75">
        <f t="shared" si="43"/>
        <v>4.3017699999999843</v>
      </c>
      <c r="N94" s="75">
        <f>+N93/N66</f>
        <v>3.9114379999999875</v>
      </c>
    </row>
    <row r="95" spans="1:16" ht="8.1" customHeight="1" x14ac:dyDescent="0.2"/>
    <row r="96" spans="1:16" x14ac:dyDescent="0.2">
      <c r="A96" s="83" t="s">
        <v>80</v>
      </c>
      <c r="C96" s="111">
        <f>C94*0.7</f>
        <v>39.947398399999976</v>
      </c>
      <c r="D96" s="111">
        <f t="shared" ref="D96:N96" si="44">D94*0.7</f>
        <v>50.610945699999988</v>
      </c>
      <c r="E96" s="111">
        <f>E94*0.7</f>
        <v>55.785992499999963</v>
      </c>
      <c r="F96" s="111">
        <f t="shared" si="44"/>
        <v>48.854173899999971</v>
      </c>
      <c r="G96" s="111">
        <f t="shared" si="44"/>
        <v>37.427971699999979</v>
      </c>
      <c r="H96" s="111">
        <f t="shared" si="44"/>
        <v>31.745423499999973</v>
      </c>
      <c r="I96" s="111">
        <f t="shared" si="44"/>
        <v>36.82589119999998</v>
      </c>
      <c r="J96" s="111">
        <f t="shared" si="44"/>
        <v>34.347908699999984</v>
      </c>
      <c r="K96" s="111">
        <f t="shared" si="44"/>
        <v>28.955527299999979</v>
      </c>
      <c r="L96" s="111">
        <f t="shared" si="44"/>
        <v>2.8037036999999883</v>
      </c>
      <c r="M96" s="111">
        <f t="shared" si="44"/>
        <v>3.0112389999999887</v>
      </c>
      <c r="N96" s="111">
        <f t="shared" si="44"/>
        <v>2.738006599999991</v>
      </c>
    </row>
    <row r="97" spans="1:10" x14ac:dyDescent="0.2">
      <c r="C97" s="102"/>
      <c r="D97" s="102"/>
      <c r="E97" s="102"/>
      <c r="F97" s="102"/>
      <c r="G97" s="102"/>
      <c r="H97" s="102"/>
      <c r="I97" s="102"/>
      <c r="J97" s="103"/>
    </row>
    <row r="98" spans="1:10" x14ac:dyDescent="0.2">
      <c r="A98" s="83"/>
      <c r="B98" s="83"/>
      <c r="C98" s="100"/>
      <c r="D98" s="100"/>
      <c r="E98" s="100"/>
      <c r="F98" s="100"/>
      <c r="G98" s="100"/>
      <c r="H98" s="100"/>
      <c r="I98" s="100"/>
      <c r="J98" s="104"/>
    </row>
    <row r="99" spans="1:10" ht="8.1" customHeight="1" x14ac:dyDescent="0.2">
      <c r="C99" s="103"/>
      <c r="D99" s="103"/>
      <c r="E99" s="103"/>
      <c r="F99" s="103"/>
      <c r="G99" s="103"/>
      <c r="H99" s="103"/>
      <c r="I99" s="103"/>
      <c r="J99" s="103"/>
    </row>
    <row r="100" spans="1:10" x14ac:dyDescent="0.2">
      <c r="A100" s="83"/>
      <c r="B100" s="83"/>
      <c r="C100" s="104"/>
      <c r="D100" s="104"/>
      <c r="E100" s="104"/>
      <c r="F100" s="104"/>
      <c r="G100" s="104"/>
      <c r="H100" s="104"/>
      <c r="I100" s="104"/>
      <c r="J100" s="104"/>
    </row>
    <row r="101" spans="1:10" ht="8.1" customHeight="1" x14ac:dyDescent="0.2">
      <c r="C101" s="103"/>
      <c r="D101" s="103"/>
      <c r="E101" s="103"/>
      <c r="F101" s="103"/>
      <c r="G101" s="103"/>
      <c r="H101" s="103"/>
      <c r="I101" s="103"/>
      <c r="J101" s="103"/>
    </row>
    <row r="102" spans="1:10" x14ac:dyDescent="0.2">
      <c r="A102" s="83"/>
      <c r="C102" s="102"/>
      <c r="D102" s="102"/>
      <c r="E102" s="102"/>
      <c r="F102" s="102"/>
      <c r="G102" s="102"/>
      <c r="H102" s="102"/>
      <c r="I102" s="102"/>
      <c r="J102" s="105"/>
    </row>
    <row r="105" spans="1:10" x14ac:dyDescent="0.2">
      <c r="B105" s="66" t="str">
        <f ca="1">CELL("filename")</f>
        <v>S:\District\~WUTC Files~\1. RSA\2017-2019 Plan Year\Diane's Files for Commodity Credit Templates 2017-2018\4183\[SeaTac Single Family Commodity Credit Template - 2018.xlsx]WUTC_AW of Kent (SeaTac)_SF</v>
      </c>
    </row>
  </sheetData>
  <phoneticPr fontId="0" type="noConversion"/>
  <pageMargins left="0.5" right="0.5" top="0.75" bottom="0.75" header="0.5" footer="0.5"/>
  <pageSetup scale="60" fitToWidth="0" orientation="portrait" r:id="rId1"/>
  <headerFooter alignWithMargins="0"/>
  <rowBreaks count="1" manualBreakCount="1">
    <brk id="53" max="1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349A8056FB76745B377F17263AEF400" ma:contentTypeVersion="76" ma:contentTypeDescription="" ma:contentTypeScope="" ma:versionID="00d3bdc5f3f260d2bb445743f567a9d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2018-05-31T07:00:00+00:00</OpenedDate>
    <SignificantOrder xmlns="dc463f71-b30c-4ab2-9473-d307f9d35888">false</SignificantOrder>
    <Date1 xmlns="dc463f71-b30c-4ab2-9473-d307f9d35888">2018-05-31T07:00:00+00:00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180487</DocketNumber>
    <DelegatedOrder xmlns="dc463f71-b30c-4ab2-9473-d307f9d35888">false</DelegatedOrder>
  </documentManagement>
</p:properties>
</file>

<file path=customXml/itemProps1.xml><?xml version="1.0" encoding="utf-8"?>
<ds:datastoreItem xmlns:ds="http://schemas.openxmlformats.org/officeDocument/2006/customXml" ds:itemID="{93366F8D-0B21-43BB-915A-996C8B17BFDC}"/>
</file>

<file path=customXml/itemProps2.xml><?xml version="1.0" encoding="utf-8"?>
<ds:datastoreItem xmlns:ds="http://schemas.openxmlformats.org/officeDocument/2006/customXml" ds:itemID="{B25EBA82-3F29-487E-B931-D1494F0943F5}"/>
</file>

<file path=customXml/itemProps3.xml><?xml version="1.0" encoding="utf-8"?>
<ds:datastoreItem xmlns:ds="http://schemas.openxmlformats.org/officeDocument/2006/customXml" ds:itemID="{8C8FCCEE-B65C-4032-AEC4-5A2C314A31A3}"/>
</file>

<file path=customXml/itemProps4.xml><?xml version="1.0" encoding="utf-8"?>
<ds:datastoreItem xmlns:ds="http://schemas.openxmlformats.org/officeDocument/2006/customXml" ds:itemID="{ED380F49-9EC5-4D76-97E3-BAC523ADEB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WUTC_LYNNWOOD_SF</vt:lpstr>
      <vt:lpstr>WUTC_AW of Kent (SeaTac)_SF</vt:lpstr>
      <vt:lpstr>Value</vt:lpstr>
      <vt:lpstr>Commodity Tonnages</vt:lpstr>
      <vt:lpstr>Pricing</vt:lpstr>
      <vt:lpstr>Single Family</vt:lpstr>
      <vt:lpstr>Pricing!Print_Area</vt:lpstr>
      <vt:lpstr>'Single Family'!Print_Area</vt:lpstr>
      <vt:lpstr>'WUTC_AW of Kent (SeaTac)_SF'!Print_Area</vt:lpstr>
      <vt:lpstr>WUTC_LYNNWOOD_SF!Print_Area</vt:lpstr>
      <vt:lpstr>'Single Family'!Print_Titles</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JG00116</dc:creator>
  <cp:lastModifiedBy>Cramer, Diane</cp:lastModifiedBy>
  <cp:lastPrinted>2017-06-14T20:06:51Z</cp:lastPrinted>
  <dcterms:created xsi:type="dcterms:W3CDTF">2008-05-23T15:47:44Z</dcterms:created>
  <dcterms:modified xsi:type="dcterms:W3CDTF">2018-05-22T18:32:52Z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0x0101006E56B4D1795A2E4DB2F0B01679ED314A004349A8056FB76745B377F17263AEF400</vt:lpwstr>
  </property>
  <property fmtid="{D5CDD505-2E9C-101B-9397-08002B2CF9AE}" pid="3" name="_docset_NoMedatataSyncRequired">
    <vt:lpwstr>False</vt:lpwstr>
  </property>
  <property fmtid="{D5CDD505-2E9C-101B-9397-08002B2CF9AE}" pid="4" name="IsEFSEC">
    <vt:bool>false</vt:bool>
  </property>
</Properties>
</file>