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13\PSE Tariff\"/>
    </mc:Choice>
  </mc:AlternateContent>
  <bookViews>
    <workbookView xWindow="180" yWindow="75" windowWidth="14445" windowHeight="10470"/>
  </bookViews>
  <sheets>
    <sheet name="2018 Prop Tax Rate Impacts" sheetId="12" r:id="rId1"/>
    <sheet name="2018 Prop Tax Rate Design" sheetId="10" r:id="rId2"/>
    <sheet name="UE-170033 Compliance ECOS " sheetId="35" r:id="rId3"/>
    <sheet name="UE-111048 Compliance ECOS " sheetId="36" r:id="rId4"/>
    <sheet name="Final 2018 Rev Req" sheetId="11" r:id="rId5"/>
    <sheet name="2018 Street &amp; Area Lighting" sheetId="34" r:id="rId6"/>
    <sheet name="Typical Res Customer Sch 140" sheetId="27" r:id="rId7"/>
    <sheet name="Projected Revenue on F2017" sheetId="31" r:id="rId8"/>
    <sheet name="2017 Prop Tax Rate Design" sheetId="26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'2018 Prop Tax Rate Design'!$A$1:$T$38</definedName>
    <definedName name="_xlnm.Print_Area" localSheetId="0">'2018 Prop Tax Rate Impacts'!$A$1:$I$35</definedName>
    <definedName name="_xlnm.Print_Area" localSheetId="5">'2018 Street &amp; Area Lighting'!$A$1:$K$195</definedName>
    <definedName name="_xlnm.Print_Area" localSheetId="7">'Projected Revenue on F2017'!$A$1:$M$43</definedName>
    <definedName name="_xlnm.Print_Area" localSheetId="6">'Typical Res Customer Sch 140'!$A$1:$T$61</definedName>
    <definedName name="_xlnm.Print_Area" localSheetId="3">'UE-111048 Compliance ECOS '!$A$1:$O$78</definedName>
    <definedName name="_xlnm.Print_Area" localSheetId="2">'UE-170033 Compliance ECOS '!$A$1:$U$70</definedName>
    <definedName name="_xlnm.Print_Titles" localSheetId="5">'2018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52511"/>
</workbook>
</file>

<file path=xl/calcChain.xml><?xml version="1.0" encoding="utf-8"?>
<calcChain xmlns="http://schemas.openxmlformats.org/spreadsheetml/2006/main">
  <c r="D185" i="34" l="1"/>
  <c r="H194" i="34"/>
  <c r="H191" i="34"/>
  <c r="H189" i="34"/>
  <c r="H188" i="34"/>
  <c r="H185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H170" i="34"/>
  <c r="H169" i="34"/>
  <c r="H168" i="34"/>
  <c r="H165" i="34"/>
  <c r="H164" i="34"/>
  <c r="H162" i="34"/>
  <c r="H161" i="34"/>
  <c r="H160" i="34"/>
  <c r="H159" i="34"/>
  <c r="H157" i="34"/>
  <c r="H156" i="34"/>
  <c r="H155" i="34"/>
  <c r="H154" i="34"/>
  <c r="H153" i="34"/>
  <c r="H151" i="34"/>
  <c r="H150" i="34"/>
  <c r="H149" i="34"/>
  <c r="H148" i="34"/>
  <c r="H147" i="34"/>
  <c r="H146" i="34"/>
  <c r="H143" i="34"/>
  <c r="H142" i="34"/>
  <c r="H141" i="34"/>
  <c r="H140" i="34"/>
  <c r="H139" i="34"/>
  <c r="H138" i="34"/>
  <c r="H137" i="34"/>
  <c r="H136" i="34"/>
  <c r="H135" i="34"/>
  <c r="H133" i="34"/>
  <c r="H131" i="34"/>
  <c r="H130" i="34"/>
  <c r="H129" i="34"/>
  <c r="H128" i="34"/>
  <c r="H127" i="34"/>
  <c r="H126" i="34"/>
  <c r="H123" i="34"/>
  <c r="H122" i="34"/>
  <c r="H121" i="34"/>
  <c r="H120" i="34"/>
  <c r="H119" i="34"/>
  <c r="H118" i="34"/>
  <c r="H117" i="34"/>
  <c r="H116" i="34"/>
  <c r="H115" i="34"/>
  <c r="H112" i="34"/>
  <c r="H111" i="34"/>
  <c r="H110" i="34"/>
  <c r="H109" i="34"/>
  <c r="H108" i="34"/>
  <c r="H107" i="34"/>
  <c r="H106" i="34"/>
  <c r="H105" i="34"/>
  <c r="H104" i="34"/>
  <c r="H101" i="34"/>
  <c r="H100" i="34"/>
  <c r="H99" i="34"/>
  <c r="H98" i="34"/>
  <c r="H97" i="34"/>
  <c r="H96" i="34"/>
  <c r="H95" i="34"/>
  <c r="H94" i="34"/>
  <c r="H93" i="34"/>
  <c r="H91" i="34"/>
  <c r="H90" i="34"/>
  <c r="H89" i="34"/>
  <c r="H88" i="34"/>
  <c r="H87" i="34"/>
  <c r="H86" i="34"/>
  <c r="H84" i="34"/>
  <c r="H83" i="34"/>
  <c r="H82" i="34"/>
  <c r="H81" i="34"/>
  <c r="H80" i="34"/>
  <c r="H79" i="34"/>
  <c r="H78" i="34"/>
  <c r="H77" i="34"/>
  <c r="H76" i="34"/>
  <c r="H74" i="34"/>
  <c r="H73" i="34"/>
  <c r="H72" i="34"/>
  <c r="H71" i="34"/>
  <c r="H70" i="34"/>
  <c r="H69" i="34"/>
  <c r="H68" i="34"/>
  <c r="H67" i="34"/>
  <c r="H66" i="34"/>
  <c r="H64" i="34"/>
  <c r="H63" i="34"/>
  <c r="H62" i="34"/>
  <c r="H61" i="34"/>
  <c r="H60" i="34"/>
  <c r="H58" i="34"/>
  <c r="H57" i="34"/>
  <c r="H56" i="34"/>
  <c r="H55" i="34"/>
  <c r="H54" i="34"/>
  <c r="H53" i="34"/>
  <c r="H52" i="34"/>
  <c r="H51" i="34"/>
  <c r="H50" i="34"/>
  <c r="H47" i="34"/>
  <c r="H46" i="34"/>
  <c r="H45" i="34"/>
  <c r="H44" i="34"/>
  <c r="H43" i="34"/>
  <c r="H42" i="34"/>
  <c r="H41" i="34"/>
  <c r="H39" i="34"/>
  <c r="H38" i="34"/>
  <c r="H37" i="34"/>
  <c r="H36" i="34"/>
  <c r="H35" i="34"/>
  <c r="H34" i="34"/>
  <c r="H33" i="34"/>
  <c r="H32" i="34"/>
  <c r="H29" i="34"/>
  <c r="H28" i="34"/>
  <c r="H27" i="34"/>
  <c r="H26" i="34"/>
  <c r="H25" i="34"/>
  <c r="H24" i="34"/>
  <c r="H23" i="34"/>
  <c r="H22" i="34"/>
  <c r="H21" i="34"/>
  <c r="H18" i="34"/>
  <c r="H17" i="34"/>
  <c r="H16" i="34"/>
  <c r="H15" i="34"/>
  <c r="H14" i="34"/>
  <c r="H13" i="34"/>
  <c r="H12" i="34"/>
  <c r="H10" i="34"/>
  <c r="M75" i="36" l="1"/>
  <c r="E75" i="36" s="1"/>
  <c r="O69" i="36"/>
  <c r="N69" i="36"/>
  <c r="M69" i="36"/>
  <c r="L69" i="36"/>
  <c r="K69" i="36"/>
  <c r="J69" i="36"/>
  <c r="I69" i="36"/>
  <c r="H69" i="36"/>
  <c r="G69" i="36"/>
  <c r="F69" i="36"/>
  <c r="E69" i="36"/>
  <c r="O55" i="36"/>
  <c r="N55" i="36"/>
  <c r="M55" i="36"/>
  <c r="L55" i="36"/>
  <c r="K55" i="36"/>
  <c r="J55" i="36"/>
  <c r="I55" i="36"/>
  <c r="H55" i="36"/>
  <c r="G55" i="36"/>
  <c r="F55" i="36"/>
  <c r="E55" i="36"/>
  <c r="O24" i="36"/>
  <c r="N24" i="36"/>
  <c r="M24" i="36"/>
  <c r="M74" i="36" s="1"/>
  <c r="M76" i="36" s="1"/>
  <c r="L24" i="36"/>
  <c r="K24" i="36"/>
  <c r="J24" i="36"/>
  <c r="I24" i="36"/>
  <c r="H24" i="36"/>
  <c r="G24" i="36"/>
  <c r="F24" i="36"/>
  <c r="E24" i="36"/>
  <c r="O18" i="36"/>
  <c r="N18" i="36"/>
  <c r="M18" i="36"/>
  <c r="L18" i="36"/>
  <c r="K18" i="36"/>
  <c r="J18" i="36"/>
  <c r="I18" i="36"/>
  <c r="H18" i="36"/>
  <c r="G18" i="36"/>
  <c r="F18" i="36"/>
  <c r="E18" i="36"/>
  <c r="O12" i="36"/>
  <c r="N12" i="36"/>
  <c r="M12" i="36"/>
  <c r="L12" i="36"/>
  <c r="K12" i="36"/>
  <c r="J12" i="36"/>
  <c r="I12" i="36"/>
  <c r="H12" i="36"/>
  <c r="G12" i="36"/>
  <c r="F12" i="36"/>
  <c r="E12" i="36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L71" i="36" l="1"/>
  <c r="G71" i="36"/>
  <c r="K71" i="36"/>
  <c r="E71" i="36"/>
  <c r="M71" i="36"/>
  <c r="F71" i="36"/>
  <c r="J71" i="36"/>
  <c r="N71" i="36"/>
  <c r="H71" i="36"/>
  <c r="O71" i="36"/>
  <c r="I71" i="36"/>
  <c r="E76" i="36"/>
  <c r="E74" i="36"/>
  <c r="I73" i="36" l="1"/>
  <c r="I77" i="36" s="1"/>
  <c r="G15" i="10" s="1"/>
  <c r="J73" i="36"/>
  <c r="J77" i="36" s="1"/>
  <c r="K73" i="36"/>
  <c r="K77" i="36" s="1"/>
  <c r="G23" i="10" s="1"/>
  <c r="O73" i="36"/>
  <c r="O77" i="36" s="1"/>
  <c r="G33" i="10" s="1"/>
  <c r="F73" i="36"/>
  <c r="F77" i="36" s="1"/>
  <c r="G9" i="10" s="1"/>
  <c r="G73" i="36"/>
  <c r="G77" i="36" s="1"/>
  <c r="G13" i="10" s="1"/>
  <c r="N73" i="36"/>
  <c r="N77" i="36" s="1"/>
  <c r="G27" i="10" s="1"/>
  <c r="H73" i="36"/>
  <c r="H77" i="36" s="1"/>
  <c r="G14" i="10" s="1"/>
  <c r="M73" i="36"/>
  <c r="M77" i="36" s="1"/>
  <c r="G29" i="10" s="1"/>
  <c r="L73" i="36"/>
  <c r="L77" i="36" s="1"/>
  <c r="G25" i="10" s="1"/>
  <c r="E73" i="36" l="1"/>
  <c r="E77" i="36" s="1"/>
  <c r="M68" i="35" l="1"/>
  <c r="E68" i="35" s="1"/>
  <c r="S64" i="35"/>
  <c r="R64" i="35"/>
  <c r="Q64" i="35"/>
  <c r="O64" i="35"/>
  <c r="N64" i="35"/>
  <c r="M64" i="35"/>
  <c r="L64" i="35"/>
  <c r="K64" i="35"/>
  <c r="J64" i="35"/>
  <c r="I64" i="35"/>
  <c r="H64" i="35"/>
  <c r="G64" i="35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T54" i="35"/>
  <c r="U53" i="35"/>
  <c r="T53" i="35"/>
  <c r="S50" i="35"/>
  <c r="R50" i="35"/>
  <c r="Q50" i="35"/>
  <c r="O50" i="35"/>
  <c r="N50" i="35"/>
  <c r="M50" i="35"/>
  <c r="M69" i="35" s="1"/>
  <c r="E69" i="35" s="1"/>
  <c r="L50" i="35"/>
  <c r="K50" i="35"/>
  <c r="J50" i="35"/>
  <c r="I50" i="35"/>
  <c r="H50" i="35"/>
  <c r="G50" i="35"/>
  <c r="F50" i="35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U31" i="35"/>
  <c r="T31" i="35"/>
  <c r="U30" i="35"/>
  <c r="T30" i="35"/>
  <c r="U29" i="35"/>
  <c r="U50" i="35" s="1"/>
  <c r="T29" i="35"/>
  <c r="S26" i="35"/>
  <c r="R26" i="35"/>
  <c r="Q26" i="35"/>
  <c r="O26" i="35"/>
  <c r="N26" i="35"/>
  <c r="M26" i="35"/>
  <c r="L26" i="35"/>
  <c r="K26" i="35"/>
  <c r="J26" i="35"/>
  <c r="I26" i="35"/>
  <c r="H26" i="35"/>
  <c r="G26" i="35"/>
  <c r="F26" i="35"/>
  <c r="E26" i="35"/>
  <c r="U25" i="35"/>
  <c r="T25" i="35"/>
  <c r="U24" i="35"/>
  <c r="T24" i="35"/>
  <c r="U23" i="35"/>
  <c r="U26" i="35" s="1"/>
  <c r="T23" i="35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T14" i="35" s="1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H66" i="35" l="1"/>
  <c r="H70" i="35" s="1"/>
  <c r="D14" i="10" s="1"/>
  <c r="L66" i="35"/>
  <c r="L70" i="35" s="1"/>
  <c r="D25" i="10" s="1"/>
  <c r="Q66" i="35"/>
  <c r="Q70" i="35" s="1"/>
  <c r="E66" i="35"/>
  <c r="E70" i="35" s="1"/>
  <c r="I66" i="35"/>
  <c r="I70" i="35" s="1"/>
  <c r="D15" i="10" s="1"/>
  <c r="M66" i="35"/>
  <c r="M70" i="35" s="1"/>
  <c r="D29" i="10" s="1"/>
  <c r="R66" i="35"/>
  <c r="R70" i="35" s="1"/>
  <c r="T50" i="35"/>
  <c r="T64" i="35"/>
  <c r="F66" i="35"/>
  <c r="F70" i="35" s="1"/>
  <c r="D9" i="10" s="1"/>
  <c r="J66" i="35"/>
  <c r="J70" i="35" s="1"/>
  <c r="N66" i="35"/>
  <c r="N70" i="35" s="1"/>
  <c r="D27" i="10" s="1"/>
  <c r="S66" i="35"/>
  <c r="S70" i="35" s="1"/>
  <c r="D20" i="10" s="1"/>
  <c r="U64" i="35"/>
  <c r="T20" i="35"/>
  <c r="T26" i="35"/>
  <c r="G66" i="35"/>
  <c r="G70" i="35" s="1"/>
  <c r="D13" i="10" s="1"/>
  <c r="K66" i="35"/>
  <c r="K70" i="35" s="1"/>
  <c r="D23" i="10" s="1"/>
  <c r="O66" i="35"/>
  <c r="O70" i="35" s="1"/>
  <c r="D33" i="10" s="1"/>
  <c r="T66" i="35"/>
  <c r="T70" i="35" s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U66" i="35"/>
  <c r="U70" i="35" s="1"/>
  <c r="D19" i="10" s="1"/>
  <c r="B169" i="34" l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64" i="34"/>
  <c r="B165" i="34" s="1"/>
  <c r="B154" i="34"/>
  <c r="B155" i="34" s="1"/>
  <c r="B156" i="34" s="1"/>
  <c r="B157" i="34" s="1"/>
  <c r="B147" i="34"/>
  <c r="B159" i="34" s="1"/>
  <c r="B160" i="34" s="1"/>
  <c r="B161" i="34" s="1"/>
  <c r="B162" i="34" s="1"/>
  <c r="B127" i="34"/>
  <c r="B128" i="34" s="1"/>
  <c r="B129" i="34" s="1"/>
  <c r="B130" i="34" s="1"/>
  <c r="B131" i="34" s="1"/>
  <c r="B133" i="34" s="1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52" i="34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B51" i="34"/>
  <c r="C45" i="34"/>
  <c r="C46" i="34" s="1"/>
  <c r="C47" i="34" s="1"/>
  <c r="B33" i="34"/>
  <c r="B34" i="34" s="1"/>
  <c r="B35" i="34" s="1"/>
  <c r="B36" i="34" s="1"/>
  <c r="B16" i="34"/>
  <c r="B17" i="34" s="1"/>
  <c r="B18" i="34" s="1"/>
  <c r="C13" i="34"/>
  <c r="C14" i="34" s="1"/>
  <c r="C15" i="34" s="1"/>
  <c r="C16" i="34" s="1"/>
  <c r="C17" i="34" s="1"/>
  <c r="C18" i="34" s="1"/>
  <c r="B13" i="34"/>
  <c r="B14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L10" i="31" l="1"/>
  <c r="L31" i="31"/>
  <c r="K25" i="31"/>
  <c r="K43" i="31"/>
  <c r="L43" i="31"/>
  <c r="L19" i="31"/>
  <c r="L25" i="31"/>
  <c r="K10" i="31"/>
  <c r="K19" i="31"/>
  <c r="K31" i="31"/>
  <c r="L37" i="31" l="1"/>
  <c r="L41" i="31" s="1"/>
  <c r="K37" i="31"/>
  <c r="K41" i="31" s="1"/>
  <c r="D10" i="31" l="1"/>
  <c r="D31" i="31"/>
  <c r="H10" i="31"/>
  <c r="F10" i="31"/>
  <c r="H31" i="31"/>
  <c r="J10" i="31"/>
  <c r="E10" i="31"/>
  <c r="I10" i="31"/>
  <c r="E31" i="31"/>
  <c r="I31" i="31"/>
  <c r="H25" i="31"/>
  <c r="C10" i="31"/>
  <c r="C19" i="31"/>
  <c r="C31" i="31"/>
  <c r="G10" i="31"/>
  <c r="G19" i="31"/>
  <c r="G31" i="31"/>
  <c r="H19" i="31"/>
  <c r="E25" i="31"/>
  <c r="E19" i="31"/>
  <c r="I19" i="31"/>
  <c r="F19" i="31"/>
  <c r="F25" i="31"/>
  <c r="D19" i="31"/>
  <c r="D25" i="31"/>
  <c r="G25" i="31"/>
  <c r="F31" i="31"/>
  <c r="J31" i="31"/>
  <c r="I25" i="31"/>
  <c r="C25" i="31"/>
  <c r="J19" i="31"/>
  <c r="J25" i="31"/>
  <c r="H55" i="27"/>
  <c r="H57" i="27"/>
  <c r="H56" i="27"/>
  <c r="G58" i="27"/>
  <c r="H54" i="27"/>
  <c r="H53" i="27"/>
  <c r="H50" i="27"/>
  <c r="H49" i="27"/>
  <c r="G46" i="27"/>
  <c r="H46" i="27" s="1"/>
  <c r="G45" i="27"/>
  <c r="H45" i="27" s="1"/>
  <c r="H43" i="27"/>
  <c r="G43" i="27"/>
  <c r="H42" i="27"/>
  <c r="G40" i="27"/>
  <c r="G60" i="27" s="1"/>
  <c r="H39" i="27"/>
  <c r="H38" i="27"/>
  <c r="H37" i="27"/>
  <c r="H36" i="27"/>
  <c r="H35" i="27"/>
  <c r="G33" i="27"/>
  <c r="H32" i="27"/>
  <c r="H31" i="27"/>
  <c r="H33" i="27" l="1"/>
  <c r="C37" i="31"/>
  <c r="C41" i="31" s="1"/>
  <c r="H40" i="27"/>
  <c r="G37" i="31"/>
  <c r="G41" i="31" s="1"/>
  <c r="H37" i="31"/>
  <c r="H41" i="31" s="1"/>
  <c r="C79" i="27"/>
  <c r="D79" i="27"/>
  <c r="I37" i="31"/>
  <c r="I41" i="31" s="1"/>
  <c r="E37" i="31"/>
  <c r="E41" i="31" s="1"/>
  <c r="F37" i="31"/>
  <c r="F41" i="31" s="1"/>
  <c r="J37" i="31"/>
  <c r="J41" i="31" s="1"/>
  <c r="D37" i="31"/>
  <c r="D41" i="31" s="1"/>
  <c r="H60" i="27"/>
  <c r="H58" i="27"/>
  <c r="M17" i="31" l="1"/>
  <c r="M13" i="31"/>
  <c r="M9" i="31"/>
  <c r="M8" i="31"/>
  <c r="M22" i="31" l="1"/>
  <c r="M29" i="31"/>
  <c r="M39" i="31"/>
  <c r="M23" i="31"/>
  <c r="M15" i="31"/>
  <c r="M18" i="31"/>
  <c r="M24" i="31"/>
  <c r="M33" i="31"/>
  <c r="M14" i="31"/>
  <c r="M30" i="31"/>
  <c r="M12" i="31"/>
  <c r="M16" i="31"/>
  <c r="M21" i="31"/>
  <c r="M27" i="31"/>
  <c r="M35" i="31"/>
  <c r="K37" i="10"/>
  <c r="J37" i="10"/>
  <c r="J9" i="10" s="1"/>
  <c r="E19" i="12" l="1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N33" i="10"/>
  <c r="N29" i="10"/>
  <c r="N27" i="10"/>
  <c r="N25" i="10"/>
  <c r="N23" i="10"/>
  <c r="N20" i="10"/>
  <c r="N19" i="10"/>
  <c r="N15" i="10"/>
  <c r="N14" i="10"/>
  <c r="N13" i="10"/>
  <c r="N9" i="10"/>
  <c r="G20" i="10"/>
  <c r="G19" i="10"/>
  <c r="M43" i="31"/>
  <c r="J43" i="31"/>
  <c r="I43" i="31"/>
  <c r="H43" i="31"/>
  <c r="G43" i="31"/>
  <c r="F43" i="31"/>
  <c r="E43" i="31"/>
  <c r="D43" i="31"/>
  <c r="C43" i="31"/>
  <c r="M31" i="31"/>
  <c r="M25" i="31"/>
  <c r="M19" i="31"/>
  <c r="M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F33" i="12"/>
  <c r="F31" i="12"/>
  <c r="F27" i="12"/>
  <c r="F28" i="12" s="1"/>
  <c r="F24" i="12"/>
  <c r="F21" i="12"/>
  <c r="F19" i="12"/>
  <c r="F20" i="12" s="1"/>
  <c r="F14" i="12"/>
  <c r="F13" i="12"/>
  <c r="F15" i="12" s="1"/>
  <c r="F12" i="12"/>
  <c r="F8" i="12"/>
  <c r="G44" i="27" s="1"/>
  <c r="G47" i="27" s="1"/>
  <c r="G61" i="27" s="1"/>
  <c r="E29" i="12" l="1"/>
  <c r="E22" i="12"/>
  <c r="E16" i="12"/>
  <c r="M37" i="31"/>
  <c r="M41" i="31" s="1"/>
  <c r="E35" i="12" l="1"/>
  <c r="E78" i="27"/>
  <c r="C18" i="27" s="1"/>
  <c r="J18" i="27" s="1"/>
  <c r="B78" i="27"/>
  <c r="E77" i="27"/>
  <c r="C17" i="27" s="1"/>
  <c r="K17" i="27" s="1"/>
  <c r="P17" i="27" s="1"/>
  <c r="B77" i="27"/>
  <c r="E76" i="27"/>
  <c r="C16" i="27" s="1"/>
  <c r="B76" i="27"/>
  <c r="E75" i="27"/>
  <c r="C15" i="27" s="1"/>
  <c r="G15" i="27" s="1"/>
  <c r="B75" i="27"/>
  <c r="E74" i="27"/>
  <c r="C14" i="27" s="1"/>
  <c r="B74" i="27"/>
  <c r="E73" i="27"/>
  <c r="C13" i="27" s="1"/>
  <c r="B73" i="27"/>
  <c r="E72" i="27"/>
  <c r="C12" i="27" s="1"/>
  <c r="B72" i="27"/>
  <c r="E71" i="27"/>
  <c r="C11" i="27" s="1"/>
  <c r="M11" i="27" s="1"/>
  <c r="B71" i="27"/>
  <c r="E70" i="27"/>
  <c r="C10" i="27" s="1"/>
  <c r="K10" i="27" s="1"/>
  <c r="P10" i="27" s="1"/>
  <c r="B70" i="27"/>
  <c r="E69" i="27"/>
  <c r="C9" i="27" s="1"/>
  <c r="K9" i="27" s="1"/>
  <c r="P9" i="27" s="1"/>
  <c r="B69" i="27"/>
  <c r="E68" i="27"/>
  <c r="C8" i="27" s="1"/>
  <c r="L8" i="27" s="1"/>
  <c r="B68" i="27"/>
  <c r="E67" i="27"/>
  <c r="B67" i="27"/>
  <c r="N26" i="27"/>
  <c r="M26" i="27"/>
  <c r="K26" i="27"/>
  <c r="P26" i="27" s="1"/>
  <c r="J26" i="27"/>
  <c r="I26" i="27"/>
  <c r="H26" i="27"/>
  <c r="F26" i="27"/>
  <c r="E26" i="27"/>
  <c r="D26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8" i="27"/>
  <c r="A9" i="27" s="1"/>
  <c r="I18" i="27" l="1"/>
  <c r="N18" i="27"/>
  <c r="E81" i="27"/>
  <c r="F18" i="27"/>
  <c r="I13" i="27"/>
  <c r="D13" i="27"/>
  <c r="M15" i="27"/>
  <c r="K14" i="27"/>
  <c r="P14" i="27" s="1"/>
  <c r="F14" i="27"/>
  <c r="M14" i="27"/>
  <c r="E11" i="27"/>
  <c r="J11" i="27"/>
  <c r="F15" i="27"/>
  <c r="H17" i="27"/>
  <c r="K15" i="27"/>
  <c r="P15" i="27" s="1"/>
  <c r="F10" i="27"/>
  <c r="L10" i="27"/>
  <c r="C7" i="27"/>
  <c r="K7" i="27" s="1"/>
  <c r="P7" i="27" s="1"/>
  <c r="L12" i="27"/>
  <c r="K12" i="27"/>
  <c r="P12" i="27" s="1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P8" i="27" s="1"/>
  <c r="N9" i="27"/>
  <c r="J9" i="27"/>
  <c r="F9" i="27"/>
  <c r="H9" i="27"/>
  <c r="M9" i="27"/>
  <c r="F11" i="27"/>
  <c r="K11" i="27"/>
  <c r="P11" i="27" s="1"/>
  <c r="M12" i="27"/>
  <c r="I12" i="27"/>
  <c r="E12" i="27"/>
  <c r="H12" i="27"/>
  <c r="N12" i="27"/>
  <c r="E13" i="27"/>
  <c r="K13" i="27"/>
  <c r="P13" i="27" s="1"/>
  <c r="L14" i="27"/>
  <c r="L15" i="27"/>
  <c r="H15" i="27"/>
  <c r="D15" i="27"/>
  <c r="I15" i="27"/>
  <c r="N15" i="27"/>
  <c r="F16" i="27"/>
  <c r="K16" i="27"/>
  <c r="L18" i="27"/>
  <c r="H18" i="27"/>
  <c r="D18" i="27"/>
  <c r="K18" i="27"/>
  <c r="P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79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16" i="27"/>
  <c r="P20" i="27" s="1"/>
  <c r="O16" i="27"/>
  <c r="O11" i="27"/>
  <c r="O12" i="27"/>
  <c r="O8" i="27"/>
  <c r="O26" i="27"/>
  <c r="O13" i="27"/>
  <c r="O14" i="27"/>
  <c r="O15" i="27"/>
  <c r="O17" i="27"/>
  <c r="O18" i="27"/>
  <c r="O9" i="27"/>
  <c r="O7" i="27" l="1"/>
  <c r="G20" i="27"/>
  <c r="G24" i="27" s="1"/>
  <c r="K22" i="27"/>
  <c r="M24" i="27"/>
  <c r="F24" i="27"/>
  <c r="N24" i="27"/>
  <c r="H22" i="27"/>
  <c r="H24" i="27"/>
  <c r="O20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N6" i="10" l="1"/>
  <c r="L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N21" i="10" l="1"/>
  <c r="D22" i="12"/>
  <c r="F22" i="12"/>
  <c r="N16" i="10" l="1"/>
  <c r="D16" i="12"/>
  <c r="F16" i="12"/>
  <c r="N10" i="10" l="1"/>
  <c r="D9" i="12"/>
  <c r="D35" i="12" l="1"/>
  <c r="F35" i="12" s="1"/>
  <c r="N31" i="10"/>
  <c r="N35" i="10" l="1"/>
  <c r="G16" i="10" l="1"/>
  <c r="G10" i="10"/>
  <c r="G21" i="10" l="1"/>
  <c r="G31" i="10" l="1"/>
  <c r="G35" i="10" l="1"/>
  <c r="H31" i="10" l="1"/>
  <c r="J33" i="10"/>
  <c r="J29" i="10"/>
  <c r="J25" i="10"/>
  <c r="J19" i="10"/>
  <c r="J15" i="10"/>
  <c r="J13" i="10"/>
  <c r="J23" i="10"/>
  <c r="J27" i="10"/>
  <c r="J20" i="10"/>
  <c r="J14" i="10"/>
  <c r="H33" i="10"/>
  <c r="H20" i="10"/>
  <c r="H15" i="10"/>
  <c r="H14" i="10"/>
  <c r="H13" i="10"/>
  <c r="H27" i="10"/>
  <c r="H16" i="10"/>
  <c r="H29" i="10"/>
  <c r="H19" i="10"/>
  <c r="H10" i="10"/>
  <c r="H9" i="10"/>
  <c r="H25" i="10"/>
  <c r="H23" i="10"/>
  <c r="H21" i="10"/>
  <c r="H35" i="10" l="1"/>
  <c r="I194" i="34"/>
  <c r="E35" i="10"/>
  <c r="K25" i="10"/>
  <c r="Q25" i="10" s="1"/>
  <c r="K29" i="10"/>
  <c r="K27" i="10"/>
  <c r="K14" i="10"/>
  <c r="Q14" i="10" s="1"/>
  <c r="K20" i="10"/>
  <c r="Q20" i="10" s="1"/>
  <c r="K23" i="10"/>
  <c r="Q23" i="10" s="1"/>
  <c r="K9" i="10"/>
  <c r="K19" i="10"/>
  <c r="K13" i="10"/>
  <c r="K15" i="10"/>
  <c r="Q15" i="10" s="1"/>
  <c r="K33" i="10"/>
  <c r="J194" i="34" l="1"/>
  <c r="Q13" i="10"/>
  <c r="K16" i="10"/>
  <c r="Q16" i="10" s="1"/>
  <c r="K21" i="10"/>
  <c r="Q21" i="10" s="1"/>
  <c r="Q19" i="10"/>
  <c r="Q9" i="10"/>
  <c r="K10" i="10"/>
  <c r="P27" i="10"/>
  <c r="L27" i="10"/>
  <c r="Q29" i="10"/>
  <c r="L33" i="10"/>
  <c r="P15" i="10"/>
  <c r="R15" i="10" s="1"/>
  <c r="L15" i="10"/>
  <c r="L13" i="10"/>
  <c r="J16" i="10"/>
  <c r="P16" i="10" s="1"/>
  <c r="P13" i="10"/>
  <c r="L19" i="10"/>
  <c r="J21" i="10"/>
  <c r="P21" i="10" s="1"/>
  <c r="P19" i="10"/>
  <c r="L9" i="10"/>
  <c r="L10" i="10" s="1"/>
  <c r="J10" i="10"/>
  <c r="P9" i="10"/>
  <c r="P23" i="10"/>
  <c r="R23" i="10" s="1"/>
  <c r="L23" i="10"/>
  <c r="L20" i="10"/>
  <c r="P20" i="10"/>
  <c r="R20" i="10" s="1"/>
  <c r="L14" i="10"/>
  <c r="P14" i="10"/>
  <c r="R14" i="10" s="1"/>
  <c r="Q27" i="10"/>
  <c r="L29" i="10"/>
  <c r="P29" i="10"/>
  <c r="L25" i="10"/>
  <c r="P25" i="10"/>
  <c r="R25" i="10" s="1"/>
  <c r="K194" i="34" l="1"/>
  <c r="R29" i="10"/>
  <c r="T29" i="10" s="1"/>
  <c r="R19" i="10"/>
  <c r="T19" i="10" s="1"/>
  <c r="R16" i="10"/>
  <c r="T25" i="10"/>
  <c r="G27" i="12"/>
  <c r="T23" i="10"/>
  <c r="G24" i="12"/>
  <c r="L21" i="10"/>
  <c r="R27" i="10"/>
  <c r="T14" i="10"/>
  <c r="G13" i="12"/>
  <c r="G21" i="12"/>
  <c r="T20" i="10"/>
  <c r="R9" i="10"/>
  <c r="R21" i="10"/>
  <c r="R13" i="10"/>
  <c r="L16" i="10"/>
  <c r="G14" i="12"/>
  <c r="T15" i="10"/>
  <c r="Q10" i="10"/>
  <c r="K31" i="10"/>
  <c r="P10" i="10"/>
  <c r="J31" i="10"/>
  <c r="G33" i="12" l="1"/>
  <c r="H33" i="12" s="1"/>
  <c r="I33" i="12" s="1"/>
  <c r="T27" i="10"/>
  <c r="G31" i="12"/>
  <c r="H24" i="12"/>
  <c r="I24" i="12" s="1"/>
  <c r="H21" i="12"/>
  <c r="I21" i="12" s="1"/>
  <c r="H14" i="12"/>
  <c r="I14" i="12" s="1"/>
  <c r="R10" i="10"/>
  <c r="G19" i="12"/>
  <c r="L31" i="10"/>
  <c r="L35" i="10" s="1"/>
  <c r="T21" i="10"/>
  <c r="P31" i="10"/>
  <c r="J35" i="10"/>
  <c r="P35" i="10" s="1"/>
  <c r="Q31" i="10"/>
  <c r="K35" i="10"/>
  <c r="Q35" i="10" s="1"/>
  <c r="T9" i="10"/>
  <c r="T10" i="10" s="1"/>
  <c r="G8" i="12"/>
  <c r="H44" i="27" s="1"/>
  <c r="H47" i="27" s="1"/>
  <c r="H61" i="27" s="1"/>
  <c r="T13" i="10"/>
  <c r="T16" i="10" s="1"/>
  <c r="G12" i="12"/>
  <c r="H13" i="12"/>
  <c r="G15" i="12"/>
  <c r="G28" i="12"/>
  <c r="H27" i="12"/>
  <c r="H28" i="12" l="1"/>
  <c r="I28" i="12" s="1"/>
  <c r="H15" i="12"/>
  <c r="I15" i="12" s="1"/>
  <c r="H19" i="12"/>
  <c r="Q26" i="27"/>
  <c r="R26" i="27" s="1"/>
  <c r="Q16" i="27"/>
  <c r="R16" i="27" s="1"/>
  <c r="Q12" i="27"/>
  <c r="R12" i="27" s="1"/>
  <c r="Q8" i="27"/>
  <c r="R8" i="27" s="1"/>
  <c r="Q18" i="27"/>
  <c r="R18" i="27" s="1"/>
  <c r="Q10" i="27"/>
  <c r="R10" i="27" s="1"/>
  <c r="Q13" i="27"/>
  <c r="R13" i="27" s="1"/>
  <c r="Q15" i="27"/>
  <c r="R15" i="27" s="1"/>
  <c r="Q11" i="27"/>
  <c r="R11" i="27" s="1"/>
  <c r="Q7" i="27"/>
  <c r="Q14" i="27"/>
  <c r="R14" i="27" s="1"/>
  <c r="Q17" i="27"/>
  <c r="R17" i="27" s="1"/>
  <c r="Q9" i="27"/>
  <c r="R9" i="27" s="1"/>
  <c r="I13" i="12"/>
  <c r="G20" i="12"/>
  <c r="T31" i="10"/>
  <c r="T35" i="10" s="1"/>
  <c r="R31" i="10"/>
  <c r="I27" i="12"/>
  <c r="G29" i="12"/>
  <c r="I19" i="12"/>
  <c r="G16" i="12"/>
  <c r="H12" i="12"/>
  <c r="H8" i="12"/>
  <c r="G9" i="12"/>
  <c r="R35" i="10"/>
  <c r="H29" i="12" l="1"/>
  <c r="I29" i="12" s="1"/>
  <c r="H20" i="12"/>
  <c r="I20" i="12" s="1"/>
  <c r="Q20" i="27"/>
  <c r="R7" i="27"/>
  <c r="S10" i="27"/>
  <c r="T10" i="27"/>
  <c r="T16" i="27"/>
  <c r="S16" i="27"/>
  <c r="S9" i="27"/>
  <c r="T9" i="27"/>
  <c r="T11" i="27"/>
  <c r="S11" i="27"/>
  <c r="S18" i="27"/>
  <c r="T18" i="27"/>
  <c r="S26" i="27"/>
  <c r="T26" i="27"/>
  <c r="T17" i="27"/>
  <c r="S17" i="27"/>
  <c r="S15" i="27"/>
  <c r="T15" i="27"/>
  <c r="T8" i="27"/>
  <c r="S8" i="27"/>
  <c r="S14" i="27"/>
  <c r="T14" i="27"/>
  <c r="T13" i="27"/>
  <c r="S13" i="27"/>
  <c r="S12" i="27"/>
  <c r="T12" i="27"/>
  <c r="G22" i="12"/>
  <c r="I8" i="12"/>
  <c r="H9" i="12"/>
  <c r="I12" i="12"/>
  <c r="H16" i="12"/>
  <c r="I16" i="12" s="1"/>
  <c r="H22" i="12" l="1"/>
  <c r="I22" i="12" s="1"/>
  <c r="T7" i="27"/>
  <c r="S7" i="27"/>
  <c r="S20" i="27" s="1"/>
  <c r="R20" i="27"/>
  <c r="Q24" i="27"/>
  <c r="Q22" i="27"/>
  <c r="I9" i="12"/>
  <c r="S22" i="27" l="1"/>
  <c r="S24" i="27"/>
  <c r="R24" i="27"/>
  <c r="R22" i="27"/>
  <c r="T22" i="27" s="1"/>
  <c r="T20" i="27"/>
  <c r="G35" i="12" l="1"/>
  <c r="H31" i="12"/>
  <c r="I31" i="12" l="1"/>
  <c r="H35" i="12"/>
  <c r="I35" i="12" l="1"/>
  <c r="F185" i="34" l="1"/>
  <c r="J185" i="34" s="1"/>
  <c r="F189" i="34" l="1"/>
  <c r="J189" i="34" s="1"/>
  <c r="F191" i="34"/>
  <c r="J191" i="34" s="1"/>
  <c r="F188" i="34"/>
  <c r="J188" i="34" s="1"/>
  <c r="E185" i="34"/>
  <c r="F128" i="34" l="1"/>
  <c r="J128" i="34" s="1"/>
  <c r="F126" i="34"/>
  <c r="J126" i="34" s="1"/>
  <c r="F21" i="34"/>
  <c r="J21" i="34" s="1"/>
  <c r="F12" i="34"/>
  <c r="J12" i="34" s="1"/>
  <c r="F123" i="34"/>
  <c r="J123" i="34" s="1"/>
  <c r="F141" i="34"/>
  <c r="J141" i="34" s="1"/>
  <c r="F94" i="34"/>
  <c r="J94" i="34" s="1"/>
  <c r="F99" i="34"/>
  <c r="J99" i="34" s="1"/>
  <c r="F35" i="34"/>
  <c r="J35" i="34" s="1"/>
  <c r="F107" i="34"/>
  <c r="J107" i="34" s="1"/>
  <c r="F66" i="34"/>
  <c r="J66" i="34" s="1"/>
  <c r="F138" i="34"/>
  <c r="J138" i="34" s="1"/>
  <c r="F161" i="34"/>
  <c r="J161" i="34" s="1"/>
  <c r="F173" i="34"/>
  <c r="J173" i="34" s="1"/>
  <c r="F25" i="34"/>
  <c r="J25" i="34" s="1"/>
  <c r="F116" i="34"/>
  <c r="J116" i="34" s="1"/>
  <c r="F26" i="34"/>
  <c r="J26" i="34" s="1"/>
  <c r="F73" i="34"/>
  <c r="J73" i="34" s="1"/>
  <c r="F34" i="34"/>
  <c r="J34" i="34" s="1"/>
  <c r="F77" i="34"/>
  <c r="J77" i="34" s="1"/>
  <c r="F165" i="34"/>
  <c r="J165" i="34" s="1"/>
  <c r="F13" i="34"/>
  <c r="J13" i="34" s="1"/>
  <c r="F129" i="34"/>
  <c r="J129" i="34" s="1"/>
  <c r="F91" i="34"/>
  <c r="J91" i="34" s="1"/>
  <c r="F117" i="34"/>
  <c r="J117" i="34" s="1"/>
  <c r="F118" i="34"/>
  <c r="J118" i="34" s="1"/>
  <c r="F53" i="34"/>
  <c r="J53" i="34" s="1"/>
  <c r="F98" i="34"/>
  <c r="J98" i="34" s="1"/>
  <c r="F22" i="34"/>
  <c r="J22" i="34" s="1"/>
  <c r="F115" i="34"/>
  <c r="J115" i="34" s="1"/>
  <c r="F64" i="34"/>
  <c r="J64" i="34" s="1"/>
  <c r="F93" i="34"/>
  <c r="J93" i="34" s="1"/>
  <c r="F111" i="34"/>
  <c r="J111" i="34" s="1"/>
  <c r="F96" i="34"/>
  <c r="J96" i="34" s="1"/>
  <c r="F122" i="34"/>
  <c r="J122" i="34" s="1"/>
  <c r="F169" i="34"/>
  <c r="J169" i="34" s="1"/>
  <c r="F83" i="34"/>
  <c r="J83" i="34" s="1"/>
  <c r="F51" i="34"/>
  <c r="J51" i="34" s="1"/>
  <c r="F150" i="34"/>
  <c r="J150" i="34" s="1"/>
  <c r="F95" i="34"/>
  <c r="J95" i="34" s="1"/>
  <c r="F33" i="34"/>
  <c r="J33" i="34" s="1"/>
  <c r="F63" i="34"/>
  <c r="J63" i="34" s="1"/>
  <c r="F80" i="34"/>
  <c r="J80" i="34" s="1"/>
  <c r="I185" i="34"/>
  <c r="K185" i="34" s="1"/>
  <c r="G185" i="34"/>
  <c r="F89" i="34"/>
  <c r="J89" i="34" s="1"/>
  <c r="F180" i="34"/>
  <c r="J180" i="34" s="1"/>
  <c r="F60" i="34"/>
  <c r="J60" i="34" s="1"/>
  <c r="F137" i="34"/>
  <c r="J137" i="34" s="1"/>
  <c r="F58" i="34"/>
  <c r="J58" i="34" s="1"/>
  <c r="F81" i="34"/>
  <c r="J81" i="34" s="1"/>
  <c r="F15" i="34"/>
  <c r="J15" i="34" s="1"/>
  <c r="F174" i="34"/>
  <c r="J174" i="34" s="1"/>
  <c r="F50" i="34"/>
  <c r="J50" i="34" s="1"/>
  <c r="F146" i="34"/>
  <c r="J146" i="34" s="1"/>
  <c r="F79" i="34"/>
  <c r="J79" i="34" s="1"/>
  <c r="F160" i="34"/>
  <c r="J160" i="34" s="1"/>
  <c r="F47" i="34"/>
  <c r="J47" i="34" s="1"/>
  <c r="F105" i="34"/>
  <c r="J105" i="34" s="1"/>
  <c r="F43" i="34"/>
  <c r="J43" i="34" s="1"/>
  <c r="F39" i="34"/>
  <c r="J39" i="34" s="1"/>
  <c r="F10" i="34"/>
  <c r="J10" i="34" s="1"/>
  <c r="F45" i="34"/>
  <c r="J45" i="34" s="1"/>
  <c r="F112" i="34"/>
  <c r="J112" i="34" s="1"/>
  <c r="F36" i="34"/>
  <c r="J36" i="34" s="1"/>
  <c r="F18" i="34"/>
  <c r="J18" i="34" s="1"/>
  <c r="F41" i="34"/>
  <c r="J41" i="34" s="1"/>
  <c r="F17" i="34"/>
  <c r="J17" i="34" s="1"/>
  <c r="F154" i="34"/>
  <c r="J154" i="34" s="1"/>
  <c r="F159" i="34"/>
  <c r="J159" i="34" s="1"/>
  <c r="F24" i="34"/>
  <c r="J24" i="34" s="1"/>
  <c r="F57" i="34"/>
  <c r="J57" i="34" s="1"/>
  <c r="F61" i="34"/>
  <c r="J61" i="34" s="1"/>
  <c r="F143" i="34"/>
  <c r="J143" i="34" s="1"/>
  <c r="F27" i="34"/>
  <c r="J27" i="34" s="1"/>
  <c r="F178" i="34"/>
  <c r="J178" i="34" s="1"/>
  <c r="F104" i="34"/>
  <c r="J104" i="34" s="1"/>
  <c r="F78" i="34"/>
  <c r="J78" i="34" s="1"/>
  <c r="F32" i="34"/>
  <c r="J32" i="34" s="1"/>
  <c r="F177" i="34"/>
  <c r="J177" i="34" s="1"/>
  <c r="F139" i="34"/>
  <c r="J139" i="34" s="1"/>
  <c r="E191" i="34"/>
  <c r="F110" i="34"/>
  <c r="J110" i="34" s="1"/>
  <c r="F182" i="34"/>
  <c r="J182" i="34" s="1"/>
  <c r="F175" i="34"/>
  <c r="J175" i="34" s="1"/>
  <c r="F176" i="34"/>
  <c r="J176" i="34" s="1"/>
  <c r="F135" i="34"/>
  <c r="J135" i="34" s="1"/>
  <c r="F29" i="34"/>
  <c r="J29" i="34" s="1"/>
  <c r="F70" i="34"/>
  <c r="J70" i="34" s="1"/>
  <c r="F148" i="34"/>
  <c r="J148" i="34" s="1"/>
  <c r="F72" i="34"/>
  <c r="J72" i="34" s="1"/>
  <c r="F119" i="34"/>
  <c r="J119" i="34" s="1"/>
  <c r="F14" i="34"/>
  <c r="J14" i="34" s="1"/>
  <c r="F101" i="34"/>
  <c r="J101" i="34" s="1"/>
  <c r="F74" i="34"/>
  <c r="J74" i="34" s="1"/>
  <c r="F97" i="34"/>
  <c r="J97" i="34" s="1"/>
  <c r="F142" i="34"/>
  <c r="J142" i="34" s="1"/>
  <c r="F82" i="34"/>
  <c r="J82" i="34" s="1"/>
  <c r="F23" i="34"/>
  <c r="J23" i="34" s="1"/>
  <c r="F52" i="34"/>
  <c r="J52" i="34" s="1"/>
  <c r="F127" i="34"/>
  <c r="J127" i="34" s="1"/>
  <c r="F38" i="34"/>
  <c r="J38" i="34" s="1"/>
  <c r="F149" i="34"/>
  <c r="J149" i="34" s="1"/>
  <c r="F69" i="34"/>
  <c r="J69" i="34" s="1"/>
  <c r="F151" i="34"/>
  <c r="J151" i="34" s="1"/>
  <c r="F87" i="34"/>
  <c r="J87" i="34" s="1"/>
  <c r="F121" i="34"/>
  <c r="J121" i="34" s="1"/>
  <c r="F155" i="34"/>
  <c r="J155" i="34" s="1"/>
  <c r="F100" i="34"/>
  <c r="J100" i="34" s="1"/>
  <c r="F46" i="34"/>
  <c r="J46" i="34" s="1"/>
  <c r="F147" i="34"/>
  <c r="J147" i="34" s="1"/>
  <c r="F140" i="34"/>
  <c r="J140" i="34" s="1"/>
  <c r="F28" i="34"/>
  <c r="J28" i="34" s="1"/>
  <c r="F16" i="34"/>
  <c r="J16" i="34" s="1"/>
  <c r="F171" i="34"/>
  <c r="J171" i="34" s="1"/>
  <c r="F162" i="34"/>
  <c r="J162" i="34" s="1"/>
  <c r="F120" i="34"/>
  <c r="J120" i="34" s="1"/>
  <c r="F136" i="34"/>
  <c r="J136" i="34" s="1"/>
  <c r="F109" i="34"/>
  <c r="J109" i="34" s="1"/>
  <c r="F168" i="34"/>
  <c r="J168" i="34" s="1"/>
  <c r="F55" i="34"/>
  <c r="J55" i="34" s="1"/>
  <c r="F130" i="34"/>
  <c r="J130" i="34" s="1"/>
  <c r="F170" i="34"/>
  <c r="J170" i="34" s="1"/>
  <c r="F106" i="34"/>
  <c r="J106" i="34" s="1"/>
  <c r="F153" i="34"/>
  <c r="J153" i="34" s="1"/>
  <c r="F62" i="34"/>
  <c r="J62" i="34" s="1"/>
  <c r="F68" i="34"/>
  <c r="J68" i="34" s="1"/>
  <c r="F54" i="34"/>
  <c r="J54" i="34" s="1"/>
  <c r="F42" i="34"/>
  <c r="J42" i="34" s="1"/>
  <c r="F131" i="34"/>
  <c r="J131" i="34" s="1"/>
  <c r="F56" i="34"/>
  <c r="J56" i="34" s="1"/>
  <c r="F133" i="34"/>
  <c r="J133" i="34" s="1"/>
  <c r="F108" i="34"/>
  <c r="J108" i="34" s="1"/>
  <c r="F84" i="34"/>
  <c r="J84" i="34" s="1"/>
  <c r="F90" i="34"/>
  <c r="J90" i="34" s="1"/>
  <c r="F88" i="34"/>
  <c r="J88" i="34" s="1"/>
  <c r="F71" i="34"/>
  <c r="J71" i="34" s="1"/>
  <c r="F37" i="34"/>
  <c r="J37" i="34" s="1"/>
  <c r="F44" i="34"/>
  <c r="J44" i="34" s="1"/>
  <c r="F164" i="34"/>
  <c r="J164" i="34" s="1"/>
  <c r="F172" i="34"/>
  <c r="J172" i="34" s="1"/>
  <c r="F76" i="34"/>
  <c r="J76" i="34" s="1"/>
  <c r="F86" i="34"/>
  <c r="J86" i="34" s="1"/>
  <c r="F156" i="34"/>
  <c r="J156" i="34" s="1"/>
  <c r="F67" i="34"/>
  <c r="J67" i="34" s="1"/>
  <c r="F157" i="34"/>
  <c r="J157" i="34" s="1"/>
  <c r="F181" i="34"/>
  <c r="J181" i="34" s="1"/>
  <c r="F179" i="34"/>
  <c r="J179" i="34" s="1"/>
  <c r="E188" i="34"/>
  <c r="E189" i="34"/>
  <c r="E181" i="34" l="1"/>
  <c r="E86" i="34"/>
  <c r="E44" i="34"/>
  <c r="E90" i="34"/>
  <c r="E56" i="34"/>
  <c r="E68" i="34"/>
  <c r="E170" i="34"/>
  <c r="E109" i="34"/>
  <c r="E171" i="34"/>
  <c r="E147" i="34"/>
  <c r="E121" i="34"/>
  <c r="E149" i="34"/>
  <c r="E23" i="34"/>
  <c r="E74" i="34"/>
  <c r="E72" i="34"/>
  <c r="E135" i="34"/>
  <c r="E110" i="34"/>
  <c r="E32" i="34"/>
  <c r="E27" i="34"/>
  <c r="E24" i="34"/>
  <c r="E41" i="34"/>
  <c r="E45" i="34"/>
  <c r="E105" i="34"/>
  <c r="E146" i="34"/>
  <c r="E81" i="34"/>
  <c r="E95" i="34"/>
  <c r="E169" i="34"/>
  <c r="E93" i="34"/>
  <c r="E98" i="34"/>
  <c r="E91" i="34"/>
  <c r="E73" i="34"/>
  <c r="E173" i="34"/>
  <c r="E138" i="34"/>
  <c r="E99" i="34"/>
  <c r="E12" i="34"/>
  <c r="G191" i="34"/>
  <c r="I191" i="34"/>
  <c r="K191" i="34" s="1"/>
  <c r="J193" i="34"/>
  <c r="J195" i="34" s="1"/>
  <c r="G188" i="34"/>
  <c r="I188" i="34"/>
  <c r="K188" i="34" s="1"/>
  <c r="E67" i="34"/>
  <c r="E172" i="34"/>
  <c r="E71" i="34"/>
  <c r="E108" i="34"/>
  <c r="E42" i="34"/>
  <c r="E153" i="34"/>
  <c r="E55" i="34"/>
  <c r="E120" i="34"/>
  <c r="E28" i="34"/>
  <c r="E100" i="34"/>
  <c r="E151" i="34"/>
  <c r="E127" i="34"/>
  <c r="E142" i="34"/>
  <c r="E14" i="34"/>
  <c r="E70" i="34"/>
  <c r="E175" i="34"/>
  <c r="E139" i="34"/>
  <c r="E104" i="34"/>
  <c r="E61" i="34"/>
  <c r="E154" i="34"/>
  <c r="E36" i="34"/>
  <c r="E39" i="34"/>
  <c r="E160" i="34"/>
  <c r="E174" i="34"/>
  <c r="E137" i="34"/>
  <c r="E180" i="34"/>
  <c r="E63" i="34"/>
  <c r="E51" i="34"/>
  <c r="E96" i="34"/>
  <c r="E115" i="34"/>
  <c r="E118" i="34"/>
  <c r="E13" i="34"/>
  <c r="E77" i="34"/>
  <c r="E116" i="34"/>
  <c r="E107" i="34"/>
  <c r="E141" i="34"/>
  <c r="E126" i="34"/>
  <c r="I189" i="34"/>
  <c r="K189" i="34" s="1"/>
  <c r="G189" i="34"/>
  <c r="E179" i="34"/>
  <c r="E157" i="34"/>
  <c r="E156" i="34"/>
  <c r="E76" i="34"/>
  <c r="E164" i="34"/>
  <c r="E37" i="34"/>
  <c r="E88" i="34"/>
  <c r="E84" i="34"/>
  <c r="E133" i="34"/>
  <c r="E131" i="34"/>
  <c r="E54" i="34"/>
  <c r="E62" i="34"/>
  <c r="E106" i="34"/>
  <c r="E130" i="34"/>
  <c r="E168" i="34"/>
  <c r="E136" i="34"/>
  <c r="E162" i="34"/>
  <c r="E16" i="34"/>
  <c r="E140" i="34"/>
  <c r="E46" i="34"/>
  <c r="E155" i="34"/>
  <c r="E87" i="34"/>
  <c r="E69" i="34"/>
  <c r="E38" i="34"/>
  <c r="E52" i="34"/>
  <c r="E82" i="34"/>
  <c r="E97" i="34"/>
  <c r="E101" i="34"/>
  <c r="E119" i="34"/>
  <c r="E148" i="34"/>
  <c r="E29" i="34"/>
  <c r="E176" i="34"/>
  <c r="E182" i="34"/>
  <c r="E177" i="34"/>
  <c r="E78" i="34"/>
  <c r="E178" i="34"/>
  <c r="E143" i="34"/>
  <c r="E57" i="34"/>
  <c r="E159" i="34"/>
  <c r="E17" i="34"/>
  <c r="E18" i="34"/>
  <c r="E112" i="34"/>
  <c r="E10" i="34"/>
  <c r="E43" i="34"/>
  <c r="E47" i="34"/>
  <c r="E79" i="34"/>
  <c r="E50" i="34"/>
  <c r="E15" i="34"/>
  <c r="E58" i="34"/>
  <c r="E60" i="34"/>
  <c r="E89" i="34"/>
  <c r="E80" i="34"/>
  <c r="E33" i="34"/>
  <c r="E150" i="34"/>
  <c r="E83" i="34"/>
  <c r="E122" i="34"/>
  <c r="E111" i="34"/>
  <c r="E64" i="34"/>
  <c r="E22" i="34"/>
  <c r="E53" i="34"/>
  <c r="E117" i="34"/>
  <c r="E129" i="34"/>
  <c r="E165" i="34"/>
  <c r="E34" i="34"/>
  <c r="E26" i="34"/>
  <c r="E25" i="34"/>
  <c r="E161" i="34"/>
  <c r="E66" i="34"/>
  <c r="E35" i="34"/>
  <c r="E94" i="34"/>
  <c r="E123" i="34"/>
  <c r="E21" i="34"/>
  <c r="E128" i="34"/>
  <c r="I12" i="34" l="1"/>
  <c r="K12" i="34" s="1"/>
  <c r="G12" i="34"/>
  <c r="I73" i="34"/>
  <c r="K73" i="34" s="1"/>
  <c r="G73" i="34"/>
  <c r="G128" i="34"/>
  <c r="I128" i="34"/>
  <c r="K128" i="34" s="1"/>
  <c r="G35" i="34"/>
  <c r="I35" i="34"/>
  <c r="K35" i="34" s="1"/>
  <c r="I26" i="34"/>
  <c r="K26" i="34" s="1"/>
  <c r="G26" i="34"/>
  <c r="G117" i="34"/>
  <c r="I117" i="34"/>
  <c r="K117" i="34" s="1"/>
  <c r="I111" i="34"/>
  <c r="K111" i="34" s="1"/>
  <c r="G111" i="34"/>
  <c r="G33" i="34"/>
  <c r="I33" i="34"/>
  <c r="K33" i="34" s="1"/>
  <c r="I58" i="34"/>
  <c r="K58" i="34" s="1"/>
  <c r="G58" i="34"/>
  <c r="G47" i="34"/>
  <c r="I47" i="34"/>
  <c r="K47" i="34" s="1"/>
  <c r="G18" i="34"/>
  <c r="I18" i="34"/>
  <c r="K18" i="34" s="1"/>
  <c r="I143" i="34"/>
  <c r="K143" i="34" s="1"/>
  <c r="G143" i="34"/>
  <c r="I182" i="34"/>
  <c r="K182" i="34" s="1"/>
  <c r="G182" i="34"/>
  <c r="I155" i="34"/>
  <c r="K155" i="34" s="1"/>
  <c r="G155" i="34"/>
  <c r="I81" i="34"/>
  <c r="K81" i="34" s="1"/>
  <c r="G81" i="34"/>
  <c r="I41" i="34"/>
  <c r="K41" i="34" s="1"/>
  <c r="G41" i="34"/>
  <c r="I110" i="34"/>
  <c r="K110" i="34" s="1"/>
  <c r="G110" i="34"/>
  <c r="I23" i="34"/>
  <c r="K23" i="34" s="1"/>
  <c r="G23" i="34"/>
  <c r="I171" i="34"/>
  <c r="K171" i="34" s="1"/>
  <c r="G171" i="34"/>
  <c r="I56" i="34"/>
  <c r="K56" i="34" s="1"/>
  <c r="G56" i="34"/>
  <c r="G44" i="34"/>
  <c r="I44" i="34"/>
  <c r="K44" i="34" s="1"/>
  <c r="I21" i="34"/>
  <c r="K21" i="34" s="1"/>
  <c r="G21" i="34"/>
  <c r="G94" i="34"/>
  <c r="I94" i="34"/>
  <c r="K94" i="34" s="1"/>
  <c r="G66" i="34"/>
  <c r="I66" i="34"/>
  <c r="K66" i="34" s="1"/>
  <c r="G25" i="34"/>
  <c r="I25" i="34"/>
  <c r="K25" i="34" s="1"/>
  <c r="I34" i="34"/>
  <c r="K34" i="34" s="1"/>
  <c r="G34" i="34"/>
  <c r="G129" i="34"/>
  <c r="I129" i="34"/>
  <c r="K129" i="34" s="1"/>
  <c r="I53" i="34"/>
  <c r="K53" i="34" s="1"/>
  <c r="G53" i="34"/>
  <c r="I64" i="34"/>
  <c r="K64" i="34" s="1"/>
  <c r="G64" i="34"/>
  <c r="G122" i="34"/>
  <c r="I122" i="34"/>
  <c r="K122" i="34" s="1"/>
  <c r="I150" i="34"/>
  <c r="K150" i="34" s="1"/>
  <c r="G150" i="34"/>
  <c r="G80" i="34"/>
  <c r="I80" i="34"/>
  <c r="K80" i="34" s="1"/>
  <c r="I60" i="34"/>
  <c r="K60" i="34" s="1"/>
  <c r="G60" i="34"/>
  <c r="I15" i="34"/>
  <c r="K15" i="34" s="1"/>
  <c r="G15" i="34"/>
  <c r="I79" i="34"/>
  <c r="K79" i="34" s="1"/>
  <c r="G79" i="34"/>
  <c r="I43" i="34"/>
  <c r="K43" i="34" s="1"/>
  <c r="G43" i="34"/>
  <c r="I112" i="34"/>
  <c r="K112" i="34" s="1"/>
  <c r="G112" i="34"/>
  <c r="G17" i="34"/>
  <c r="I17" i="34"/>
  <c r="K17" i="34" s="1"/>
  <c r="I57" i="34"/>
  <c r="K57" i="34" s="1"/>
  <c r="G57" i="34"/>
  <c r="I178" i="34"/>
  <c r="K178" i="34" s="1"/>
  <c r="G178" i="34"/>
  <c r="G177" i="34"/>
  <c r="I177" i="34"/>
  <c r="K177" i="34" s="1"/>
  <c r="I176" i="34"/>
  <c r="K176" i="34" s="1"/>
  <c r="G176" i="34"/>
  <c r="G148" i="34"/>
  <c r="I148" i="34"/>
  <c r="K148" i="34" s="1"/>
  <c r="I101" i="34"/>
  <c r="K101" i="34" s="1"/>
  <c r="G101" i="34"/>
  <c r="I82" i="34"/>
  <c r="K82" i="34" s="1"/>
  <c r="G82" i="34"/>
  <c r="G38" i="34"/>
  <c r="I38" i="34"/>
  <c r="K38" i="34" s="1"/>
  <c r="I87" i="34"/>
  <c r="K87" i="34" s="1"/>
  <c r="G87" i="34"/>
  <c r="I46" i="34"/>
  <c r="K46" i="34" s="1"/>
  <c r="G46" i="34"/>
  <c r="I16" i="34"/>
  <c r="K16" i="34" s="1"/>
  <c r="G16" i="34"/>
  <c r="I136" i="34"/>
  <c r="K136" i="34" s="1"/>
  <c r="G136" i="34"/>
  <c r="I130" i="34"/>
  <c r="K130" i="34" s="1"/>
  <c r="G130" i="34"/>
  <c r="I62" i="34"/>
  <c r="K62" i="34" s="1"/>
  <c r="G62" i="34"/>
  <c r="G131" i="34"/>
  <c r="I131" i="34"/>
  <c r="K131" i="34" s="1"/>
  <c r="I84" i="34"/>
  <c r="K84" i="34" s="1"/>
  <c r="G84" i="34"/>
  <c r="G37" i="34"/>
  <c r="I37" i="34"/>
  <c r="K37" i="34" s="1"/>
  <c r="I76" i="34"/>
  <c r="K76" i="34" s="1"/>
  <c r="G76" i="34"/>
  <c r="I157" i="34"/>
  <c r="K157" i="34" s="1"/>
  <c r="G157" i="34"/>
  <c r="G141" i="34"/>
  <c r="I141" i="34"/>
  <c r="K141" i="34" s="1"/>
  <c r="G116" i="34"/>
  <c r="I116" i="34"/>
  <c r="K116" i="34" s="1"/>
  <c r="G13" i="34"/>
  <c r="I13" i="34"/>
  <c r="K13" i="34" s="1"/>
  <c r="I115" i="34"/>
  <c r="K115" i="34" s="1"/>
  <c r="G115" i="34"/>
  <c r="I51" i="34"/>
  <c r="K51" i="34" s="1"/>
  <c r="G51" i="34"/>
  <c r="I180" i="34"/>
  <c r="K180" i="34" s="1"/>
  <c r="G180" i="34"/>
  <c r="G174" i="34"/>
  <c r="I174" i="34"/>
  <c r="K174" i="34" s="1"/>
  <c r="G39" i="34"/>
  <c r="I39" i="34"/>
  <c r="K39" i="34" s="1"/>
  <c r="G154" i="34"/>
  <c r="I154" i="34"/>
  <c r="K154" i="34" s="1"/>
  <c r="I104" i="34"/>
  <c r="K104" i="34" s="1"/>
  <c r="G104" i="34"/>
  <c r="I175" i="34"/>
  <c r="K175" i="34" s="1"/>
  <c r="G175" i="34"/>
  <c r="I14" i="34"/>
  <c r="K14" i="34" s="1"/>
  <c r="G14" i="34"/>
  <c r="I127" i="34"/>
  <c r="K127" i="34" s="1"/>
  <c r="G127" i="34"/>
  <c r="I100" i="34"/>
  <c r="K100" i="34" s="1"/>
  <c r="G100" i="34"/>
  <c r="I120" i="34"/>
  <c r="K120" i="34" s="1"/>
  <c r="G120" i="34"/>
  <c r="G153" i="34"/>
  <c r="I153" i="34"/>
  <c r="K153" i="34" s="1"/>
  <c r="G108" i="34"/>
  <c r="I108" i="34"/>
  <c r="K108" i="34" s="1"/>
  <c r="G172" i="34"/>
  <c r="I172" i="34"/>
  <c r="K172" i="34" s="1"/>
  <c r="G146" i="34"/>
  <c r="I146" i="34"/>
  <c r="K146" i="34" s="1"/>
  <c r="I45" i="34"/>
  <c r="K45" i="34" s="1"/>
  <c r="G45" i="34"/>
  <c r="G24" i="34"/>
  <c r="I24" i="34"/>
  <c r="K24" i="34" s="1"/>
  <c r="I32" i="34"/>
  <c r="K32" i="34" s="1"/>
  <c r="G32" i="34"/>
  <c r="G135" i="34"/>
  <c r="I135" i="34"/>
  <c r="K135" i="34" s="1"/>
  <c r="I74" i="34"/>
  <c r="K74" i="34" s="1"/>
  <c r="G74" i="34"/>
  <c r="G149" i="34"/>
  <c r="I149" i="34"/>
  <c r="K149" i="34" s="1"/>
  <c r="G147" i="34"/>
  <c r="I147" i="34"/>
  <c r="K147" i="34" s="1"/>
  <c r="I109" i="34"/>
  <c r="K109" i="34" s="1"/>
  <c r="G109" i="34"/>
  <c r="I68" i="34"/>
  <c r="K68" i="34" s="1"/>
  <c r="G68" i="34"/>
  <c r="G90" i="34"/>
  <c r="I90" i="34"/>
  <c r="K90" i="34" s="1"/>
  <c r="I86" i="34"/>
  <c r="K86" i="34" s="1"/>
  <c r="G86" i="34"/>
  <c r="I138" i="34"/>
  <c r="K138" i="34" s="1"/>
  <c r="G138" i="34"/>
  <c r="I98" i="34"/>
  <c r="K98" i="34" s="1"/>
  <c r="G98" i="34"/>
  <c r="G169" i="34"/>
  <c r="I169" i="34"/>
  <c r="K169" i="34" s="1"/>
  <c r="I123" i="34"/>
  <c r="K123" i="34" s="1"/>
  <c r="G123" i="34"/>
  <c r="G161" i="34"/>
  <c r="I161" i="34"/>
  <c r="K161" i="34" s="1"/>
  <c r="I165" i="34"/>
  <c r="K165" i="34" s="1"/>
  <c r="G165" i="34"/>
  <c r="I22" i="34"/>
  <c r="K22" i="34" s="1"/>
  <c r="G22" i="34"/>
  <c r="G83" i="34"/>
  <c r="I83" i="34"/>
  <c r="K83" i="34" s="1"/>
  <c r="I89" i="34"/>
  <c r="K89" i="34" s="1"/>
  <c r="G89" i="34"/>
  <c r="I50" i="34"/>
  <c r="K50" i="34" s="1"/>
  <c r="G50" i="34"/>
  <c r="G10" i="34"/>
  <c r="I10" i="34"/>
  <c r="G159" i="34"/>
  <c r="I159" i="34"/>
  <c r="K159" i="34" s="1"/>
  <c r="I78" i="34"/>
  <c r="K78" i="34" s="1"/>
  <c r="G78" i="34"/>
  <c r="I29" i="34"/>
  <c r="K29" i="34" s="1"/>
  <c r="G29" i="34"/>
  <c r="G119" i="34"/>
  <c r="I119" i="34"/>
  <c r="K119" i="34" s="1"/>
  <c r="I97" i="34"/>
  <c r="K97" i="34" s="1"/>
  <c r="G97" i="34"/>
  <c r="G52" i="34"/>
  <c r="I52" i="34"/>
  <c r="K52" i="34" s="1"/>
  <c r="I69" i="34"/>
  <c r="K69" i="34" s="1"/>
  <c r="G69" i="34"/>
  <c r="I140" i="34"/>
  <c r="K140" i="34" s="1"/>
  <c r="G140" i="34"/>
  <c r="G162" i="34"/>
  <c r="I162" i="34"/>
  <c r="K162" i="34" s="1"/>
  <c r="G168" i="34"/>
  <c r="I168" i="34"/>
  <c r="K168" i="34" s="1"/>
  <c r="I106" i="34"/>
  <c r="K106" i="34" s="1"/>
  <c r="G106" i="34"/>
  <c r="G54" i="34"/>
  <c r="I54" i="34"/>
  <c r="K54" i="34" s="1"/>
  <c r="I133" i="34"/>
  <c r="K133" i="34" s="1"/>
  <c r="G133" i="34"/>
  <c r="I88" i="34"/>
  <c r="K88" i="34" s="1"/>
  <c r="G88" i="34"/>
  <c r="G164" i="34"/>
  <c r="I164" i="34"/>
  <c r="K164" i="34" s="1"/>
  <c r="G156" i="34"/>
  <c r="I156" i="34"/>
  <c r="K156" i="34" s="1"/>
  <c r="I179" i="34"/>
  <c r="K179" i="34" s="1"/>
  <c r="G179" i="34"/>
  <c r="I126" i="34"/>
  <c r="K126" i="34" s="1"/>
  <c r="G126" i="34"/>
  <c r="I107" i="34"/>
  <c r="K107" i="34" s="1"/>
  <c r="G107" i="34"/>
  <c r="G77" i="34"/>
  <c r="I77" i="34"/>
  <c r="K77" i="34" s="1"/>
  <c r="G118" i="34"/>
  <c r="I118" i="34"/>
  <c r="K118" i="34" s="1"/>
  <c r="I96" i="34"/>
  <c r="K96" i="34" s="1"/>
  <c r="G96" i="34"/>
  <c r="G63" i="34"/>
  <c r="I63" i="34"/>
  <c r="K63" i="34" s="1"/>
  <c r="I137" i="34"/>
  <c r="K137" i="34" s="1"/>
  <c r="G137" i="34"/>
  <c r="I160" i="34"/>
  <c r="K160" i="34" s="1"/>
  <c r="G160" i="34"/>
  <c r="I36" i="34"/>
  <c r="K36" i="34" s="1"/>
  <c r="G36" i="34"/>
  <c r="G61" i="34"/>
  <c r="I61" i="34"/>
  <c r="K61" i="34" s="1"/>
  <c r="I139" i="34"/>
  <c r="K139" i="34" s="1"/>
  <c r="G139" i="34"/>
  <c r="I70" i="34"/>
  <c r="K70" i="34" s="1"/>
  <c r="G70" i="34"/>
  <c r="G142" i="34"/>
  <c r="I142" i="34"/>
  <c r="K142" i="34" s="1"/>
  <c r="G151" i="34"/>
  <c r="I151" i="34"/>
  <c r="K151" i="34" s="1"/>
  <c r="G28" i="34"/>
  <c r="I28" i="34"/>
  <c r="K28" i="34" s="1"/>
  <c r="G55" i="34"/>
  <c r="I55" i="34"/>
  <c r="K55" i="34" s="1"/>
  <c r="I42" i="34"/>
  <c r="K42" i="34" s="1"/>
  <c r="G42" i="34"/>
  <c r="I71" i="34"/>
  <c r="K71" i="34" s="1"/>
  <c r="G71" i="34"/>
  <c r="G67" i="34"/>
  <c r="I67" i="34"/>
  <c r="K67" i="34" s="1"/>
  <c r="I105" i="34"/>
  <c r="K105" i="34" s="1"/>
  <c r="G105" i="34"/>
  <c r="G27" i="34"/>
  <c r="I27" i="34"/>
  <c r="K27" i="34" s="1"/>
  <c r="G72" i="34"/>
  <c r="I72" i="34"/>
  <c r="K72" i="34" s="1"/>
  <c r="I121" i="34"/>
  <c r="K121" i="34" s="1"/>
  <c r="G121" i="34"/>
  <c r="G170" i="34"/>
  <c r="I170" i="34"/>
  <c r="K170" i="34" s="1"/>
  <c r="I181" i="34"/>
  <c r="K181" i="34" s="1"/>
  <c r="G181" i="34"/>
  <c r="I99" i="34"/>
  <c r="K99" i="34" s="1"/>
  <c r="G99" i="34"/>
  <c r="G173" i="34"/>
  <c r="I173" i="34"/>
  <c r="K173" i="34" s="1"/>
  <c r="I91" i="34"/>
  <c r="K91" i="34" s="1"/>
  <c r="G91" i="34"/>
  <c r="I93" i="34"/>
  <c r="K93" i="34" s="1"/>
  <c r="G93" i="34"/>
  <c r="G95" i="34"/>
  <c r="I95" i="34"/>
  <c r="K95" i="34" s="1"/>
  <c r="K10" i="34" l="1"/>
  <c r="K193" i="34" s="1"/>
  <c r="K195" i="34" s="1"/>
  <c r="I193" i="34"/>
  <c r="I195" i="34" s="1"/>
</calcChain>
</file>

<file path=xl/sharedStrings.xml><?xml version="1.0" encoding="utf-8"?>
<sst xmlns="http://schemas.openxmlformats.org/spreadsheetml/2006/main" count="881" uniqueCount="398">
  <si>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</si>
  <si>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</si>
  <si>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</si>
  <si>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</si>
  <si>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</si>
  <si>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</si>
  <si>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</si>
  <si>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</si>
  <si>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</si>
  <si>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</si>
  <si>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</si>
  <si>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</si>
  <si>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</si>
  <si>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</si>
  <si>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</si>
  <si>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</si>
  <si>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</si>
  <si>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</si>
  <si>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</si>
  <si>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</si>
  <si>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</si>
  <si>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</si>
  <si>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</si>
  <si>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</si>
  <si>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</si>
  <si>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</si>
  <si>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</si>
  <si>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</si>
  <si>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</si>
  <si>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</si>
  <si>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</si>
  <si>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</si>
  <si>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</si>
  <si>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</si>
  <si>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</si>
  <si>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</si>
  <si>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</si>
  <si>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</si>
  <si>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</si>
  <si>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</si>
  <si>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</si>
  <si>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Schedule 141 - ERF Rider - Over 600 kWh</t>
  </si>
  <si>
    <t>Schedule 141 - ERF Rider - First 600 kWh</t>
  </si>
  <si>
    <t>per Month</t>
  </si>
  <si>
    <t>Schedule 141 - ERF Rider - 1 Phase Basic Charge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</si>
  <si>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</si>
  <si>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</si>
  <si>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</si>
  <si>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</si>
  <si>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</si>
  <si>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</si>
  <si>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</si>
  <si>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</si>
  <si>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</si>
  <si>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</si>
  <si>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</si>
  <si>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</si>
  <si>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</si>
  <si>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</si>
  <si>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</si>
  <si>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</si>
  <si>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</si>
  <si>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</si>
  <si>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</si>
  <si>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</si>
  <si>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</si>
  <si>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</si>
  <si>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</si>
  <si>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</si>
  <si>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</si>
  <si>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</si>
  <si>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</si>
  <si>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</si>
  <si>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</si>
  <si>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</si>
  <si>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</si>
  <si>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</si>
  <si>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</si>
  <si>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</si>
  <si>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</si>
  <si>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</si>
  <si>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</si>
  <si>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</si>
  <si>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</si>
  <si>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</si>
  <si>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</si>
  <si>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</si>
  <si>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</si>
  <si>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</si>
  <si>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</si>
  <si>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</si>
  <si>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</si>
  <si>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Annual kWh Delivered Sales (Normalized)</t>
  </si>
  <si>
    <t>8 &amp; 24</t>
  </si>
  <si>
    <t>12, 26 &amp; 26P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</si>
  <si>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</si>
  <si>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</si>
  <si>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</si>
  <si>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</si>
  <si>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</si>
  <si>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</si>
  <si>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</si>
  <si>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</si>
  <si>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</si>
  <si>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</si>
  <si>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(e)
= (d) * A</t>
  </si>
  <si>
    <t>(d)= 
(c) / ∑ (c)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</si>
  <si>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</si>
  <si>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</si>
  <si>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</si>
  <si>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</si>
  <si>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</si>
  <si>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</si>
  <si>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</si>
  <si>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</si>
  <si>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</si>
  <si>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</si>
  <si>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</si>
  <si>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</si>
  <si>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</si>
  <si>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= 10 - 9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</si>
  <si>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</si>
  <si>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</si>
  <si>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</si>
  <si>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</si>
  <si>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</si>
  <si>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</si>
  <si>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</si>
  <si>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</si>
  <si>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</si>
  <si>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</si>
  <si>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</si>
  <si>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</si>
  <si>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(l) = 
(k * h) - (g)</t>
  </si>
  <si>
    <t>Schedule 140 Rider Effective 5-1-16</t>
  </si>
  <si>
    <t>F2016 kWh 
May 2017
to April 2018</t>
  </si>
  <si>
    <t>Effective May 1, 2017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</si>
  <si>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</si>
  <si>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</si>
  <si>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</si>
  <si>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</si>
  <si>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</si>
  <si>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</si>
  <si>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</si>
  <si>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</si>
  <si>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</si>
  <si>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</si>
  <si>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</si>
  <si>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</si>
  <si>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</si>
  <si>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</si>
  <si>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</si>
  <si>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</si>
  <si>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</si>
  <si>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</si>
  <si>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</si>
  <si>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</si>
  <si>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</si>
  <si>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</si>
  <si>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</si>
  <si>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</si>
  <si>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140</t>
  </si>
  <si>
    <t>Add:  Schedule 140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</si>
  <si>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</si>
  <si>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</si>
  <si>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</si>
  <si>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</si>
  <si>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</si>
  <si>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</si>
  <si>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</si>
  <si>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</si>
  <si>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</si>
  <si>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</si>
  <si>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</si>
  <si>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</si>
  <si>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Note 1:  7A, 11 &amp; 25</t>
  </si>
  <si>
    <t>Revenue Requirement Increase / (Decrease)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</si>
  <si>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</si>
  <si>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</si>
  <si>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</si>
  <si>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</si>
  <si>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Impacts of Rate Change Effective May 1, 2018</t>
  </si>
  <si>
    <t>Effective May 1, 2018</t>
  </si>
  <si>
    <t>Present Rates Effective 
4-30-18</t>
  </si>
  <si>
    <t>Proposed Rates Effective 
5-1-18</t>
  </si>
  <si>
    <t>F2017 Residential Usage YE Apr 2019</t>
  </si>
  <si>
    <t>12 / 26</t>
  </si>
  <si>
    <t>May 1, 2018 Rate Impacts</t>
  </si>
  <si>
    <t>Test Year ended April 2019 (F2017 Schedule Level Update)</t>
  </si>
  <si>
    <t>Annual Estimated Revenue @ Rates Effective 4/30/2019 (Excluding Sch 140)</t>
  </si>
  <si>
    <t>(e)
= (b) * A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</si>
  <si>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</si>
  <si>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</si>
  <si>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</si>
  <si>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</si>
  <si>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</si>
  <si>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</si>
  <si>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</si>
  <si>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</si>
  <si>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Test Year Ending April 30, 2019</t>
  </si>
  <si>
    <t>Wattage (W)</t>
  </si>
  <si>
    <t>Inventory @ 12/31/2017</t>
  </si>
  <si>
    <t>Annual Revenue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</si>
  <si>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</si>
  <si>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</si>
  <si>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</si>
  <si>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</si>
  <si>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</si>
  <si>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</si>
  <si>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</si>
  <si>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</si>
  <si>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</si>
  <si>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</si>
  <si>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</si>
  <si>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</si>
  <si>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</si>
  <si>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</si>
  <si>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</si>
  <si>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</si>
  <si>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</si>
  <si>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</si>
  <si>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</si>
  <si>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</si>
  <si>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</si>
  <si>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</si>
  <si>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</si>
  <si>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</si>
  <si>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</si>
  <si>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</si>
  <si>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</si>
  <si>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</si>
  <si>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</si>
  <si>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</si>
  <si>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</si>
  <si>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</si>
  <si>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</si>
  <si>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</si>
  <si>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</si>
  <si>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</si>
  <si>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</si>
  <si>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</si>
  <si>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</si>
  <si>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</si>
  <si>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</si>
  <si>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</si>
  <si>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</si>
  <si>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</si>
  <si>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</si>
  <si>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</si>
  <si>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</si>
  <si>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2018 Property Tax Workpapers</t>
  </si>
  <si>
    <t>Proposed Current Charge Schedule 140 
Effective 5/1/2018</t>
  </si>
  <si>
    <t>Total Proposed Charge Schedule 140 
Effective 5/1/2018</t>
  </si>
  <si>
    <t>= (a) + (b)</t>
  </si>
  <si>
    <t>= (a) * (d) * 12</t>
  </si>
  <si>
    <t>= (b) * (d) * 12</t>
  </si>
  <si>
    <t>= (e) + (f)</t>
  </si>
  <si>
    <t>Proposed Deferral Charge Schedule 140 
Effective 5/1/2018</t>
  </si>
  <si>
    <t>Sch 140 Revenue (Current)</t>
  </si>
  <si>
    <t>Sch 140 Revenue (Deferral)</t>
  </si>
  <si>
    <t>Average Customer</t>
  </si>
  <si>
    <t>Adjusted Electric
Cost of Service 
PTDGP.T 
Allocation Factor
Docket No. 
UE-170033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</si>
  <si>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</si>
  <si>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</si>
  <si>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</si>
  <si>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</si>
  <si>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</si>
  <si>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</si>
  <si>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</si>
  <si>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</si>
  <si>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</si>
  <si>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</si>
  <si>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</si>
  <si>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</si>
  <si>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</si>
  <si>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</si>
  <si>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</si>
  <si>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</si>
  <si>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</si>
  <si>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</si>
  <si>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</si>
  <si>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</si>
  <si>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</si>
  <si>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</si>
  <si>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</si>
  <si>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</si>
  <si>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</si>
  <si>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</si>
  <si>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</si>
  <si>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</si>
  <si>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</si>
  <si>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</si>
  <si>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</si>
  <si>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</si>
  <si>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</si>
  <si>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</si>
  <si>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</si>
  <si>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</si>
  <si>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</si>
  <si>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</si>
  <si>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</si>
  <si>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</si>
  <si>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</si>
  <si>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</si>
  <si>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</si>
  <si>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</si>
  <si>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</si>
  <si>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</si>
  <si>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</si>
  <si>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</si>
  <si>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</si>
  <si>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</si>
  <si>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</si>
  <si>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</si>
  <si>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</si>
  <si>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</si>
  <si>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</si>
  <si>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</si>
  <si>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</si>
  <si>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</si>
  <si>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</si>
  <si>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</si>
  <si>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</si>
  <si>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</si>
  <si>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</si>
  <si>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</si>
  <si>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</si>
  <si>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</si>
  <si>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</si>
  <si>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</si>
  <si>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</si>
  <si>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</si>
  <si>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</si>
  <si>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</si>
  <si>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</si>
  <si>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</si>
  <si>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</si>
  <si>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</si>
  <si>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</si>
  <si>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</si>
  <si>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</si>
  <si>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</si>
  <si>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</si>
  <si>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</si>
  <si>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</si>
  <si>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</si>
  <si>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</si>
  <si>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</si>
  <si>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</si>
  <si>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</si>
  <si>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</si>
  <si>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</si>
  <si>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</si>
  <si>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</si>
  <si>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Revenue Requirement from 2017 Filing</t>
  </si>
  <si>
    <t>Cash Payment expected to be made 2018</t>
  </si>
  <si>
    <t>True-up for 2017 Load Variance</t>
  </si>
  <si>
    <t>&lt;==Check Load</t>
  </si>
  <si>
    <t>ELECTRIC ACCOUNT ALLOCATION</t>
  </si>
  <si>
    <t>Adjusted Test Year Twelve Months ended December 2010 @ Proforma Rev Requirement</t>
  </si>
  <si>
    <t>Bulk Transmission Plant (&gt;230 kV)</t>
  </si>
  <si>
    <t>Sub Transmission Plant (&lt;230 kV)</t>
  </si>
  <si>
    <t>Land &amp; Land Rights -  - HV Distribution</t>
  </si>
  <si>
    <t>Structures &amp; Improve -  - HV Distribution</t>
  </si>
  <si>
    <t>Station Equipment -  - HV Distribution</t>
  </si>
  <si>
    <t>Poles Towers &amp; Fixtures  - HV Distribution</t>
  </si>
  <si>
    <t>OVHD Cond &amp; Devices  - HV Distribution</t>
  </si>
  <si>
    <t>UG Conduit  - HV Distribution</t>
  </si>
  <si>
    <t>DEM_2A</t>
  </si>
  <si>
    <t>UG Conductor &amp; Devices - HV Distribution</t>
  </si>
  <si>
    <t>368.OH</t>
  </si>
  <si>
    <t>TFR</t>
  </si>
  <si>
    <t>368.UG</t>
  </si>
  <si>
    <t>369.OH</t>
  </si>
  <si>
    <t>369.UG</t>
  </si>
  <si>
    <t>Leased Prop Assigned - Water Htrs</t>
  </si>
  <si>
    <t>DIR372.00</t>
  </si>
  <si>
    <t>Remove HV Distribution Related General Plant from Retail Wheeling</t>
  </si>
  <si>
    <t>Factor used in Sch 140 Filing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</si>
  <si>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</si>
  <si>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</si>
  <si>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</si>
  <si>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</si>
  <si>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</si>
  <si>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</si>
  <si>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</si>
  <si>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</si>
  <si>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</si>
  <si>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</si>
  <si>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Adjusted Test Year Twelve Months ended September 2016 @ Proforma Rev Requirement</t>
  </si>
  <si>
    <t>Firm Resale</t>
  </si>
  <si>
    <t>Schedule 140 Rider Effective 5-1-18</t>
  </si>
  <si>
    <t>Property Tax Revenue Requirement - Final April, 2018</t>
  </si>
  <si>
    <t>Increase as a percent of prior year's revenue</t>
  </si>
  <si>
    <t>requirement Filing Required?</t>
  </si>
  <si>
    <t>Yes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</si>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</sst>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40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164" fontId="3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9" xfId="0" quotePrefix="1" applyNumberFormat="1" applyFont="1" applyFill="1" applyBorder="1" applyAlignment="1">
      <alignment horizontal="left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165" fontId="0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165" fontId="0" fillId="0" borderId="3" xfId="0" applyNumberFormat="1" applyFont="1" applyFill="1" applyBorder="1"/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6" fontId="2" fillId="3" borderId="8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1" xfId="0" quotePrefix="1" applyFont="1" applyFill="1" applyBorder="1" applyAlignment="1">
      <alignment horizontal="center" wrapText="1"/>
    </xf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/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/>
    <xf numFmtId="165" fontId="0" fillId="2" borderId="0" xfId="1" applyNumberFormat="1" applyFont="1" applyFill="1" applyAlignment="1"/>
    <xf numFmtId="165" fontId="4" fillId="2" borderId="2" xfId="1" applyNumberFormat="1" applyFont="1" applyFill="1" applyBorder="1" applyAlignment="1"/>
    <xf numFmtId="0" fontId="4" fillId="2" borderId="0" xfId="0" applyNumberFormat="1" applyFont="1" applyFill="1" applyBorder="1" applyAlignment="1"/>
    <xf numFmtId="2" fontId="4" fillId="2" borderId="0" xfId="0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/>
    <xf numFmtId="0" fontId="0" fillId="0" borderId="0" xfId="0" quotePrefix="1" applyFill="1" applyAlignment="1">
      <alignment horizontal="left"/>
    </xf>
    <xf numFmtId="0" fontId="17" fillId="0" borderId="0" xfId="0" applyFont="1" applyFill="1"/>
    <xf numFmtId="0" fontId="0" fillId="0" borderId="0" xfId="0" applyFill="1" applyAlignment="1"/>
    <xf numFmtId="0" fontId="1" fillId="0" borderId="0" xfId="0" applyFont="1" applyFill="1"/>
    <xf numFmtId="10" fontId="0" fillId="0" borderId="0" xfId="2" applyNumberFormat="1" applyFont="1" applyFill="1" applyAlignment="1">
      <alignment horizontal="center"/>
    </xf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  <xf numFmtId="0" fontId="4" fillId="2" borderId="0" xfId="0" applyNumberFormat="1" applyFont="1" applyFill="1" applyAlignment="1"/>
    <xf numFmtId="0" fontId="16" fillId="2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3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 indent="2"/>
    </xf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251105</xdr:colOff>
      <xdr:row>9</xdr:row>
      <xdr:rowOff>15056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3565805" y="2529656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5-1-2017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180257-Advice-2018-15-PSE-WP-Rate-Design-Ltg-(4-13-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40 Combined Charges"/>
      <sheetName val="Sch 140 Capital Charge"/>
      <sheetName val="Sch 140 O&amp;M Charge"/>
      <sheetName val="Sch 140 Customer Charge"/>
      <sheetName val="Sch 140 Demand Charge"/>
      <sheetName val="Sch 140 Energy Charge"/>
      <sheetName val="WP 1 Sch 140 Cost Allocations"/>
      <sheetName val="PTDGP.T"/>
      <sheetName val="WP2 GRC Sch Level Costs"/>
    </sheetNames>
    <sheetDataSet>
      <sheetData sheetId="0">
        <row r="10">
          <cell r="L10">
            <v>59</v>
          </cell>
          <cell r="O10">
            <v>0.01</v>
          </cell>
          <cell r="P10">
            <v>0</v>
          </cell>
        </row>
        <row r="12">
          <cell r="L12">
            <v>3</v>
          </cell>
          <cell r="O12">
            <v>0.04</v>
          </cell>
          <cell r="P12">
            <v>0.02</v>
          </cell>
        </row>
        <row r="13">
          <cell r="L13">
            <v>19</v>
          </cell>
          <cell r="O13">
            <v>7.0000000000000007E-2</v>
          </cell>
          <cell r="P13">
            <v>0.04</v>
          </cell>
        </row>
        <row r="14">
          <cell r="L14">
            <v>20</v>
          </cell>
          <cell r="O14">
            <v>0.16</v>
          </cell>
          <cell r="P14">
            <v>0.1</v>
          </cell>
        </row>
        <row r="15">
          <cell r="O15">
            <v>0.04</v>
          </cell>
          <cell r="P15">
            <v>0.02</v>
          </cell>
        </row>
        <row r="16">
          <cell r="L16">
            <v>1</v>
          </cell>
          <cell r="O16">
            <v>7.0000000000000007E-2</v>
          </cell>
          <cell r="P16">
            <v>0.04</v>
          </cell>
        </row>
        <row r="17">
          <cell r="O17">
            <v>0.16</v>
          </cell>
          <cell r="P17">
            <v>0.1</v>
          </cell>
        </row>
        <row r="18">
          <cell r="O18">
            <v>0.28000000000000003</v>
          </cell>
          <cell r="P18">
            <v>0.17</v>
          </cell>
        </row>
        <row r="21">
          <cell r="L21">
            <v>1604</v>
          </cell>
          <cell r="O21">
            <v>0.02</v>
          </cell>
          <cell r="P21">
            <v>0.01</v>
          </cell>
        </row>
        <row r="22">
          <cell r="L22">
            <v>818</v>
          </cell>
          <cell r="O22">
            <v>0.03</v>
          </cell>
          <cell r="P22">
            <v>0.02</v>
          </cell>
        </row>
        <row r="23">
          <cell r="L23">
            <v>551</v>
          </cell>
          <cell r="O23">
            <v>0.04</v>
          </cell>
          <cell r="P23">
            <v>0.03</v>
          </cell>
        </row>
        <row r="24">
          <cell r="L24">
            <v>240</v>
          </cell>
          <cell r="O24">
            <v>0.06</v>
          </cell>
          <cell r="P24">
            <v>0.03</v>
          </cell>
        </row>
        <row r="25">
          <cell r="L25">
            <v>49</v>
          </cell>
          <cell r="O25">
            <v>7.0000000000000007E-2</v>
          </cell>
          <cell r="P25">
            <v>0.04</v>
          </cell>
        </row>
        <row r="26">
          <cell r="L26">
            <v>169</v>
          </cell>
          <cell r="O26">
            <v>0.08</v>
          </cell>
          <cell r="P26">
            <v>0.05</v>
          </cell>
        </row>
        <row r="27">
          <cell r="L27">
            <v>0</v>
          </cell>
          <cell r="O27">
            <v>0.09</v>
          </cell>
          <cell r="P27">
            <v>0.06</v>
          </cell>
        </row>
        <row r="28">
          <cell r="L28">
            <v>10</v>
          </cell>
          <cell r="O28">
            <v>0.1</v>
          </cell>
          <cell r="P28">
            <v>0.06</v>
          </cell>
        </row>
        <row r="29">
          <cell r="L29">
            <v>49</v>
          </cell>
          <cell r="O29">
            <v>0.11</v>
          </cell>
          <cell r="P29">
            <v>7.0000000000000007E-2</v>
          </cell>
        </row>
        <row r="32">
          <cell r="L32">
            <v>0</v>
          </cell>
          <cell r="O32">
            <v>0.02</v>
          </cell>
          <cell r="P32">
            <v>0.01</v>
          </cell>
        </row>
        <row r="33">
          <cell r="L33">
            <v>710</v>
          </cell>
          <cell r="O33">
            <v>0.03</v>
          </cell>
          <cell r="P33">
            <v>0.02</v>
          </cell>
        </row>
        <row r="34">
          <cell r="L34">
            <v>10440</v>
          </cell>
          <cell r="O34">
            <v>0.04</v>
          </cell>
          <cell r="P34">
            <v>0.02</v>
          </cell>
        </row>
        <row r="35">
          <cell r="L35">
            <v>4649</v>
          </cell>
          <cell r="O35">
            <v>0.06</v>
          </cell>
          <cell r="P35">
            <v>0.04</v>
          </cell>
        </row>
        <row r="36">
          <cell r="L36">
            <v>1013</v>
          </cell>
          <cell r="O36">
            <v>0.08</v>
          </cell>
          <cell r="P36">
            <v>0.05</v>
          </cell>
        </row>
        <row r="37">
          <cell r="L37">
            <v>1491</v>
          </cell>
          <cell r="O37">
            <v>0.1</v>
          </cell>
          <cell r="P37">
            <v>0.06</v>
          </cell>
        </row>
        <row r="38">
          <cell r="L38">
            <v>149</v>
          </cell>
          <cell r="O38">
            <v>0.12</v>
          </cell>
          <cell r="P38">
            <v>0.08</v>
          </cell>
        </row>
        <row r="39">
          <cell r="L39">
            <v>607</v>
          </cell>
          <cell r="O39">
            <v>0.16</v>
          </cell>
          <cell r="P39">
            <v>0.1</v>
          </cell>
        </row>
        <row r="41">
          <cell r="L41">
            <v>68</v>
          </cell>
          <cell r="O41">
            <v>0.03</v>
          </cell>
          <cell r="P41">
            <v>0.02</v>
          </cell>
        </row>
        <row r="42">
          <cell r="L42">
            <v>4</v>
          </cell>
          <cell r="O42">
            <v>0.04</v>
          </cell>
          <cell r="P42">
            <v>0.02</v>
          </cell>
        </row>
        <row r="43">
          <cell r="L43">
            <v>205</v>
          </cell>
          <cell r="O43">
            <v>0.06</v>
          </cell>
          <cell r="P43">
            <v>0.04</v>
          </cell>
        </row>
        <row r="44">
          <cell r="L44">
            <v>222</v>
          </cell>
          <cell r="O44">
            <v>7.0000000000000007E-2</v>
          </cell>
          <cell r="P44">
            <v>0.04</v>
          </cell>
        </row>
        <row r="45">
          <cell r="L45">
            <v>61</v>
          </cell>
          <cell r="O45">
            <v>0.1</v>
          </cell>
          <cell r="P45">
            <v>0.06</v>
          </cell>
        </row>
        <row r="46">
          <cell r="L46">
            <v>57</v>
          </cell>
          <cell r="O46">
            <v>0.16</v>
          </cell>
          <cell r="P46">
            <v>0.1</v>
          </cell>
        </row>
        <row r="47">
          <cell r="L47">
            <v>18</v>
          </cell>
          <cell r="O47">
            <v>0.41</v>
          </cell>
          <cell r="P47">
            <v>0.24</v>
          </cell>
        </row>
        <row r="50">
          <cell r="L50">
            <v>0</v>
          </cell>
          <cell r="O50">
            <v>0.32</v>
          </cell>
          <cell r="P50">
            <v>0.19</v>
          </cell>
        </row>
        <row r="51">
          <cell r="L51">
            <v>4920</v>
          </cell>
          <cell r="O51">
            <v>0.34</v>
          </cell>
          <cell r="P51">
            <v>0.2</v>
          </cell>
        </row>
        <row r="52">
          <cell r="L52">
            <v>35437</v>
          </cell>
          <cell r="O52">
            <v>0.36</v>
          </cell>
          <cell r="P52">
            <v>0.22</v>
          </cell>
        </row>
        <row r="53">
          <cell r="L53">
            <v>4240</v>
          </cell>
          <cell r="O53">
            <v>0.4</v>
          </cell>
          <cell r="P53">
            <v>0.24</v>
          </cell>
        </row>
        <row r="54">
          <cell r="L54">
            <v>5668</v>
          </cell>
          <cell r="O54">
            <v>0.44</v>
          </cell>
          <cell r="P54">
            <v>0.26</v>
          </cell>
        </row>
        <row r="55">
          <cell r="L55">
            <v>1798</v>
          </cell>
          <cell r="O55">
            <v>0.47</v>
          </cell>
          <cell r="P55">
            <v>0.28999999999999998</v>
          </cell>
        </row>
        <row r="56">
          <cell r="L56">
            <v>18</v>
          </cell>
          <cell r="O56">
            <v>0.52</v>
          </cell>
          <cell r="P56">
            <v>0.31</v>
          </cell>
        </row>
        <row r="57">
          <cell r="L57">
            <v>1097</v>
          </cell>
          <cell r="O57">
            <v>0.59</v>
          </cell>
          <cell r="P57">
            <v>0.35</v>
          </cell>
        </row>
        <row r="58">
          <cell r="L58">
            <v>0</v>
          </cell>
          <cell r="O58">
            <v>1.04</v>
          </cell>
          <cell r="P58">
            <v>0.63</v>
          </cell>
        </row>
        <row r="60">
          <cell r="L60">
            <v>0</v>
          </cell>
          <cell r="O60">
            <v>0.36</v>
          </cell>
          <cell r="P60">
            <v>0.22</v>
          </cell>
        </row>
        <row r="61">
          <cell r="L61">
            <v>0</v>
          </cell>
          <cell r="O61">
            <v>0.39</v>
          </cell>
          <cell r="P61">
            <v>0.23</v>
          </cell>
        </row>
        <row r="62">
          <cell r="L62">
            <v>0</v>
          </cell>
          <cell r="O62">
            <v>0.43</v>
          </cell>
          <cell r="P62">
            <v>0.26</v>
          </cell>
        </row>
        <row r="63">
          <cell r="L63">
            <v>0</v>
          </cell>
          <cell r="O63">
            <v>0.52</v>
          </cell>
          <cell r="P63">
            <v>0.31</v>
          </cell>
        </row>
        <row r="64">
          <cell r="L64">
            <v>0</v>
          </cell>
          <cell r="O64">
            <v>0.65</v>
          </cell>
          <cell r="P64">
            <v>0.39</v>
          </cell>
        </row>
        <row r="66">
          <cell r="L66">
            <v>16838</v>
          </cell>
          <cell r="O66">
            <v>0.46</v>
          </cell>
          <cell r="P66">
            <v>0.28000000000000003</v>
          </cell>
        </row>
        <row r="67">
          <cell r="L67">
            <v>10</v>
          </cell>
          <cell r="O67">
            <v>0.48</v>
          </cell>
          <cell r="P67">
            <v>0.28999999999999998</v>
          </cell>
        </row>
        <row r="68">
          <cell r="L68">
            <v>1841</v>
          </cell>
          <cell r="O68">
            <v>0.51</v>
          </cell>
          <cell r="P68">
            <v>0.3</v>
          </cell>
        </row>
        <row r="69">
          <cell r="L69">
            <v>1674</v>
          </cell>
          <cell r="O69">
            <v>0.52</v>
          </cell>
          <cell r="P69">
            <v>0.32</v>
          </cell>
        </row>
        <row r="70">
          <cell r="L70">
            <v>71</v>
          </cell>
          <cell r="O70">
            <v>0.54</v>
          </cell>
          <cell r="P70">
            <v>0.33</v>
          </cell>
        </row>
        <row r="71">
          <cell r="L71">
            <v>360</v>
          </cell>
          <cell r="O71">
            <v>0.56000000000000005</v>
          </cell>
          <cell r="P71">
            <v>0.34</v>
          </cell>
        </row>
        <row r="72">
          <cell r="L72">
            <v>0</v>
          </cell>
          <cell r="O72">
            <v>0.57999999999999996</v>
          </cell>
          <cell r="P72">
            <v>0.35</v>
          </cell>
        </row>
        <row r="73">
          <cell r="L73">
            <v>24</v>
          </cell>
          <cell r="O73">
            <v>0.6</v>
          </cell>
          <cell r="P73">
            <v>0.36</v>
          </cell>
        </row>
        <row r="74">
          <cell r="L74">
            <v>97</v>
          </cell>
          <cell r="O74">
            <v>0.62</v>
          </cell>
          <cell r="P74">
            <v>0.37</v>
          </cell>
        </row>
        <row r="76">
          <cell r="L76">
            <v>0</v>
          </cell>
          <cell r="O76">
            <v>0.02</v>
          </cell>
          <cell r="P76">
            <v>0.01</v>
          </cell>
        </row>
        <row r="77">
          <cell r="L77">
            <v>57</v>
          </cell>
          <cell r="O77">
            <v>0.03</v>
          </cell>
          <cell r="P77">
            <v>0.02</v>
          </cell>
        </row>
        <row r="78">
          <cell r="L78">
            <v>284</v>
          </cell>
          <cell r="O78">
            <v>0.04</v>
          </cell>
          <cell r="P78">
            <v>0.02</v>
          </cell>
        </row>
        <row r="79">
          <cell r="L79">
            <v>156</v>
          </cell>
          <cell r="O79">
            <v>0.06</v>
          </cell>
          <cell r="P79">
            <v>0.04</v>
          </cell>
        </row>
        <row r="80">
          <cell r="L80">
            <v>438</v>
          </cell>
          <cell r="O80">
            <v>0.08</v>
          </cell>
          <cell r="P80">
            <v>0.05</v>
          </cell>
        </row>
        <row r="81">
          <cell r="L81">
            <v>353</v>
          </cell>
          <cell r="O81">
            <v>0.1</v>
          </cell>
          <cell r="P81">
            <v>0.06</v>
          </cell>
        </row>
        <row r="82">
          <cell r="L82">
            <v>7</v>
          </cell>
          <cell r="O82">
            <v>0.12</v>
          </cell>
          <cell r="P82">
            <v>0.08</v>
          </cell>
        </row>
        <row r="83">
          <cell r="L83">
            <v>537</v>
          </cell>
          <cell r="O83">
            <v>0.16</v>
          </cell>
          <cell r="P83">
            <v>0.1</v>
          </cell>
        </row>
        <row r="84">
          <cell r="L84">
            <v>0</v>
          </cell>
          <cell r="O84">
            <v>0.41</v>
          </cell>
          <cell r="P84">
            <v>0.24</v>
          </cell>
        </row>
        <row r="86">
          <cell r="L86">
            <v>0</v>
          </cell>
          <cell r="O86">
            <v>0.03</v>
          </cell>
          <cell r="P86">
            <v>0.02</v>
          </cell>
        </row>
        <row r="87">
          <cell r="L87">
            <v>0</v>
          </cell>
          <cell r="O87">
            <v>0.04</v>
          </cell>
          <cell r="P87">
            <v>0.02</v>
          </cell>
        </row>
        <row r="88">
          <cell r="L88">
            <v>0</v>
          </cell>
          <cell r="O88">
            <v>0.06</v>
          </cell>
          <cell r="P88">
            <v>0.04</v>
          </cell>
        </row>
        <row r="89">
          <cell r="L89">
            <v>4</v>
          </cell>
          <cell r="O89">
            <v>7.0000000000000007E-2</v>
          </cell>
          <cell r="P89">
            <v>0.04</v>
          </cell>
        </row>
        <row r="90">
          <cell r="L90">
            <v>0</v>
          </cell>
          <cell r="O90">
            <v>0.1</v>
          </cell>
          <cell r="P90">
            <v>0.06</v>
          </cell>
        </row>
        <row r="91">
          <cell r="L91">
            <v>0</v>
          </cell>
          <cell r="O91">
            <v>0.16</v>
          </cell>
          <cell r="P91">
            <v>0.1</v>
          </cell>
        </row>
        <row r="93">
          <cell r="L93">
            <v>630</v>
          </cell>
          <cell r="O93">
            <v>0.02</v>
          </cell>
          <cell r="P93">
            <v>0.01</v>
          </cell>
        </row>
        <row r="94">
          <cell r="L94">
            <v>612</v>
          </cell>
          <cell r="O94">
            <v>0.03</v>
          </cell>
          <cell r="P94">
            <v>0.02</v>
          </cell>
        </row>
        <row r="95">
          <cell r="L95">
            <v>863</v>
          </cell>
          <cell r="O95">
            <v>0.04</v>
          </cell>
          <cell r="P95">
            <v>0.03</v>
          </cell>
        </row>
        <row r="96">
          <cell r="L96">
            <v>64</v>
          </cell>
          <cell r="O96">
            <v>0.06</v>
          </cell>
          <cell r="P96">
            <v>0.03</v>
          </cell>
        </row>
        <row r="97">
          <cell r="L97">
            <v>1315</v>
          </cell>
          <cell r="O97">
            <v>7.0000000000000007E-2</v>
          </cell>
          <cell r="P97">
            <v>0.04</v>
          </cell>
        </row>
        <row r="98">
          <cell r="L98">
            <v>90</v>
          </cell>
          <cell r="O98">
            <v>0.08</v>
          </cell>
          <cell r="P98">
            <v>0.05</v>
          </cell>
        </row>
        <row r="99">
          <cell r="L99">
            <v>0</v>
          </cell>
          <cell r="O99">
            <v>0.09</v>
          </cell>
          <cell r="P99">
            <v>0.06</v>
          </cell>
        </row>
        <row r="100">
          <cell r="L100">
            <v>0</v>
          </cell>
          <cell r="O100">
            <v>0.1</v>
          </cell>
          <cell r="P100">
            <v>0.06</v>
          </cell>
        </row>
        <row r="101">
          <cell r="L101">
            <v>0</v>
          </cell>
          <cell r="O101">
            <v>0.11</v>
          </cell>
          <cell r="P101">
            <v>7.0000000000000007E-2</v>
          </cell>
        </row>
        <row r="104">
          <cell r="L104">
            <v>38</v>
          </cell>
          <cell r="O104">
            <v>0.02</v>
          </cell>
          <cell r="P104">
            <v>0.01</v>
          </cell>
        </row>
        <row r="105">
          <cell r="L105">
            <v>761</v>
          </cell>
          <cell r="O105">
            <v>0.03</v>
          </cell>
          <cell r="P105">
            <v>0.02</v>
          </cell>
        </row>
        <row r="106">
          <cell r="L106">
            <v>1718</v>
          </cell>
          <cell r="O106">
            <v>0.04</v>
          </cell>
          <cell r="P106">
            <v>0.02</v>
          </cell>
        </row>
        <row r="107">
          <cell r="L107">
            <v>516</v>
          </cell>
          <cell r="O107">
            <v>0.06</v>
          </cell>
          <cell r="P107">
            <v>0.04</v>
          </cell>
        </row>
        <row r="108">
          <cell r="L108">
            <v>680</v>
          </cell>
          <cell r="O108">
            <v>0.08</v>
          </cell>
          <cell r="P108">
            <v>0.05</v>
          </cell>
        </row>
        <row r="109">
          <cell r="L109">
            <v>1535</v>
          </cell>
          <cell r="O109">
            <v>0.1</v>
          </cell>
          <cell r="P109">
            <v>0.06</v>
          </cell>
        </row>
        <row r="110">
          <cell r="L110">
            <v>77</v>
          </cell>
          <cell r="O110">
            <v>0.12</v>
          </cell>
          <cell r="P110">
            <v>0.08</v>
          </cell>
        </row>
        <row r="111">
          <cell r="L111">
            <v>755</v>
          </cell>
          <cell r="O111">
            <v>0.16</v>
          </cell>
          <cell r="P111">
            <v>0.1</v>
          </cell>
        </row>
        <row r="112">
          <cell r="L112">
            <v>11</v>
          </cell>
          <cell r="O112">
            <v>0.41</v>
          </cell>
          <cell r="P112">
            <v>0.24</v>
          </cell>
        </row>
        <row r="115">
          <cell r="L115">
            <v>1451</v>
          </cell>
          <cell r="O115">
            <v>0.02</v>
          </cell>
          <cell r="P115">
            <v>0.01</v>
          </cell>
        </row>
        <row r="116">
          <cell r="L116">
            <v>0</v>
          </cell>
          <cell r="O116">
            <v>0.03</v>
          </cell>
          <cell r="P116">
            <v>0.02</v>
          </cell>
        </row>
        <row r="117">
          <cell r="L117">
            <v>1702</v>
          </cell>
          <cell r="O117">
            <v>0.04</v>
          </cell>
          <cell r="P117">
            <v>0.03</v>
          </cell>
        </row>
        <row r="118">
          <cell r="L118">
            <v>796</v>
          </cell>
          <cell r="O118">
            <v>0.06</v>
          </cell>
          <cell r="P118">
            <v>0.03</v>
          </cell>
        </row>
        <row r="119">
          <cell r="L119">
            <v>316</v>
          </cell>
          <cell r="O119">
            <v>7.0000000000000007E-2</v>
          </cell>
          <cell r="P119">
            <v>0.04</v>
          </cell>
        </row>
        <row r="120">
          <cell r="L120">
            <v>4</v>
          </cell>
          <cell r="O120">
            <v>0.08</v>
          </cell>
          <cell r="P120">
            <v>0.05</v>
          </cell>
        </row>
        <row r="121">
          <cell r="L121">
            <v>0</v>
          </cell>
          <cell r="O121">
            <v>0.09</v>
          </cell>
          <cell r="P121">
            <v>0.06</v>
          </cell>
        </row>
        <row r="122">
          <cell r="L122">
            <v>0</v>
          </cell>
          <cell r="O122">
            <v>0.1</v>
          </cell>
          <cell r="P122">
            <v>0.06</v>
          </cell>
        </row>
        <row r="123">
          <cell r="L123">
            <v>0</v>
          </cell>
          <cell r="O123">
            <v>0.11</v>
          </cell>
          <cell r="P123">
            <v>7.0000000000000007E-2</v>
          </cell>
        </row>
        <row r="126">
          <cell r="L126">
            <v>17</v>
          </cell>
          <cell r="O126">
            <v>0.34</v>
          </cell>
          <cell r="P126">
            <v>0.2</v>
          </cell>
        </row>
        <row r="127">
          <cell r="L127">
            <v>4030</v>
          </cell>
          <cell r="O127">
            <v>0.36</v>
          </cell>
          <cell r="P127">
            <v>0.22</v>
          </cell>
        </row>
        <row r="128">
          <cell r="L128">
            <v>532</v>
          </cell>
          <cell r="O128">
            <v>0.4</v>
          </cell>
          <cell r="P128">
            <v>0.24</v>
          </cell>
        </row>
        <row r="129">
          <cell r="L129">
            <v>1143</v>
          </cell>
          <cell r="O129">
            <v>0.44</v>
          </cell>
          <cell r="P129">
            <v>0.26</v>
          </cell>
        </row>
        <row r="130">
          <cell r="L130">
            <v>120</v>
          </cell>
          <cell r="O130">
            <v>0.47</v>
          </cell>
          <cell r="P130">
            <v>0.28999999999999998</v>
          </cell>
        </row>
        <row r="131">
          <cell r="L131">
            <v>50</v>
          </cell>
          <cell r="O131">
            <v>0.59</v>
          </cell>
          <cell r="P131">
            <v>0.35</v>
          </cell>
        </row>
        <row r="133">
          <cell r="L133">
            <v>6</v>
          </cell>
          <cell r="O133">
            <v>0.52</v>
          </cell>
          <cell r="P133">
            <v>0.31</v>
          </cell>
        </row>
        <row r="135">
          <cell r="L135">
            <v>310</v>
          </cell>
          <cell r="O135">
            <v>0.46</v>
          </cell>
          <cell r="P135">
            <v>0.28000000000000003</v>
          </cell>
        </row>
        <row r="136">
          <cell r="L136">
            <v>0</v>
          </cell>
          <cell r="O136">
            <v>0.48</v>
          </cell>
          <cell r="P136">
            <v>0.28999999999999998</v>
          </cell>
        </row>
        <row r="137">
          <cell r="L137">
            <v>91</v>
          </cell>
          <cell r="O137">
            <v>0.51</v>
          </cell>
          <cell r="P137">
            <v>0.3</v>
          </cell>
        </row>
        <row r="138">
          <cell r="L138">
            <v>0</v>
          </cell>
          <cell r="O138">
            <v>0.52</v>
          </cell>
          <cell r="P138">
            <v>0.32</v>
          </cell>
        </row>
        <row r="139">
          <cell r="L139">
            <v>0</v>
          </cell>
          <cell r="O139">
            <v>0.54</v>
          </cell>
          <cell r="P139">
            <v>0.33</v>
          </cell>
        </row>
        <row r="140">
          <cell r="L140">
            <v>0</v>
          </cell>
          <cell r="O140">
            <v>0.56000000000000005</v>
          </cell>
          <cell r="P140">
            <v>0.34</v>
          </cell>
        </row>
        <row r="141">
          <cell r="L141">
            <v>0</v>
          </cell>
          <cell r="O141">
            <v>0.57999999999999996</v>
          </cell>
          <cell r="P141">
            <v>0.35</v>
          </cell>
        </row>
        <row r="142">
          <cell r="L142">
            <v>0</v>
          </cell>
          <cell r="O142">
            <v>0.6</v>
          </cell>
          <cell r="P142">
            <v>0.36</v>
          </cell>
        </row>
        <row r="143">
          <cell r="L143">
            <v>0</v>
          </cell>
          <cell r="O143">
            <v>0.62</v>
          </cell>
          <cell r="P143">
            <v>0.38</v>
          </cell>
        </row>
        <row r="146">
          <cell r="L146">
            <v>48</v>
          </cell>
          <cell r="O146">
            <v>0.34</v>
          </cell>
          <cell r="P146">
            <v>0.2</v>
          </cell>
        </row>
        <row r="147">
          <cell r="L147">
            <v>6</v>
          </cell>
          <cell r="O147">
            <v>0.36</v>
          </cell>
          <cell r="P147">
            <v>0.22</v>
          </cell>
        </row>
        <row r="148">
          <cell r="L148">
            <v>158</v>
          </cell>
          <cell r="O148">
            <v>0.4</v>
          </cell>
          <cell r="P148">
            <v>0.24</v>
          </cell>
        </row>
        <row r="149">
          <cell r="L149">
            <v>298</v>
          </cell>
          <cell r="O149">
            <v>0.44</v>
          </cell>
          <cell r="P149">
            <v>0.26</v>
          </cell>
        </row>
        <row r="150">
          <cell r="L150">
            <v>40</v>
          </cell>
          <cell r="O150">
            <v>0.47</v>
          </cell>
          <cell r="P150">
            <v>0.28999999999999998</v>
          </cell>
        </row>
        <row r="151">
          <cell r="L151">
            <v>393</v>
          </cell>
          <cell r="O151">
            <v>0.59</v>
          </cell>
          <cell r="P151">
            <v>0.35</v>
          </cell>
        </row>
        <row r="153">
          <cell r="L153">
            <v>1</v>
          </cell>
          <cell r="O153">
            <v>0.36</v>
          </cell>
          <cell r="P153">
            <v>0.22</v>
          </cell>
        </row>
        <row r="154">
          <cell r="L154">
            <v>27</v>
          </cell>
          <cell r="O154">
            <v>0.4</v>
          </cell>
          <cell r="P154">
            <v>0.24</v>
          </cell>
        </row>
        <row r="155">
          <cell r="L155">
            <v>13</v>
          </cell>
          <cell r="O155">
            <v>0.44</v>
          </cell>
          <cell r="P155">
            <v>0.26</v>
          </cell>
        </row>
        <row r="156">
          <cell r="L156">
            <v>36</v>
          </cell>
          <cell r="O156">
            <v>0.47</v>
          </cell>
          <cell r="P156">
            <v>0.28999999999999998</v>
          </cell>
        </row>
        <row r="157">
          <cell r="L157">
            <v>48</v>
          </cell>
          <cell r="O157">
            <v>0.59</v>
          </cell>
          <cell r="P157">
            <v>0.35</v>
          </cell>
        </row>
        <row r="159">
          <cell r="L159">
            <v>3</v>
          </cell>
          <cell r="O159">
            <v>0.45</v>
          </cell>
          <cell r="P159">
            <v>0.27</v>
          </cell>
        </row>
        <row r="160">
          <cell r="L160">
            <v>21</v>
          </cell>
          <cell r="O160">
            <v>0.52</v>
          </cell>
          <cell r="P160">
            <v>0.31</v>
          </cell>
        </row>
        <row r="161">
          <cell r="L161">
            <v>87</v>
          </cell>
          <cell r="O161">
            <v>0.65</v>
          </cell>
          <cell r="P161">
            <v>0.39</v>
          </cell>
        </row>
        <row r="162">
          <cell r="L162">
            <v>141</v>
          </cell>
          <cell r="O162">
            <v>1.17</v>
          </cell>
          <cell r="P162">
            <v>0.7</v>
          </cell>
        </row>
        <row r="164">
          <cell r="L164">
            <v>11</v>
          </cell>
          <cell r="O164">
            <v>0.52</v>
          </cell>
          <cell r="P164">
            <v>0.31</v>
          </cell>
        </row>
        <row r="165">
          <cell r="L165">
            <v>40</v>
          </cell>
          <cell r="O165">
            <v>0.65</v>
          </cell>
          <cell r="P165">
            <v>0.39</v>
          </cell>
        </row>
        <row r="168">
          <cell r="L168">
            <v>1</v>
          </cell>
          <cell r="O168">
            <v>0.46</v>
          </cell>
          <cell r="P168">
            <v>0.28000000000000003</v>
          </cell>
        </row>
        <row r="169">
          <cell r="L169">
            <v>3</v>
          </cell>
          <cell r="O169">
            <v>0.48</v>
          </cell>
          <cell r="P169">
            <v>0.28999999999999998</v>
          </cell>
        </row>
        <row r="170">
          <cell r="L170">
            <v>23</v>
          </cell>
          <cell r="O170">
            <v>0.51</v>
          </cell>
          <cell r="P170">
            <v>0.3</v>
          </cell>
        </row>
        <row r="171">
          <cell r="L171">
            <v>42</v>
          </cell>
          <cell r="O171">
            <v>0.52</v>
          </cell>
          <cell r="P171">
            <v>0.32</v>
          </cell>
        </row>
        <row r="172">
          <cell r="L172">
            <v>4</v>
          </cell>
          <cell r="O172">
            <v>0.54</v>
          </cell>
          <cell r="P172">
            <v>0.33</v>
          </cell>
        </row>
        <row r="173">
          <cell r="L173">
            <v>0</v>
          </cell>
          <cell r="O173">
            <v>0.56000000000000005</v>
          </cell>
          <cell r="P173">
            <v>0.34</v>
          </cell>
        </row>
        <row r="174">
          <cell r="L174">
            <v>1</v>
          </cell>
          <cell r="O174">
            <v>0.57999999999999996</v>
          </cell>
          <cell r="P174">
            <v>0.35</v>
          </cell>
        </row>
        <row r="175">
          <cell r="L175">
            <v>7</v>
          </cell>
          <cell r="O175">
            <v>0.6</v>
          </cell>
          <cell r="P175">
            <v>0.36</v>
          </cell>
        </row>
        <row r="176">
          <cell r="L176">
            <v>0</v>
          </cell>
          <cell r="O176">
            <v>0.62</v>
          </cell>
          <cell r="P176">
            <v>0.38</v>
          </cell>
        </row>
        <row r="177">
          <cell r="L177">
            <v>0</v>
          </cell>
          <cell r="O177">
            <v>0.67</v>
          </cell>
          <cell r="P177">
            <v>0.4</v>
          </cell>
        </row>
        <row r="178">
          <cell r="L178">
            <v>0</v>
          </cell>
          <cell r="O178">
            <v>0.73</v>
          </cell>
          <cell r="P178">
            <v>0.44</v>
          </cell>
        </row>
        <row r="179">
          <cell r="L179">
            <v>0</v>
          </cell>
          <cell r="O179">
            <v>0.8</v>
          </cell>
          <cell r="P179">
            <v>0.48</v>
          </cell>
        </row>
        <row r="180">
          <cell r="L180">
            <v>0</v>
          </cell>
          <cell r="O180">
            <v>0.86</v>
          </cell>
          <cell r="P180">
            <v>0.52</v>
          </cell>
        </row>
        <row r="181">
          <cell r="L181">
            <v>0</v>
          </cell>
          <cell r="O181">
            <v>0.93</v>
          </cell>
          <cell r="P181">
            <v>0.56000000000000005</v>
          </cell>
        </row>
        <row r="182">
          <cell r="L182">
            <v>0</v>
          </cell>
          <cell r="O182">
            <v>0.99</v>
          </cell>
          <cell r="P182">
            <v>0.6</v>
          </cell>
        </row>
        <row r="185">
          <cell r="L185">
            <v>1157433</v>
          </cell>
          <cell r="O185">
            <v>6.8999999999999997E-4</v>
          </cell>
          <cell r="P185">
            <v>4.0999999999999999E-4</v>
          </cell>
        </row>
        <row r="188">
          <cell r="L188">
            <v>639</v>
          </cell>
          <cell r="O188">
            <v>0.41</v>
          </cell>
          <cell r="P188">
            <v>0.24</v>
          </cell>
        </row>
        <row r="189">
          <cell r="L189">
            <v>332</v>
          </cell>
          <cell r="O189">
            <v>0.82</v>
          </cell>
          <cell r="P189">
            <v>0.49</v>
          </cell>
        </row>
        <row r="191">
          <cell r="L191">
            <v>159</v>
          </cell>
          <cell r="O191">
            <v>0.82</v>
          </cell>
          <cell r="P191">
            <v>0.49</v>
          </cell>
        </row>
        <row r="194">
          <cell r="L194">
            <v>1279463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E5" sqref="E5"/>
    </sheetView>
  </sheetViews>
  <sheetFormatPr defaultColWidth="5.7109375" defaultRowHeight="12.75" x14ac:dyDescent="0.2"/>
  <cols>
    <col min="1" max="1" width="4.42578125" style="12" bestFit="1" customWidth="1"/>
    <col min="2" max="2" width="33.28515625" style="12" bestFit="1" customWidth="1"/>
    <col min="3" max="3" width="10.140625" style="12" bestFit="1" customWidth="1"/>
    <col min="4" max="4" width="14.7109375" style="12" bestFit="1" customWidth="1"/>
    <col min="5" max="5" width="13.7109375" style="12" bestFit="1" customWidth="1"/>
    <col min="6" max="7" width="11.140625" style="12" bestFit="1" customWidth="1"/>
    <col min="8" max="8" width="11.85546875" style="12" bestFit="1" customWidth="1"/>
    <col min="9" max="9" width="11.28515625" style="12" bestFit="1" customWidth="1"/>
    <col min="10" max="16384" width="5.7109375" style="12"/>
  </cols>
  <sheetData>
    <row r="1" spans="1:11" ht="12.75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11" x14ac:dyDescent="0.2">
      <c r="A2" s="225" t="s">
        <v>83</v>
      </c>
      <c r="B2" s="225"/>
      <c r="C2" s="225"/>
      <c r="D2" s="225"/>
      <c r="E2" s="225"/>
      <c r="F2" s="225"/>
      <c r="G2" s="225"/>
      <c r="H2" s="225"/>
      <c r="I2" s="225"/>
    </row>
    <row r="3" spans="1:11" x14ac:dyDescent="0.2">
      <c r="A3" s="226" t="s">
        <v>181</v>
      </c>
      <c r="B3" s="225"/>
      <c r="C3" s="225"/>
      <c r="D3" s="225"/>
      <c r="E3" s="225"/>
      <c r="F3" s="225"/>
      <c r="G3" s="225"/>
      <c r="H3" s="225"/>
      <c r="I3" s="225"/>
    </row>
    <row r="4" spans="1:11" x14ac:dyDescent="0.2">
      <c r="B4" s="32"/>
      <c r="C4" s="32"/>
      <c r="D4" s="32"/>
      <c r="E4" s="32"/>
    </row>
    <row r="5" spans="1:11" s="16" customFormat="1" ht="63.75" x14ac:dyDescent="0.2">
      <c r="A5" s="29" t="s">
        <v>1</v>
      </c>
      <c r="B5" s="29" t="s">
        <v>2</v>
      </c>
      <c r="C5" s="29" t="s">
        <v>3</v>
      </c>
      <c r="D5" s="28" t="s">
        <v>177</v>
      </c>
      <c r="E5" s="28" t="s">
        <v>178</v>
      </c>
      <c r="F5" s="28" t="s">
        <v>179</v>
      </c>
      <c r="G5" s="28" t="s">
        <v>180</v>
      </c>
      <c r="H5" s="28" t="s">
        <v>84</v>
      </c>
      <c r="I5" s="28" t="s">
        <v>85</v>
      </c>
    </row>
    <row r="6" spans="1:11" s="16" customFormat="1" ht="25.5" x14ac:dyDescent="0.2">
      <c r="A6" s="26"/>
      <c r="B6" s="3" t="s">
        <v>33</v>
      </c>
      <c r="C6" s="77" t="s">
        <v>32</v>
      </c>
      <c r="D6" s="77" t="s">
        <v>31</v>
      </c>
      <c r="E6" s="77" t="s">
        <v>35</v>
      </c>
      <c r="F6" s="2" t="s">
        <v>34</v>
      </c>
      <c r="G6" s="2" t="s">
        <v>30</v>
      </c>
      <c r="H6" s="77" t="s">
        <v>107</v>
      </c>
      <c r="I6" s="77" t="s">
        <v>108</v>
      </c>
    </row>
    <row r="7" spans="1:11" s="16" customFormat="1" x14ac:dyDescent="0.2">
      <c r="A7" s="16">
        <v>1</v>
      </c>
      <c r="B7" s="27" t="s">
        <v>8</v>
      </c>
      <c r="C7" s="26"/>
      <c r="D7" s="26"/>
      <c r="E7" s="25"/>
      <c r="H7" s="25"/>
      <c r="I7" s="25"/>
    </row>
    <row r="8" spans="1:11" x14ac:dyDescent="0.2">
      <c r="A8" s="16">
        <f t="shared" ref="A8:A35" si="0">+A7+1</f>
        <v>2</v>
      </c>
      <c r="B8" s="21" t="s">
        <v>8</v>
      </c>
      <c r="C8" s="35">
        <v>7</v>
      </c>
      <c r="D8" s="43">
        <f>SUM('Projected Revenue on F2017'!C8)</f>
        <v>10637302000</v>
      </c>
      <c r="E8" s="43">
        <f>SUM('Projected Revenue on F2017'!M8)</f>
        <v>1137477000</v>
      </c>
      <c r="F8" s="38">
        <f>+'2017 Prop Tax Rate Design'!O9</f>
        <v>3.6039999999999996E-3</v>
      </c>
      <c r="G8" s="38">
        <f>+'2018 Prop Tax Rate Design'!R9</f>
        <v>3.4720000000000003E-3</v>
      </c>
      <c r="H8" s="42">
        <f>SUM(G8,-F8)*D8</f>
        <v>-1404123.8639999926</v>
      </c>
      <c r="I8" s="51">
        <f>H8/SUM(E8,D8*F8)</f>
        <v>-1.1941719178007449E-3</v>
      </c>
      <c r="K8" s="13"/>
    </row>
    <row r="9" spans="1:11" x14ac:dyDescent="0.2">
      <c r="A9" s="16">
        <f t="shared" si="0"/>
        <v>3</v>
      </c>
      <c r="B9" s="19" t="s">
        <v>29</v>
      </c>
      <c r="D9" s="44">
        <f>SUM(D8:D8)</f>
        <v>10637302000</v>
      </c>
      <c r="E9" s="44">
        <f>SUM(E8:E8)</f>
        <v>1137477000</v>
      </c>
      <c r="F9" s="39">
        <f>+F8</f>
        <v>3.6039999999999996E-3</v>
      </c>
      <c r="G9" s="39">
        <f>+G8</f>
        <v>3.4720000000000003E-3</v>
      </c>
      <c r="H9" s="48">
        <f>SUM(H8:H8)</f>
        <v>-1404123.8639999926</v>
      </c>
      <c r="I9" s="52">
        <f>H9/SUM(E9,D9*F9)</f>
        <v>-1.1941719178007449E-3</v>
      </c>
      <c r="K9" s="13"/>
    </row>
    <row r="10" spans="1:11" x14ac:dyDescent="0.2">
      <c r="A10" s="16">
        <f t="shared" si="0"/>
        <v>4</v>
      </c>
      <c r="D10" s="45"/>
      <c r="E10" s="45"/>
      <c r="F10" s="40"/>
      <c r="G10" s="40"/>
      <c r="H10" s="49"/>
      <c r="I10" s="53"/>
      <c r="K10" s="13"/>
    </row>
    <row r="11" spans="1:11" x14ac:dyDescent="0.2">
      <c r="A11" s="16">
        <f t="shared" si="0"/>
        <v>5</v>
      </c>
      <c r="B11" s="12" t="s">
        <v>9</v>
      </c>
      <c r="D11" s="45"/>
      <c r="E11" s="45"/>
      <c r="F11" s="40"/>
      <c r="G11" s="40"/>
      <c r="H11" s="49"/>
      <c r="I11" s="53"/>
      <c r="K11" s="13"/>
    </row>
    <row r="12" spans="1:11" x14ac:dyDescent="0.2">
      <c r="A12" s="16">
        <f t="shared" si="0"/>
        <v>6</v>
      </c>
      <c r="B12" s="23" t="s">
        <v>10</v>
      </c>
      <c r="C12" s="62" t="s">
        <v>96</v>
      </c>
      <c r="D12" s="45">
        <f>SUM('Projected Revenue on F2017'!C12:C13)</f>
        <v>3012037000</v>
      </c>
      <c r="E12" s="45">
        <f>SUM('Projected Revenue on F2017'!M12:M13)</f>
        <v>313848000</v>
      </c>
      <c r="F12" s="38">
        <f>+'2017 Prop Tax Rate Design'!O13</f>
        <v>2.5469999999999998E-3</v>
      </c>
      <c r="G12" s="38">
        <f>+'2018 Prop Tax Rate Design'!R13</f>
        <v>2.6289999999999998E-3</v>
      </c>
      <c r="H12" s="49">
        <f t="shared" ref="H12:H15" si="1">SUM(G12,-F12)*D12</f>
        <v>246987.03400000013</v>
      </c>
      <c r="I12" s="53">
        <f t="shared" ref="I12:I16" si="2">H12/SUM(E12,D12*F12)</f>
        <v>7.6818641619855036E-4</v>
      </c>
      <c r="K12" s="13"/>
    </row>
    <row r="13" spans="1:11" x14ac:dyDescent="0.2">
      <c r="A13" s="16">
        <f t="shared" si="0"/>
        <v>7</v>
      </c>
      <c r="B13" s="23" t="s">
        <v>11</v>
      </c>
      <c r="C13" s="62" t="s">
        <v>97</v>
      </c>
      <c r="D13" s="45">
        <f>SUM('Projected Revenue on F2017'!C9,'Projected Revenue on F2017'!C14:C15)</f>
        <v>2993580000</v>
      </c>
      <c r="E13" s="45">
        <f>SUM('Projected Revenue on F2017'!M9,'Projected Revenue on F2017'!M14:M15)</f>
        <v>288969000</v>
      </c>
      <c r="F13" s="38">
        <f>+'2017 Prop Tax Rate Design'!O14</f>
        <v>2.3180000000000002E-3</v>
      </c>
      <c r="G13" s="38">
        <f>+'2018 Prop Tax Rate Design'!R14</f>
        <v>2.467E-3</v>
      </c>
      <c r="H13" s="49">
        <f t="shared" si="1"/>
        <v>446043.41999999946</v>
      </c>
      <c r="I13" s="53">
        <f t="shared" si="2"/>
        <v>1.5073713501052245E-3</v>
      </c>
      <c r="K13" s="13"/>
    </row>
    <row r="14" spans="1:11" x14ac:dyDescent="0.2">
      <c r="A14" s="16">
        <f t="shared" si="0"/>
        <v>8</v>
      </c>
      <c r="B14" s="23" t="s">
        <v>12</v>
      </c>
      <c r="C14" s="126" t="s">
        <v>186</v>
      </c>
      <c r="D14" s="45">
        <f>SUM('Projected Revenue on F2017'!C16:C17)</f>
        <v>1913788000</v>
      </c>
      <c r="E14" s="45">
        <f>SUM('Projected Revenue on F2017'!M16:M17)</f>
        <v>167599000</v>
      </c>
      <c r="F14" s="38">
        <f>+'2017 Prop Tax Rate Design'!O15</f>
        <v>2.2060000000000001E-3</v>
      </c>
      <c r="G14" s="38">
        <f>+'2018 Prop Tax Rate Design'!R15</f>
        <v>2.2649999999999997E-3</v>
      </c>
      <c r="H14" s="49">
        <f t="shared" si="1"/>
        <v>112913.49199999921</v>
      </c>
      <c r="I14" s="53">
        <f t="shared" si="2"/>
        <v>6.5715839566523335E-4</v>
      </c>
      <c r="K14" s="13"/>
    </row>
    <row r="15" spans="1:11" x14ac:dyDescent="0.2">
      <c r="A15" s="16">
        <f t="shared" si="0"/>
        <v>9</v>
      </c>
      <c r="B15" s="21" t="s">
        <v>28</v>
      </c>
      <c r="C15" s="35">
        <v>29</v>
      </c>
      <c r="D15" s="45">
        <f>SUM('Projected Revenue on F2017'!C18)</f>
        <v>16193000</v>
      </c>
      <c r="E15" s="45">
        <f>SUM('Projected Revenue on F2017'!M18)</f>
        <v>1272000</v>
      </c>
      <c r="F15" s="38">
        <f>+F13</f>
        <v>2.3180000000000002E-3</v>
      </c>
      <c r="G15" s="38">
        <f>+G13</f>
        <v>2.467E-3</v>
      </c>
      <c r="H15" s="49">
        <f t="shared" si="1"/>
        <v>2412.7569999999973</v>
      </c>
      <c r="I15" s="53">
        <f t="shared" si="2"/>
        <v>1.8424527110177914E-3</v>
      </c>
      <c r="K15" s="13"/>
    </row>
    <row r="16" spans="1:11" x14ac:dyDescent="0.2">
      <c r="A16" s="16">
        <f t="shared" si="0"/>
        <v>10</v>
      </c>
      <c r="B16" s="15" t="s">
        <v>13</v>
      </c>
      <c r="D16" s="44">
        <f>SUM(D12:D15)</f>
        <v>7935598000</v>
      </c>
      <c r="E16" s="44">
        <f>SUM(E12:E15)</f>
        <v>771688000</v>
      </c>
      <c r="F16" s="39">
        <f>SUMPRODUCT(D12:D15,F12:F15)/SUM(D12:D15)</f>
        <v>2.3779088080066557E-3</v>
      </c>
      <c r="G16" s="39">
        <f>SUMPRODUCT(D12:D15,G12:G15)/SUM(D12:D15)</f>
        <v>2.479773431567476E-3</v>
      </c>
      <c r="H16" s="48">
        <f>SUM(H12:H15)</f>
        <v>808356.70299999882</v>
      </c>
      <c r="I16" s="52">
        <f t="shared" si="2"/>
        <v>1.0225139353831562E-3</v>
      </c>
      <c r="K16" s="13"/>
    </row>
    <row r="17" spans="1:11" x14ac:dyDescent="0.2">
      <c r="A17" s="16">
        <f t="shared" si="0"/>
        <v>11</v>
      </c>
      <c r="D17" s="45"/>
      <c r="E17" s="45"/>
      <c r="F17" s="40"/>
      <c r="G17" s="40"/>
      <c r="H17" s="49"/>
      <c r="I17" s="53"/>
      <c r="K17" s="13"/>
    </row>
    <row r="18" spans="1:11" x14ac:dyDescent="0.2">
      <c r="A18" s="16">
        <f t="shared" si="0"/>
        <v>12</v>
      </c>
      <c r="B18" s="12" t="s">
        <v>14</v>
      </c>
      <c r="D18" s="45"/>
      <c r="E18" s="45"/>
      <c r="F18" s="40"/>
      <c r="G18" s="40"/>
      <c r="H18" s="49"/>
      <c r="I18" s="53"/>
      <c r="K18" s="13"/>
    </row>
    <row r="19" spans="1:11" x14ac:dyDescent="0.2">
      <c r="A19" s="16">
        <f t="shared" si="0"/>
        <v>13</v>
      </c>
      <c r="B19" s="23" t="s">
        <v>25</v>
      </c>
      <c r="C19" s="62" t="s">
        <v>98</v>
      </c>
      <c r="D19" s="45">
        <f>SUM('Projected Revenue on F2017'!C21:C22)</f>
        <v>1316672000</v>
      </c>
      <c r="E19" s="45">
        <f>SUM('Projected Revenue on F2017'!M21:M22)</f>
        <v>113411000</v>
      </c>
      <c r="F19" s="38">
        <f>+'2017 Prop Tax Rate Design'!O19</f>
        <v>2.1980000000000003E-3</v>
      </c>
      <c r="G19" s="40">
        <f>+'2018 Prop Tax Rate Design'!R19</f>
        <v>2.2539999999999999E-3</v>
      </c>
      <c r="H19" s="49">
        <f t="shared" ref="H19:H21" si="3">SUM(G19,-F19)*D19</f>
        <v>73733.631999999503</v>
      </c>
      <c r="I19" s="53">
        <f t="shared" ref="I19:I22" si="4">H19/SUM(E19,D19*F19)</f>
        <v>6.339676147711161E-4</v>
      </c>
      <c r="K19" s="13"/>
    </row>
    <row r="20" spans="1:11" x14ac:dyDescent="0.2">
      <c r="A20" s="16">
        <f t="shared" si="0"/>
        <v>14</v>
      </c>
      <c r="B20" s="21" t="s">
        <v>28</v>
      </c>
      <c r="C20" s="35">
        <v>35</v>
      </c>
      <c r="D20" s="45">
        <f>SUM('Projected Revenue on F2017'!C23)</f>
        <v>5161000</v>
      </c>
      <c r="E20" s="45">
        <f>SUM('Projected Revenue on F2017'!M23)</f>
        <v>285000</v>
      </c>
      <c r="F20" s="38">
        <f>+F19</f>
        <v>2.1980000000000003E-3</v>
      </c>
      <c r="G20" s="40">
        <f>+G19</f>
        <v>2.2539999999999999E-3</v>
      </c>
      <c r="H20" s="49">
        <f t="shared" si="3"/>
        <v>289.01599999999809</v>
      </c>
      <c r="I20" s="53">
        <f t="shared" si="4"/>
        <v>9.7527238271477991E-4</v>
      </c>
      <c r="K20" s="13"/>
    </row>
    <row r="21" spans="1:11" x14ac:dyDescent="0.2">
      <c r="A21" s="16">
        <f t="shared" si="0"/>
        <v>15</v>
      </c>
      <c r="B21" s="21" t="s">
        <v>15</v>
      </c>
      <c r="C21" s="35">
        <v>43</v>
      </c>
      <c r="D21" s="45">
        <f>SUM('Projected Revenue on F2017'!C24)</f>
        <v>123190000</v>
      </c>
      <c r="E21" s="45">
        <f>SUM('Projected Revenue on F2017'!M24)</f>
        <v>11739000</v>
      </c>
      <c r="F21" s="38">
        <f>+'2017 Prop Tax Rate Design'!O20</f>
        <v>3.7650000000000001E-3</v>
      </c>
      <c r="G21" s="40">
        <f>+'2018 Prop Tax Rate Design'!R20</f>
        <v>3.2960000000000003E-3</v>
      </c>
      <c r="H21" s="49">
        <f t="shared" si="3"/>
        <v>-57776.109999999979</v>
      </c>
      <c r="I21" s="53">
        <f t="shared" si="4"/>
        <v>-4.7346560622406114E-3</v>
      </c>
      <c r="K21" s="13"/>
    </row>
    <row r="22" spans="1:11" x14ac:dyDescent="0.2">
      <c r="A22" s="16">
        <f t="shared" si="0"/>
        <v>16</v>
      </c>
      <c r="B22" s="19" t="s">
        <v>16</v>
      </c>
      <c r="D22" s="44">
        <f>SUM(D19:D21)</f>
        <v>1445023000</v>
      </c>
      <c r="E22" s="44">
        <f>SUM(E19:E21)</f>
        <v>125435000</v>
      </c>
      <c r="F22" s="39">
        <f>SUMPRODUCT(D19:D21,F19:F21)/SUM(D19:D21)</f>
        <v>2.3315886902838226E-3</v>
      </c>
      <c r="G22" s="39">
        <f>SUMPRODUCT(D19:D21,G19:G21)/SUM(D19:D21)</f>
        <v>2.3428317902206403E-3</v>
      </c>
      <c r="H22" s="48">
        <f>SUM(H19:H21)</f>
        <v>16246.537999999528</v>
      </c>
      <c r="I22" s="52">
        <f t="shared" si="4"/>
        <v>1.261336050401399E-4</v>
      </c>
      <c r="K22" s="13"/>
    </row>
    <row r="23" spans="1:11" x14ac:dyDescent="0.2">
      <c r="A23" s="16">
        <f t="shared" si="0"/>
        <v>17</v>
      </c>
      <c r="D23" s="46"/>
      <c r="E23" s="46"/>
      <c r="F23" s="37"/>
      <c r="G23" s="37"/>
      <c r="H23" s="36"/>
      <c r="I23" s="54"/>
      <c r="K23" s="13"/>
    </row>
    <row r="24" spans="1:11" x14ac:dyDescent="0.2">
      <c r="A24" s="16">
        <f t="shared" si="0"/>
        <v>18</v>
      </c>
      <c r="B24" s="12" t="s">
        <v>17</v>
      </c>
      <c r="C24" s="35">
        <v>40</v>
      </c>
      <c r="D24" s="44">
        <f>SUM('Projected Revenue on F2017'!C27)</f>
        <v>679072000</v>
      </c>
      <c r="E24" s="44">
        <f>SUM('Projected Revenue on F2017'!M27)</f>
        <v>54431000</v>
      </c>
      <c r="F24" s="39">
        <f>+'2017 Prop Tax Rate Design'!O23</f>
        <v>2.3499999999999997E-3</v>
      </c>
      <c r="G24" s="39">
        <f>+'2018 Prop Tax Rate Design'!R23</f>
        <v>2.104E-3</v>
      </c>
      <c r="H24" s="48">
        <f>SUM(G24,-F24)*D24</f>
        <v>-167051.7119999998</v>
      </c>
      <c r="I24" s="52">
        <f>H24/SUM(E24,D24*F24)</f>
        <v>-2.9816383365200891E-3</v>
      </c>
      <c r="K24" s="13"/>
    </row>
    <row r="25" spans="1:11" x14ac:dyDescent="0.2">
      <c r="A25" s="16">
        <f t="shared" si="0"/>
        <v>19</v>
      </c>
      <c r="D25" s="46"/>
      <c r="E25" s="46"/>
      <c r="F25" s="37"/>
      <c r="G25" s="37"/>
      <c r="H25" s="36"/>
      <c r="I25" s="54"/>
      <c r="K25" s="13"/>
    </row>
    <row r="26" spans="1:11" x14ac:dyDescent="0.2">
      <c r="A26" s="16">
        <f t="shared" si="0"/>
        <v>20</v>
      </c>
      <c r="B26" s="12" t="s">
        <v>27</v>
      </c>
      <c r="D26" s="45"/>
      <c r="E26" s="45"/>
      <c r="F26" s="40"/>
      <c r="G26" s="40"/>
      <c r="H26" s="49"/>
      <c r="I26" s="53"/>
      <c r="K26" s="13"/>
    </row>
    <row r="27" spans="1:11" x14ac:dyDescent="0.2">
      <c r="A27" s="16">
        <f t="shared" si="0"/>
        <v>21</v>
      </c>
      <c r="B27" s="23" t="s">
        <v>26</v>
      </c>
      <c r="C27" s="35">
        <v>46</v>
      </c>
      <c r="D27" s="45">
        <f>SUM('Projected Revenue on F2017'!C29)</f>
        <v>72776000</v>
      </c>
      <c r="E27" s="45">
        <f>SUM('Projected Revenue on F2017'!M29)</f>
        <v>5262000</v>
      </c>
      <c r="F27" s="40">
        <f>+'2017 Prop Tax Rate Design'!O25</f>
        <v>1.4659999999999999E-3</v>
      </c>
      <c r="G27" s="40">
        <f>+'2018 Prop Tax Rate Design'!R25</f>
        <v>1.6520000000000003E-3</v>
      </c>
      <c r="H27" s="49">
        <f t="shared" ref="H27:H28" si="5">SUM(G27,-F27)*D27</f>
        <v>13536.336000000028</v>
      </c>
      <c r="I27" s="53">
        <f t="shared" ref="I27:I29" si="6">H27/SUM(E27,D27*F27)</f>
        <v>2.5213482186898003E-3</v>
      </c>
      <c r="K27" s="13"/>
    </row>
    <row r="28" spans="1:11" x14ac:dyDescent="0.2">
      <c r="A28" s="16">
        <f t="shared" si="0"/>
        <v>22</v>
      </c>
      <c r="B28" s="23" t="s">
        <v>25</v>
      </c>
      <c r="C28" s="35">
        <v>49</v>
      </c>
      <c r="D28" s="45">
        <f>SUM('Projected Revenue on F2017'!C30)</f>
        <v>584007000</v>
      </c>
      <c r="E28" s="45">
        <f>SUM('Projected Revenue on F2017'!M30)</f>
        <v>41754000</v>
      </c>
      <c r="F28" s="40">
        <f>+F27</f>
        <v>1.4659999999999999E-3</v>
      </c>
      <c r="G28" s="40">
        <f>+G27</f>
        <v>1.6520000000000003E-3</v>
      </c>
      <c r="H28" s="49">
        <f t="shared" si="5"/>
        <v>108625.30200000023</v>
      </c>
      <c r="I28" s="53">
        <f t="shared" si="6"/>
        <v>2.549282063896984E-3</v>
      </c>
      <c r="K28" s="13"/>
    </row>
    <row r="29" spans="1:11" x14ac:dyDescent="0.2">
      <c r="A29" s="16">
        <f t="shared" si="0"/>
        <v>23</v>
      </c>
      <c r="B29" s="15" t="s">
        <v>18</v>
      </c>
      <c r="D29" s="44">
        <f>SUM(D27:D28)</f>
        <v>656783000</v>
      </c>
      <c r="E29" s="44">
        <f>SUM(E27:E28)</f>
        <v>47016000</v>
      </c>
      <c r="F29" s="39">
        <f>SUMPRODUCT(D27:D28,F27:F28)/SUM(D27:D28)</f>
        <v>1.4659999999999999E-3</v>
      </c>
      <c r="G29" s="39">
        <f>SUMPRODUCT(D27:D28,G27:G28)/SUM(D27:D28)</f>
        <v>1.652E-3</v>
      </c>
      <c r="H29" s="48">
        <f>SUM(H27:H28)</f>
        <v>122161.63800000025</v>
      </c>
      <c r="I29" s="52">
        <f t="shared" si="6"/>
        <v>2.546156349882697E-3</v>
      </c>
      <c r="K29" s="13"/>
    </row>
    <row r="30" spans="1:11" x14ac:dyDescent="0.2">
      <c r="A30" s="16">
        <f t="shared" si="0"/>
        <v>24</v>
      </c>
      <c r="D30" s="46"/>
      <c r="E30" s="46"/>
      <c r="F30" s="37"/>
      <c r="G30" s="37"/>
      <c r="H30" s="36"/>
      <c r="I30" s="54"/>
      <c r="K30" s="13"/>
    </row>
    <row r="31" spans="1:11" x14ac:dyDescent="0.2">
      <c r="A31" s="16">
        <f t="shared" si="0"/>
        <v>25</v>
      </c>
      <c r="B31" s="12" t="s">
        <v>19</v>
      </c>
      <c r="C31" s="35" t="s">
        <v>20</v>
      </c>
      <c r="D31" s="44">
        <f>SUM('Projected Revenue on F2017'!C33)</f>
        <v>76506000</v>
      </c>
      <c r="E31" s="44">
        <f>SUM('Projected Revenue on F2017'!M33)</f>
        <v>19237000</v>
      </c>
      <c r="F31" s="39">
        <f>+'2017 Prop Tax Rate Design'!O27</f>
        <v>1.0231000000000001E-2</v>
      </c>
      <c r="G31" s="39">
        <f>+'2018 Prop Tax Rate Design'!R27</f>
        <v>9.2829999999999996E-3</v>
      </c>
      <c r="H31" s="48">
        <f>SUM(G31,-F31)*D31</f>
        <v>-72527.688000000067</v>
      </c>
      <c r="I31" s="52">
        <f>H31/SUM(E31,D31*F31)</f>
        <v>-3.6228099751880009E-3</v>
      </c>
      <c r="K31" s="13"/>
    </row>
    <row r="32" spans="1:11" x14ac:dyDescent="0.2">
      <c r="A32" s="16">
        <f t="shared" si="0"/>
        <v>26</v>
      </c>
      <c r="C32" s="35"/>
      <c r="D32" s="46"/>
      <c r="E32" s="46"/>
      <c r="F32" s="37"/>
      <c r="G32" s="37"/>
      <c r="H32" s="36"/>
      <c r="I32" s="54"/>
      <c r="K32" s="13"/>
    </row>
    <row r="33" spans="1:11" x14ac:dyDescent="0.2">
      <c r="A33" s="16">
        <f t="shared" si="0"/>
        <v>27</v>
      </c>
      <c r="B33" s="19" t="s">
        <v>24</v>
      </c>
      <c r="C33" s="61" t="s">
        <v>95</v>
      </c>
      <c r="D33" s="44">
        <f>SUM('Projected Revenue on F2017'!C35)</f>
        <v>2088697000</v>
      </c>
      <c r="E33" s="44">
        <f>SUM('Projected Revenue on F2017'!M35)</f>
        <v>10776000</v>
      </c>
      <c r="F33" s="39">
        <f>+'2017 Prop Tax Rate Design'!O29</f>
        <v>2.99E-4</v>
      </c>
      <c r="G33" s="39">
        <f>+'2018 Prop Tax Rate Design'!R29</f>
        <v>2.9999999999999997E-5</v>
      </c>
      <c r="H33" s="48">
        <f>SUM(G33,-F33)*D33</f>
        <v>-561859.49300000002</v>
      </c>
      <c r="I33" s="52">
        <f t="shared" ref="I33" si="7">H33/SUM(E33,D33*F33)</f>
        <v>-4.9283670669292338E-2</v>
      </c>
      <c r="K33" s="13"/>
    </row>
    <row r="34" spans="1:11" x14ac:dyDescent="0.2">
      <c r="A34" s="16">
        <f t="shared" si="0"/>
        <v>28</v>
      </c>
      <c r="D34" s="46"/>
      <c r="E34" s="46"/>
      <c r="F34" s="37"/>
      <c r="G34" s="37"/>
      <c r="H34" s="36"/>
      <c r="I34" s="54"/>
      <c r="K34" s="13"/>
    </row>
    <row r="35" spans="1:11" ht="13.5" thickBot="1" x14ac:dyDescent="0.25">
      <c r="A35" s="16">
        <f t="shared" si="0"/>
        <v>29</v>
      </c>
      <c r="B35" s="15" t="s">
        <v>21</v>
      </c>
      <c r="D35" s="47">
        <f>SUM(D9,D16,D22,D24,D29,D31,D33)</f>
        <v>23518981000</v>
      </c>
      <c r="E35" s="47">
        <f>SUM(E9,E16,E22,E24,E29,E31,E33)</f>
        <v>2166060000</v>
      </c>
      <c r="F35" s="41">
        <f>(+F9*D9+F16*D16+F22*D22+F24*D24+F29*D29+F31*D31+F33*D33)/D35</f>
        <v>2.7442549675090085E-3</v>
      </c>
      <c r="G35" s="41">
        <f>(+G9*D9+G16*D16+G22*D22+G24*D24+G29*D29+G31*D31+G33*D33)/D35</f>
        <v>2.6907323307076947E-3</v>
      </c>
      <c r="H35" s="50">
        <f>SUM(H9,H16,H22,H24,H29,H31,H33)</f>
        <v>-1258797.877999994</v>
      </c>
      <c r="I35" s="55">
        <f>H35/SUM(E35,D35*F35)</f>
        <v>-5.6433098894612718E-4</v>
      </c>
      <c r="K35" s="13"/>
    </row>
    <row r="36" spans="1:11" ht="13.5" thickTop="1" x14ac:dyDescent="0.2">
      <c r="A36" s="16"/>
      <c r="F36" s="37"/>
    </row>
    <row r="37" spans="1:11" x14ac:dyDescent="0.2">
      <c r="A37" s="16"/>
      <c r="B37" s="15"/>
    </row>
    <row r="38" spans="1:11" x14ac:dyDescent="0.2">
      <c r="A38" s="16"/>
    </row>
    <row r="39" spans="1:11" x14ac:dyDescent="0.2">
      <c r="A39" s="16"/>
      <c r="B39" s="15"/>
    </row>
    <row r="42" spans="1:11" x14ac:dyDescent="0.2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4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workbookViewId="0">
      <pane xSplit="3" ySplit="7" topLeftCell="F8" activePane="bottomRight" state="frozen"/>
      <selection activeCell="E8" sqref="E8"/>
      <selection pane="topRight" activeCell="E8" sqref="E8"/>
      <selection pane="bottomLeft" activeCell="E8" sqref="E8"/>
      <selection pane="bottomRight" activeCell="U1" sqref="U1:U1048576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0.85546875" style="12" customWidth="1"/>
    <col min="7" max="7" width="14.7109375" style="12" customWidth="1"/>
    <col min="8" max="8" width="9" style="12" customWidth="1"/>
    <col min="9" max="9" width="0.85546875" style="12" customWidth="1"/>
    <col min="10" max="10" width="14.7109375" style="12" bestFit="1" customWidth="1"/>
    <col min="11" max="11" width="14.7109375" style="12" customWidth="1"/>
    <col min="12" max="12" width="13.140625" style="12" customWidth="1"/>
    <col min="13" max="13" width="0.85546875" style="12" customWidth="1"/>
    <col min="14" max="14" width="14.7109375" style="12" customWidth="1"/>
    <col min="15" max="15" width="0.85546875" style="12" customWidth="1"/>
    <col min="16" max="16" width="12.5703125" style="12" customWidth="1"/>
    <col min="17" max="17" width="11.28515625" style="12" customWidth="1"/>
    <col min="18" max="18" width="12.7109375" style="12" customWidth="1"/>
    <col min="19" max="19" width="0.85546875" style="12" customWidth="1"/>
    <col min="20" max="20" width="9.42578125" style="12" customWidth="1"/>
    <col min="21" max="21" width="13.7109375" style="12" customWidth="1"/>
    <col min="22" max="23" width="9.140625" style="12"/>
    <col min="24" max="24" width="11.28515625" style="12" customWidth="1"/>
    <col min="25" max="16384" width="9.140625" style="12"/>
  </cols>
  <sheetData>
    <row r="1" spans="1:24" ht="12.75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24" x14ac:dyDescent="0.2">
      <c r="A2" s="225" t="s">
        <v>81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24" x14ac:dyDescent="0.2">
      <c r="A3" s="226" t="s">
        <v>182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</row>
    <row r="4" spans="1:24" x14ac:dyDescent="0.2">
      <c r="B4" s="32"/>
      <c r="C4" s="32"/>
      <c r="D4" s="32"/>
      <c r="G4" s="32"/>
    </row>
    <row r="5" spans="1:24" s="30" customFormat="1" x14ac:dyDescent="0.2">
      <c r="B5" s="31"/>
      <c r="C5" s="31"/>
    </row>
    <row r="6" spans="1:24" s="16" customFormat="1" ht="76.5" x14ac:dyDescent="0.2">
      <c r="A6" s="29" t="s">
        <v>1</v>
      </c>
      <c r="B6" s="29" t="s">
        <v>2</v>
      </c>
      <c r="C6" s="29" t="s">
        <v>3</v>
      </c>
      <c r="D6" s="28" t="s">
        <v>261</v>
      </c>
      <c r="E6" s="29" t="s">
        <v>5</v>
      </c>
      <c r="F6" s="29"/>
      <c r="G6" s="29" t="s">
        <v>4</v>
      </c>
      <c r="H6" s="29" t="s">
        <v>5</v>
      </c>
      <c r="I6" s="29"/>
      <c r="J6" s="29" t="s">
        <v>76</v>
      </c>
      <c r="K6" s="28" t="s">
        <v>127</v>
      </c>
      <c r="L6" s="29" t="s">
        <v>89</v>
      </c>
      <c r="M6" s="29"/>
      <c r="N6" s="29" t="str">
        <f>+'2018 Prop Tax Rate Impacts'!D5</f>
        <v>F2017 kWh 
May 2018
to April 2019</v>
      </c>
      <c r="O6" s="29"/>
      <c r="P6" s="29" t="s">
        <v>79</v>
      </c>
      <c r="Q6" s="29" t="s">
        <v>80</v>
      </c>
      <c r="R6" s="28" t="s">
        <v>391</v>
      </c>
      <c r="S6" s="29"/>
      <c r="T6" s="29" t="s">
        <v>90</v>
      </c>
    </row>
    <row r="7" spans="1:24" s="16" customFormat="1" ht="25.5" x14ac:dyDescent="0.2">
      <c r="A7" s="3"/>
      <c r="B7" s="3"/>
      <c r="C7" s="77"/>
      <c r="D7" s="77" t="s">
        <v>33</v>
      </c>
      <c r="E7" s="77" t="s">
        <v>191</v>
      </c>
      <c r="F7" s="78"/>
      <c r="G7" s="77" t="s">
        <v>31</v>
      </c>
      <c r="H7" s="77" t="s">
        <v>106</v>
      </c>
      <c r="I7" s="78"/>
      <c r="J7" s="4" t="s">
        <v>190</v>
      </c>
      <c r="K7" s="4" t="s">
        <v>128</v>
      </c>
      <c r="L7" s="77" t="s">
        <v>129</v>
      </c>
      <c r="M7" s="2"/>
      <c r="N7" s="77" t="s">
        <v>109</v>
      </c>
      <c r="O7" s="77"/>
      <c r="P7" s="4" t="s">
        <v>130</v>
      </c>
      <c r="Q7" s="4" t="s">
        <v>131</v>
      </c>
      <c r="R7" s="4" t="s">
        <v>132</v>
      </c>
      <c r="S7" s="2"/>
      <c r="T7" s="4" t="s">
        <v>133</v>
      </c>
    </row>
    <row r="8" spans="1:24" s="16" customFormat="1" x14ac:dyDescent="0.2">
      <c r="A8" s="16">
        <v>1</v>
      </c>
      <c r="B8" s="27" t="s">
        <v>8</v>
      </c>
      <c r="C8" s="26"/>
      <c r="D8" s="12"/>
      <c r="F8" s="12"/>
      <c r="G8" s="12"/>
      <c r="I8" s="12"/>
      <c r="N8" s="26"/>
      <c r="O8" s="26"/>
    </row>
    <row r="9" spans="1:24" ht="15" x14ac:dyDescent="0.25">
      <c r="A9" s="16">
        <f>+A8+1</f>
        <v>2</v>
      </c>
      <c r="B9" s="21" t="s">
        <v>8</v>
      </c>
      <c r="C9" s="20">
        <v>7</v>
      </c>
      <c r="D9" s="24">
        <f>+'UE-170033 Compliance ECOS '!F70</f>
        <v>5545457488.6787891</v>
      </c>
      <c r="E9" s="71">
        <f>+D9/$D$35</f>
        <v>0.58338223264030498</v>
      </c>
      <c r="G9" s="24">
        <f>+'UE-111048 Compliance ECOS '!F77</f>
        <v>4300371373.6731977</v>
      </c>
      <c r="H9" s="71">
        <f>+G9/$G$35</f>
        <v>0.58285685202695958</v>
      </c>
      <c r="J9" s="24">
        <f>+E9*$J$37</f>
        <v>23717380.838034675</v>
      </c>
      <c r="K9" s="24">
        <f>+H9*$K$37</f>
        <v>13215512.755121503</v>
      </c>
      <c r="L9" s="24">
        <f>SUM(J9:K9)</f>
        <v>36932893.593156174</v>
      </c>
      <c r="M9" s="24"/>
      <c r="N9" s="14">
        <f>+'Projected Revenue on F2017'!C8</f>
        <v>10637302000</v>
      </c>
      <c r="O9" s="14"/>
      <c r="P9" s="38">
        <f>ROUND(J9/$N9,6)</f>
        <v>2.2300000000000002E-3</v>
      </c>
      <c r="Q9" s="38">
        <f>ROUND((K9)/$N9,6)</f>
        <v>1.242E-3</v>
      </c>
      <c r="R9" s="38">
        <f>SUM(P9:Q9)</f>
        <v>3.4720000000000003E-3</v>
      </c>
      <c r="T9" s="24">
        <f>+R9*N9-L9</f>
        <v>-181.04915617406368</v>
      </c>
      <c r="U9" s="58"/>
      <c r="V9"/>
      <c r="W9"/>
      <c r="X9"/>
    </row>
    <row r="10" spans="1:24" ht="15" x14ac:dyDescent="0.25">
      <c r="A10" s="16">
        <f>+A9+1</f>
        <v>3</v>
      </c>
      <c r="B10" s="19" t="s">
        <v>29</v>
      </c>
      <c r="D10" s="6">
        <f>SUM(D9:D9)</f>
        <v>5545457488.6787891</v>
      </c>
      <c r="E10" s="72">
        <f>+D10/$D$35</f>
        <v>0.58338223264030498</v>
      </c>
      <c r="G10" s="6">
        <f>SUM(G9:G9)</f>
        <v>4300371373.6731977</v>
      </c>
      <c r="H10" s="72">
        <f>+G10/$G$35</f>
        <v>0.58285685202695958</v>
      </c>
      <c r="J10" s="6">
        <f>SUM(J9:J9)</f>
        <v>23717380.838034675</v>
      </c>
      <c r="K10" s="6">
        <f>SUM(K9:K9)</f>
        <v>13215512.755121503</v>
      </c>
      <c r="L10" s="6">
        <f>SUM(L9:L9)</f>
        <v>36932893.593156174</v>
      </c>
      <c r="M10" s="6"/>
      <c r="N10" s="5">
        <f>SUM(N9:N9)</f>
        <v>10637302000</v>
      </c>
      <c r="O10" s="8"/>
      <c r="P10" s="39">
        <f>ROUND(J10/$N10,6)</f>
        <v>2.2300000000000002E-3</v>
      </c>
      <c r="Q10" s="39">
        <f t="shared" ref="Q10" si="0">ROUND((K10)/$N10,6)</f>
        <v>1.242E-3</v>
      </c>
      <c r="R10" s="39">
        <f>SUM(P10:Q10)</f>
        <v>3.4720000000000003E-3</v>
      </c>
      <c r="T10" s="6">
        <f>SUM(T9:T9)</f>
        <v>-181.04915617406368</v>
      </c>
      <c r="V10"/>
      <c r="W10"/>
      <c r="X10"/>
    </row>
    <row r="11" spans="1:24" ht="15" x14ac:dyDescent="0.25">
      <c r="A11" s="16">
        <f>+A10+1</f>
        <v>4</v>
      </c>
      <c r="D11" s="7"/>
      <c r="E11" s="73"/>
      <c r="G11" s="7"/>
      <c r="H11" s="73"/>
      <c r="J11" s="7"/>
      <c r="K11" s="7"/>
      <c r="L11" s="7"/>
      <c r="M11" s="7"/>
      <c r="N11" s="8"/>
      <c r="O11" s="8"/>
      <c r="P11" s="40"/>
      <c r="Q11" s="40"/>
      <c r="R11" s="40"/>
      <c r="T11" s="7"/>
      <c r="V11"/>
      <c r="W11"/>
      <c r="X11"/>
    </row>
    <row r="12" spans="1:24" ht="15" x14ac:dyDescent="0.25">
      <c r="A12" s="16">
        <f>+A11+1</f>
        <v>5</v>
      </c>
      <c r="B12" s="12" t="s">
        <v>9</v>
      </c>
      <c r="D12" s="7"/>
      <c r="E12" s="73"/>
      <c r="G12" s="7"/>
      <c r="H12" s="73"/>
      <c r="J12" s="7"/>
      <c r="K12" s="7"/>
      <c r="L12" s="7"/>
      <c r="M12" s="7"/>
      <c r="N12" s="8"/>
      <c r="O12" s="8"/>
      <c r="P12" s="40"/>
      <c r="Q12" s="40"/>
      <c r="R12" s="40"/>
      <c r="T12" s="7"/>
      <c r="V12"/>
      <c r="W12"/>
      <c r="X12"/>
    </row>
    <row r="13" spans="1:24" ht="15" x14ac:dyDescent="0.25">
      <c r="A13" s="16">
        <f t="shared" ref="A13:A37" si="1">+A12+1</f>
        <v>6</v>
      </c>
      <c r="B13" s="23" t="s">
        <v>10</v>
      </c>
      <c r="C13" s="20" t="s">
        <v>93</v>
      </c>
      <c r="D13" s="24">
        <f>+'UE-170033 Compliance ECOS '!G70</f>
        <v>1207741046.4684942</v>
      </c>
      <c r="E13" s="71">
        <f t="shared" ref="E13:E15" si="2">+D13/$D$35</f>
        <v>0.12705438091961535</v>
      </c>
      <c r="G13" s="24">
        <f>+'UE-111048 Compliance ECOS '!G77</f>
        <v>896298928.39911652</v>
      </c>
      <c r="H13" s="71">
        <f t="shared" ref="H13:H16" si="3">+G13/$G$35</f>
        <v>0.12148112953222039</v>
      </c>
      <c r="J13" s="24">
        <f t="shared" ref="J13:J15" si="4">+E13*$J$37</f>
        <v>5165390.6663784338</v>
      </c>
      <c r="K13" s="24">
        <f>+H13*$K$37</f>
        <v>2754424.8836682937</v>
      </c>
      <c r="L13" s="24">
        <f>SUM(J13:K13)</f>
        <v>7919815.5500467271</v>
      </c>
      <c r="M13" s="24"/>
      <c r="N13" s="14">
        <f>SUM('Projected Revenue on F2017'!C12:C13)</f>
        <v>3012037000</v>
      </c>
      <c r="O13" s="14"/>
      <c r="P13" s="38">
        <f>ROUND(J13/$N13,6)</f>
        <v>1.7149999999999999E-3</v>
      </c>
      <c r="Q13" s="38">
        <f t="shared" ref="Q13:Q16" si="5">ROUND((K13)/$N13,6)</f>
        <v>9.1399999999999999E-4</v>
      </c>
      <c r="R13" s="38">
        <f t="shared" ref="R13:R15" si="6">SUM(P13:Q13)</f>
        <v>2.6289999999999998E-3</v>
      </c>
      <c r="T13" s="24">
        <f t="shared" ref="T13:T15" si="7">+R13*N13-L13</f>
        <v>-1170.2770467279479</v>
      </c>
      <c r="U13" s="58"/>
      <c r="V13"/>
      <c r="W13"/>
      <c r="X13"/>
    </row>
    <row r="14" spans="1:24" ht="15" x14ac:dyDescent="0.25">
      <c r="A14" s="16">
        <f t="shared" si="1"/>
        <v>7</v>
      </c>
      <c r="B14" s="23" t="s">
        <v>11</v>
      </c>
      <c r="C14" s="64" t="s">
        <v>103</v>
      </c>
      <c r="D14" s="24">
        <f>+'UE-170033 Compliance ECOS '!H70</f>
        <v>1116587567.8116324</v>
      </c>
      <c r="E14" s="71">
        <f t="shared" si="2"/>
        <v>0.11746503324174867</v>
      </c>
      <c r="G14" s="24">
        <f>+'UE-111048 Compliance ECOS '!H77</f>
        <v>862212385.4333781</v>
      </c>
      <c r="H14" s="71">
        <f t="shared" si="3"/>
        <v>0.11686116223099591</v>
      </c>
      <c r="J14" s="24">
        <f t="shared" si="4"/>
        <v>4775536.1282397723</v>
      </c>
      <c r="K14" s="24">
        <f>+H14*$K$37</f>
        <v>2649673.199639447</v>
      </c>
      <c r="L14" s="24">
        <f>SUM(J14:K14)</f>
        <v>7425209.3278792193</v>
      </c>
      <c r="M14" s="24"/>
      <c r="N14" s="14">
        <f>SUM('Projected Revenue on F2017'!C9,'Projected Revenue on F2017'!C14:C15,'Projected Revenue on F2017'!C18)</f>
        <v>3009773000</v>
      </c>
      <c r="O14" s="14"/>
      <c r="P14" s="38">
        <f>ROUND(J14/$N14,6)</f>
        <v>1.5870000000000001E-3</v>
      </c>
      <c r="Q14" s="38">
        <f t="shared" si="5"/>
        <v>8.8000000000000003E-4</v>
      </c>
      <c r="R14" s="38">
        <f t="shared" si="6"/>
        <v>2.467E-3</v>
      </c>
      <c r="T14" s="24">
        <f t="shared" si="7"/>
        <v>-99.336879218928516</v>
      </c>
      <c r="U14" s="58"/>
      <c r="V14"/>
      <c r="W14"/>
      <c r="X14"/>
    </row>
    <row r="15" spans="1:24" ht="15" x14ac:dyDescent="0.25">
      <c r="A15" s="16">
        <f t="shared" si="1"/>
        <v>8</v>
      </c>
      <c r="B15" s="23" t="s">
        <v>12</v>
      </c>
      <c r="C15" s="126" t="s">
        <v>192</v>
      </c>
      <c r="D15" s="7">
        <f>+'UE-170033 Compliance ECOS '!I70</f>
        <v>645442293.35483623</v>
      </c>
      <c r="E15" s="73">
        <f t="shared" si="2"/>
        <v>6.7900541462366168E-2</v>
      </c>
      <c r="G15" s="7">
        <f>+'UE-111048 Compliance ECOS '!I77</f>
        <v>512367189.60346317</v>
      </c>
      <c r="H15" s="73">
        <f t="shared" si="3"/>
        <v>6.9444404044363223E-2</v>
      </c>
      <c r="J15" s="7">
        <f t="shared" si="4"/>
        <v>2760493.7395558944</v>
      </c>
      <c r="K15" s="7">
        <f>+H15*$K$37</f>
        <v>1574560.5532962731</v>
      </c>
      <c r="L15" s="7">
        <f>SUM(J15:K15)</f>
        <v>4335054.292852167</v>
      </c>
      <c r="M15" s="7"/>
      <c r="N15" s="8">
        <f>SUM('Projected Revenue on F2017'!C16:C17)</f>
        <v>1913788000</v>
      </c>
      <c r="O15" s="8"/>
      <c r="P15" s="40">
        <f>ROUND(J15/$N15,6)</f>
        <v>1.4419999999999999E-3</v>
      </c>
      <c r="Q15" s="38">
        <f t="shared" si="5"/>
        <v>8.2299999999999995E-4</v>
      </c>
      <c r="R15" s="40">
        <f t="shared" si="6"/>
        <v>2.2649999999999997E-3</v>
      </c>
      <c r="T15" s="7">
        <f t="shared" si="7"/>
        <v>-324.47285216767341</v>
      </c>
      <c r="U15" s="58"/>
      <c r="V15"/>
      <c r="W15"/>
      <c r="X15"/>
    </row>
    <row r="16" spans="1:24" ht="15" x14ac:dyDescent="0.25">
      <c r="A16" s="16">
        <f t="shared" si="1"/>
        <v>9</v>
      </c>
      <c r="B16" s="15" t="s">
        <v>13</v>
      </c>
      <c r="D16" s="6">
        <f>SUM(D13:D15)</f>
        <v>2969770907.634963</v>
      </c>
      <c r="E16" s="72">
        <f>+D16/$D$35</f>
        <v>0.31241995562373021</v>
      </c>
      <c r="G16" s="6">
        <f>SUM(G13:G15)</f>
        <v>2270878503.4359579</v>
      </c>
      <c r="H16" s="72">
        <f t="shared" si="3"/>
        <v>0.30778669580757956</v>
      </c>
      <c r="J16" s="6">
        <f>SUM(J13:J15)</f>
        <v>12701420.5341741</v>
      </c>
      <c r="K16" s="6">
        <f>SUM(K13:K15)</f>
        <v>6978658.6366040148</v>
      </c>
      <c r="L16" s="6">
        <f>SUM(L13:L15)</f>
        <v>19680079.170778114</v>
      </c>
      <c r="M16" s="6"/>
      <c r="N16" s="5">
        <f>SUM(N13:N15)</f>
        <v>7935598000</v>
      </c>
      <c r="O16" s="8"/>
      <c r="P16" s="39">
        <f>ROUND(J16/$N16,6)</f>
        <v>1.601E-3</v>
      </c>
      <c r="Q16" s="39">
        <f t="shared" si="5"/>
        <v>8.7900000000000001E-4</v>
      </c>
      <c r="R16" s="39">
        <f>SUM(P16:Q16)</f>
        <v>2.48E-3</v>
      </c>
      <c r="T16" s="6">
        <f>SUM(T13:T15)</f>
        <v>-1594.0867781145498</v>
      </c>
      <c r="V16"/>
      <c r="W16"/>
      <c r="X16"/>
    </row>
    <row r="17" spans="1:24" ht="15" x14ac:dyDescent="0.25">
      <c r="A17" s="16">
        <f t="shared" si="1"/>
        <v>10</v>
      </c>
      <c r="D17" s="7"/>
      <c r="E17" s="73"/>
      <c r="G17" s="7"/>
      <c r="H17" s="73"/>
      <c r="J17" s="7"/>
      <c r="K17" s="7"/>
      <c r="L17" s="7"/>
      <c r="M17" s="7"/>
      <c r="N17" s="8"/>
      <c r="O17" s="8"/>
      <c r="P17" s="40"/>
      <c r="Q17" s="40"/>
      <c r="R17" s="40"/>
      <c r="T17" s="7"/>
      <c r="V17"/>
      <c r="W17"/>
      <c r="X17"/>
    </row>
    <row r="18" spans="1:24" ht="15" x14ac:dyDescent="0.25">
      <c r="A18" s="16">
        <f t="shared" si="1"/>
        <v>11</v>
      </c>
      <c r="B18" s="12" t="s">
        <v>14</v>
      </c>
      <c r="D18" s="7"/>
      <c r="E18" s="73"/>
      <c r="G18" s="7"/>
      <c r="H18" s="73"/>
      <c r="J18" s="7"/>
      <c r="K18" s="7"/>
      <c r="L18" s="7"/>
      <c r="M18" s="7"/>
      <c r="N18" s="8"/>
      <c r="O18" s="8"/>
      <c r="P18" s="40"/>
      <c r="Q18" s="40"/>
      <c r="R18" s="40"/>
      <c r="T18" s="7"/>
      <c r="V18"/>
      <c r="W18"/>
      <c r="X18"/>
    </row>
    <row r="19" spans="1:24" ht="15" x14ac:dyDescent="0.25">
      <c r="A19" s="16">
        <f t="shared" si="1"/>
        <v>12</v>
      </c>
      <c r="B19" s="23" t="s">
        <v>25</v>
      </c>
      <c r="C19" s="64" t="s">
        <v>104</v>
      </c>
      <c r="D19" s="24">
        <f>+'UE-170033 Compliance ECOS '!U70</f>
        <v>446875030.39957529</v>
      </c>
      <c r="E19" s="71">
        <f t="shared" ref="E19:E21" si="8">+D19/$D$35</f>
        <v>4.701126164575832E-2</v>
      </c>
      <c r="G19" s="24">
        <f>+'2017 Prop Tax Rate Design'!D19</f>
        <v>347606412</v>
      </c>
      <c r="H19" s="71">
        <f t="shared" ref="H19:H21" si="9">+G19/$G$35</f>
        <v>4.7113321487313731E-2</v>
      </c>
      <c r="J19" s="24">
        <f t="shared" ref="J19:J20" si="10">+E19*$J$37</f>
        <v>1911240.9218955538</v>
      </c>
      <c r="K19" s="24">
        <f>+H19*$K$37</f>
        <v>1068232.6181573919</v>
      </c>
      <c r="L19" s="24">
        <f>SUM(J19:K19)</f>
        <v>2979473.5400529457</v>
      </c>
      <c r="M19" s="24"/>
      <c r="N19" s="14">
        <f>SUM('Projected Revenue on F2017'!C21:C23)</f>
        <v>1321833000</v>
      </c>
      <c r="O19" s="14"/>
      <c r="P19" s="38">
        <f>ROUND(J19/$N19,6)</f>
        <v>1.446E-3</v>
      </c>
      <c r="Q19" s="38">
        <f t="shared" ref="Q19:Q31" si="11">ROUND((K19)/$N19,6)</f>
        <v>8.0800000000000002E-4</v>
      </c>
      <c r="R19" s="38">
        <f t="shared" ref="R19:R20" si="12">SUM(P19:Q19)</f>
        <v>2.2539999999999999E-3</v>
      </c>
      <c r="T19" s="24">
        <f t="shared" ref="T19:T20" si="13">+R19*N19-L19</f>
        <v>-61.95805294578895</v>
      </c>
      <c r="U19" s="58"/>
      <c r="V19"/>
      <c r="W19"/>
      <c r="X19"/>
    </row>
    <row r="20" spans="1:24" ht="15" x14ac:dyDescent="0.25">
      <c r="A20" s="16">
        <f t="shared" si="1"/>
        <v>13</v>
      </c>
      <c r="B20" s="21" t="s">
        <v>15</v>
      </c>
      <c r="C20" s="20">
        <v>43</v>
      </c>
      <c r="D20" s="24">
        <f>+'UE-170033 Compliance ECOS '!S70</f>
        <v>56760978.767045557</v>
      </c>
      <c r="E20" s="71">
        <f t="shared" si="8"/>
        <v>5.971256039302408E-3</v>
      </c>
      <c r="G20" s="24">
        <f>+'2017 Prop Tax Rate Design'!D20</f>
        <v>53124070</v>
      </c>
      <c r="H20" s="71">
        <f t="shared" si="9"/>
        <v>7.2002451687357217E-3</v>
      </c>
      <c r="J20" s="24">
        <f t="shared" si="10"/>
        <v>242761.17036438739</v>
      </c>
      <c r="K20" s="24">
        <f>+H20*$K$37</f>
        <v>163256.09201730305</v>
      </c>
      <c r="L20" s="24">
        <f>SUM(J20:K20)</f>
        <v>406017.26238169044</v>
      </c>
      <c r="M20" s="24"/>
      <c r="N20" s="14">
        <f>SUM('Projected Revenue on F2017'!C24)</f>
        <v>123190000</v>
      </c>
      <c r="O20" s="14"/>
      <c r="P20" s="38">
        <f>ROUND(J20/$N20,6)</f>
        <v>1.9710000000000001E-3</v>
      </c>
      <c r="Q20" s="38">
        <f t="shared" si="11"/>
        <v>1.325E-3</v>
      </c>
      <c r="R20" s="38">
        <f t="shared" si="12"/>
        <v>3.2960000000000003E-3</v>
      </c>
      <c r="T20" s="24">
        <f t="shared" si="13"/>
        <v>16.977618309610989</v>
      </c>
      <c r="U20" s="58"/>
      <c r="V20"/>
      <c r="W20"/>
      <c r="X20"/>
    </row>
    <row r="21" spans="1:24" ht="15" x14ac:dyDescent="0.25">
      <c r="A21" s="16">
        <f t="shared" si="1"/>
        <v>14</v>
      </c>
      <c r="B21" s="19" t="s">
        <v>16</v>
      </c>
      <c r="D21" s="6">
        <f>SUM(D19:D20)</f>
        <v>503636009.16662085</v>
      </c>
      <c r="E21" s="72">
        <f t="shared" si="8"/>
        <v>5.2982517685060723E-2</v>
      </c>
      <c r="G21" s="6">
        <f>SUM(G19:G20)</f>
        <v>400730482</v>
      </c>
      <c r="H21" s="72">
        <f t="shared" si="9"/>
        <v>5.4313566656049451E-2</v>
      </c>
      <c r="J21" s="6">
        <f>SUM(J19:J20)</f>
        <v>2154002.0922599412</v>
      </c>
      <c r="K21" s="6">
        <f>SUM(K19:K20)</f>
        <v>1231488.7101746949</v>
      </c>
      <c r="L21" s="6">
        <f>SUM(L19:L20)</f>
        <v>3385490.8024346363</v>
      </c>
      <c r="M21" s="6"/>
      <c r="N21" s="5">
        <f>SUM(N19:N20)</f>
        <v>1445023000</v>
      </c>
      <c r="O21" s="8"/>
      <c r="P21" s="39">
        <f>ROUND(J21/$N21,6)</f>
        <v>1.4909999999999999E-3</v>
      </c>
      <c r="Q21" s="39">
        <f t="shared" si="11"/>
        <v>8.52E-4</v>
      </c>
      <c r="R21" s="39">
        <f>SUM(P21:Q21)</f>
        <v>2.343E-3</v>
      </c>
      <c r="T21" s="6">
        <f>SUM(T19:T20)</f>
        <v>-44.980434636177961</v>
      </c>
      <c r="V21"/>
      <c r="W21"/>
      <c r="X21"/>
    </row>
    <row r="22" spans="1:24" ht="15" x14ac:dyDescent="0.25">
      <c r="A22" s="16">
        <f t="shared" si="1"/>
        <v>15</v>
      </c>
      <c r="D22" s="13"/>
      <c r="E22" s="74"/>
      <c r="G22" s="13"/>
      <c r="H22" s="74"/>
      <c r="J22" s="13"/>
      <c r="K22" s="13"/>
      <c r="L22" s="13"/>
      <c r="M22" s="13"/>
      <c r="N22" s="9"/>
      <c r="O22" s="33"/>
      <c r="P22" s="37"/>
      <c r="Q22" s="37"/>
      <c r="R22" s="37"/>
      <c r="T22" s="13"/>
      <c r="V22"/>
      <c r="W22"/>
      <c r="X22"/>
    </row>
    <row r="23" spans="1:24" ht="15" x14ac:dyDescent="0.25">
      <c r="A23" s="16">
        <f t="shared" si="1"/>
        <v>16</v>
      </c>
      <c r="B23" s="12" t="s">
        <v>17</v>
      </c>
      <c r="C23" s="20">
        <v>40</v>
      </c>
      <c r="D23" s="6">
        <f>+'UE-170033 Compliance ECOS '!K70</f>
        <v>203194457.72693482</v>
      </c>
      <c r="E23" s="72">
        <f>+D23/$D$35</f>
        <v>2.13760607940604E-2</v>
      </c>
      <c r="G23" s="6">
        <f>+'UE-111048 Compliance ECOS '!K77</f>
        <v>182181512.15497708</v>
      </c>
      <c r="H23" s="72">
        <f>+G23/$G$35</f>
        <v>2.4692226192888495E-2</v>
      </c>
      <c r="J23" s="6">
        <f>+E23*$J$37</f>
        <v>869042.87841467874</v>
      </c>
      <c r="K23" s="6">
        <f>+H23*$K$37</f>
        <v>559863.76255103108</v>
      </c>
      <c r="L23" s="6">
        <f>SUM(J23:K23)</f>
        <v>1428906.6409657099</v>
      </c>
      <c r="M23" s="6"/>
      <c r="N23" s="5">
        <f>SUM('Projected Revenue on F2017'!C27)</f>
        <v>679072000</v>
      </c>
      <c r="O23" s="8"/>
      <c r="P23" s="39">
        <f>ROUND(J23/$N23,6)</f>
        <v>1.2800000000000001E-3</v>
      </c>
      <c r="Q23" s="39">
        <f t="shared" si="11"/>
        <v>8.2399999999999997E-4</v>
      </c>
      <c r="R23" s="39">
        <f>SUM(P23:Q23)</f>
        <v>2.104E-3</v>
      </c>
      <c r="T23" s="6">
        <f>+R23*N23-L23</f>
        <v>-139.15296571003273</v>
      </c>
      <c r="U23" s="58"/>
      <c r="V23"/>
      <c r="W23"/>
      <c r="X23"/>
    </row>
    <row r="24" spans="1:24" ht="15" x14ac:dyDescent="0.25">
      <c r="A24" s="16">
        <f t="shared" si="1"/>
        <v>17</v>
      </c>
      <c r="D24" s="13"/>
      <c r="E24" s="74"/>
      <c r="G24" s="13"/>
      <c r="H24" s="74"/>
      <c r="J24" s="13"/>
      <c r="K24" s="13"/>
      <c r="L24" s="13"/>
      <c r="M24" s="13"/>
      <c r="N24" s="9"/>
      <c r="O24" s="33"/>
      <c r="P24" s="37"/>
      <c r="Q24" s="37"/>
      <c r="R24" s="37"/>
      <c r="T24" s="13"/>
      <c r="V24"/>
      <c r="W24"/>
      <c r="X24"/>
    </row>
    <row r="25" spans="1:24" ht="15" x14ac:dyDescent="0.25">
      <c r="A25" s="16">
        <f t="shared" si="1"/>
        <v>18</v>
      </c>
      <c r="B25" s="12" t="s">
        <v>27</v>
      </c>
      <c r="C25" s="64" t="s">
        <v>77</v>
      </c>
      <c r="D25" s="6">
        <f>+'UE-170033 Compliance ECOS '!L70</f>
        <v>168505770.75160074</v>
      </c>
      <c r="E25" s="72">
        <f>+D25/$D$35</f>
        <v>1.7726810268500516E-2</v>
      </c>
      <c r="G25" s="6">
        <f>+'UE-111048 Compliance ECOS '!L77</f>
        <v>118613433.2227883</v>
      </c>
      <c r="H25" s="72">
        <f>+G25/$G$35</f>
        <v>1.6076437658288204E-2</v>
      </c>
      <c r="J25" s="6">
        <f>+E25*$J$37</f>
        <v>720682.74736237375</v>
      </c>
      <c r="K25" s="6">
        <f>+H25*$K$37</f>
        <v>364512.08592842676</v>
      </c>
      <c r="L25" s="6">
        <f>SUM(J25:K25)</f>
        <v>1085194.8332908005</v>
      </c>
      <c r="M25" s="6"/>
      <c r="N25" s="5">
        <f>SUM('Projected Revenue on F2017'!C29:C30)</f>
        <v>656783000</v>
      </c>
      <c r="O25" s="8"/>
      <c r="P25" s="39">
        <f>ROUND(J25/$N25,6)</f>
        <v>1.0970000000000001E-3</v>
      </c>
      <c r="Q25" s="39">
        <f t="shared" si="11"/>
        <v>5.5500000000000005E-4</v>
      </c>
      <c r="R25" s="39">
        <f>SUM(P25:Q25)</f>
        <v>1.6520000000000003E-3</v>
      </c>
      <c r="T25" s="6">
        <f>+R25*N25-L25</f>
        <v>-189.31729080039077</v>
      </c>
      <c r="U25" s="58"/>
      <c r="V25"/>
      <c r="W25"/>
      <c r="X25"/>
    </row>
    <row r="26" spans="1:24" ht="15" x14ac:dyDescent="0.25">
      <c r="A26" s="16">
        <f t="shared" si="1"/>
        <v>19</v>
      </c>
      <c r="D26" s="13"/>
      <c r="E26" s="74"/>
      <c r="G26" s="13"/>
      <c r="H26" s="74"/>
      <c r="J26" s="13"/>
      <c r="K26" s="13"/>
      <c r="L26" s="13"/>
      <c r="M26" s="13"/>
      <c r="N26" s="9"/>
      <c r="O26" s="33"/>
      <c r="P26" s="37"/>
      <c r="Q26" s="37"/>
      <c r="R26" s="37"/>
      <c r="T26" s="13"/>
      <c r="V26"/>
      <c r="W26"/>
      <c r="X26"/>
    </row>
    <row r="27" spans="1:24" ht="15" x14ac:dyDescent="0.25">
      <c r="A27" s="16">
        <f t="shared" si="1"/>
        <v>20</v>
      </c>
      <c r="B27" s="12" t="s">
        <v>19</v>
      </c>
      <c r="C27" s="20" t="s">
        <v>20</v>
      </c>
      <c r="D27" s="6">
        <f>+'UE-170033 Compliance ECOS '!N70</f>
        <v>103623580.21183598</v>
      </c>
      <c r="E27" s="72">
        <f>+D27/$D$35</f>
        <v>1.0901202597184708E-2</v>
      </c>
      <c r="G27" s="6">
        <f>+'UE-111048 Compliance ECOS '!N77</f>
        <v>86896433.930976748</v>
      </c>
      <c r="H27" s="72">
        <f>+G27/$G$35</f>
        <v>1.1777629774824824E-2</v>
      </c>
      <c r="J27" s="6">
        <f>+E27*$J$37</f>
        <v>443187.94629697769</v>
      </c>
      <c r="K27" s="6">
        <f>+H27*$K$37</f>
        <v>267042.26942346542</v>
      </c>
      <c r="L27" s="6">
        <f>SUM(J27:K27)</f>
        <v>710230.21572044306</v>
      </c>
      <c r="M27" s="6"/>
      <c r="N27" s="5">
        <f>SUM('Projected Revenue on F2017'!C33)</f>
        <v>76506000</v>
      </c>
      <c r="O27" s="8"/>
      <c r="P27" s="39">
        <f>ROUND(J27/$N27,6)</f>
        <v>5.7930000000000004E-3</v>
      </c>
      <c r="Q27" s="39">
        <f t="shared" si="11"/>
        <v>3.49E-3</v>
      </c>
      <c r="R27" s="39">
        <f>SUM(P27:Q27)</f>
        <v>9.2829999999999996E-3</v>
      </c>
      <c r="T27" s="6">
        <f>+R27*N27-L27</f>
        <v>-25.017720443080179</v>
      </c>
      <c r="U27" s="58"/>
      <c r="V27"/>
      <c r="W27"/>
      <c r="X27"/>
    </row>
    <row r="28" spans="1:24" ht="15" x14ac:dyDescent="0.25">
      <c r="A28" s="16">
        <f t="shared" si="1"/>
        <v>21</v>
      </c>
      <c r="C28" s="20"/>
      <c r="D28" s="13"/>
      <c r="E28" s="74"/>
      <c r="G28" s="13"/>
      <c r="H28" s="74"/>
      <c r="J28" s="13"/>
      <c r="K28" s="13"/>
      <c r="L28" s="13"/>
      <c r="M28" s="13"/>
      <c r="N28" s="9"/>
      <c r="O28" s="33"/>
      <c r="P28" s="37"/>
      <c r="Q28" s="37"/>
      <c r="R28" s="37"/>
      <c r="T28" s="13"/>
      <c r="V28"/>
      <c r="W28"/>
      <c r="X28"/>
    </row>
    <row r="29" spans="1:24" ht="15" x14ac:dyDescent="0.25">
      <c r="A29" s="16">
        <f t="shared" si="1"/>
        <v>22</v>
      </c>
      <c r="B29" s="19" t="s">
        <v>24</v>
      </c>
      <c r="C29" s="22" t="s">
        <v>78</v>
      </c>
      <c r="D29" s="6">
        <f>+'UE-170033 Compliance ECOS '!M70</f>
        <v>8251261.5867248578</v>
      </c>
      <c r="E29" s="72">
        <f>+D29/$D$35</f>
        <v>8.6803287490525645E-4</v>
      </c>
      <c r="G29" s="6">
        <f>+'UE-111048 Compliance ECOS '!M77</f>
        <v>8616676.2544703893</v>
      </c>
      <c r="H29" s="72">
        <f>+G29/$G$35</f>
        <v>1.1678732742391581E-3</v>
      </c>
      <c r="J29" s="6">
        <f>+E29*$J$37</f>
        <v>35289.84107192661</v>
      </c>
      <c r="K29" s="6">
        <f>+H29*$K$37</f>
        <v>26479.990924700011</v>
      </c>
      <c r="L29" s="6">
        <f>SUM(J29:K29)</f>
        <v>61769.831996626621</v>
      </c>
      <c r="M29" s="6"/>
      <c r="N29" s="5">
        <f>SUM('Projected Revenue on F2017'!C35)</f>
        <v>2088697000</v>
      </c>
      <c r="O29" s="8"/>
      <c r="P29" s="39">
        <f>ROUND(J29/$N29,6)</f>
        <v>1.7E-5</v>
      </c>
      <c r="Q29" s="39">
        <f t="shared" si="11"/>
        <v>1.2999999999999999E-5</v>
      </c>
      <c r="R29" s="39">
        <f>SUM(P29:Q29)</f>
        <v>2.9999999999999997E-5</v>
      </c>
      <c r="T29" s="6">
        <f>+R29*N29-L29</f>
        <v>891.0780033733754</v>
      </c>
      <c r="U29" s="58"/>
      <c r="V29"/>
      <c r="W29"/>
      <c r="X29"/>
    </row>
    <row r="30" spans="1:24" ht="15" x14ac:dyDescent="0.25">
      <c r="A30" s="16">
        <f t="shared" si="1"/>
        <v>23</v>
      </c>
      <c r="D30" s="13"/>
      <c r="E30" s="74"/>
      <c r="G30" s="13"/>
      <c r="H30" s="74"/>
      <c r="J30" s="13"/>
      <c r="K30" s="13"/>
      <c r="L30" s="13"/>
      <c r="M30" s="13"/>
      <c r="N30" s="9"/>
      <c r="O30" s="33"/>
      <c r="P30" s="37"/>
      <c r="Q30" s="37"/>
      <c r="R30" s="37"/>
      <c r="T30" s="13"/>
      <c r="V30"/>
      <c r="W30"/>
      <c r="X30"/>
    </row>
    <row r="31" spans="1:24" ht="15.75" thickBot="1" x14ac:dyDescent="0.3">
      <c r="A31" s="16">
        <f t="shared" si="1"/>
        <v>24</v>
      </c>
      <c r="B31" s="15" t="s">
        <v>21</v>
      </c>
      <c r="D31" s="11">
        <f>SUM(D10,D16,D21,D23,D25,D27,D29)</f>
        <v>9502439475.7574692</v>
      </c>
      <c r="E31" s="75">
        <f>+D31/$D$35</f>
        <v>0.99965681248374683</v>
      </c>
      <c r="G31" s="11">
        <f>SUM(G10,G16,G21,G23,G25,G27,G29)</f>
        <v>7368288414.672368</v>
      </c>
      <c r="H31" s="75">
        <f>+G31/$G$35</f>
        <v>0.99867128139082928</v>
      </c>
      <c r="J31" s="11">
        <f>SUM(J10,J16,J21,J23,J25,J27,J29)</f>
        <v>40641006.87761467</v>
      </c>
      <c r="K31" s="11">
        <f>SUM(K10,K16,K21,K23,K25,K27,K29)</f>
        <v>22643558.210727837</v>
      </c>
      <c r="L31" s="11">
        <f>SUM(L10,L16,L21,L23,L25,L27,L29)</f>
        <v>63284565.088342503</v>
      </c>
      <c r="M31" s="11"/>
      <c r="N31" s="10">
        <f>SUM(N10,N16,N21,N23,N25,N27,N29)</f>
        <v>23518981000</v>
      </c>
      <c r="O31" s="8"/>
      <c r="P31" s="41">
        <f>ROUND(J31/$N31,6)</f>
        <v>1.7279999999999999E-3</v>
      </c>
      <c r="Q31" s="41">
        <f t="shared" si="11"/>
        <v>9.6299999999999999E-4</v>
      </c>
      <c r="R31" s="41">
        <f>SUM(P31:Q31)</f>
        <v>2.6909999999999998E-3</v>
      </c>
      <c r="T31" s="11">
        <f>SUM(T10,T16,T21,T23,T25,T27,T29)</f>
        <v>-1282.5263425049197</v>
      </c>
      <c r="V31"/>
      <c r="W31"/>
      <c r="X31"/>
    </row>
    <row r="32" spans="1:24" ht="15.75" thickTop="1" x14ac:dyDescent="0.25">
      <c r="A32" s="16">
        <f t="shared" si="1"/>
        <v>25</v>
      </c>
      <c r="D32" s="17"/>
      <c r="E32" s="76"/>
      <c r="G32" s="17"/>
      <c r="H32" s="76"/>
      <c r="J32" s="17"/>
      <c r="K32" s="17"/>
      <c r="L32" s="17"/>
      <c r="M32" s="17"/>
      <c r="N32" s="34"/>
      <c r="O32" s="8"/>
      <c r="P32" s="63"/>
      <c r="Q32" s="63"/>
      <c r="R32" s="63"/>
      <c r="T32" s="17"/>
      <c r="V32"/>
      <c r="W32"/>
      <c r="X32"/>
    </row>
    <row r="33" spans="1:24" ht="15" x14ac:dyDescent="0.25">
      <c r="A33" s="16">
        <f t="shared" si="1"/>
        <v>26</v>
      </c>
      <c r="B33" s="15" t="s">
        <v>23</v>
      </c>
      <c r="D33" s="6">
        <f>+'UE-170033 Compliance ECOS '!O70</f>
        <v>3262238.1614442412</v>
      </c>
      <c r="E33" s="72">
        <f>+D33/$D$35</f>
        <v>3.4318751625326557E-4</v>
      </c>
      <c r="G33" s="6">
        <f>+'UE-111048 Compliance ECOS '!O77</f>
        <v>9803407.9048292413</v>
      </c>
      <c r="H33" s="72">
        <f>+G33/$G$35</f>
        <v>1.3287186091708021E-3</v>
      </c>
      <c r="J33" s="6">
        <f>+E33*$J$37</f>
        <v>13952.274454776682</v>
      </c>
      <c r="K33" s="6">
        <f>+H33*$K$37</f>
        <v>30126.947408095028</v>
      </c>
      <c r="L33" s="6">
        <f>SUM(J33:K33)</f>
        <v>44079.221862871709</v>
      </c>
      <c r="M33" s="6"/>
      <c r="N33" s="5">
        <f>SUM('Projected Revenue on F2017'!C39)</f>
        <v>0</v>
      </c>
      <c r="O33" s="8"/>
      <c r="P33" s="39"/>
      <c r="Q33" s="39"/>
      <c r="R33" s="39"/>
      <c r="T33" s="6"/>
      <c r="U33" s="58"/>
      <c r="V33"/>
      <c r="W33"/>
      <c r="X33"/>
    </row>
    <row r="34" spans="1:24" ht="15" x14ac:dyDescent="0.25">
      <c r="A34" s="16">
        <f t="shared" si="1"/>
        <v>27</v>
      </c>
      <c r="D34" s="13"/>
      <c r="E34" s="74"/>
      <c r="G34" s="13"/>
      <c r="H34" s="74"/>
      <c r="J34" s="13"/>
      <c r="K34" s="13"/>
      <c r="L34" s="13"/>
      <c r="M34" s="13"/>
      <c r="N34" s="9"/>
      <c r="O34" s="33"/>
      <c r="P34" s="37"/>
      <c r="Q34" s="37"/>
      <c r="R34" s="37"/>
      <c r="T34" s="13"/>
      <c r="V34"/>
      <c r="W34"/>
      <c r="X34"/>
    </row>
    <row r="35" spans="1:24" ht="15.75" thickBot="1" x14ac:dyDescent="0.3">
      <c r="A35" s="16">
        <f t="shared" si="1"/>
        <v>28</v>
      </c>
      <c r="B35" s="15" t="s">
        <v>22</v>
      </c>
      <c r="D35" s="11">
        <f>SUM(D31,D33)</f>
        <v>9505701713.9189129</v>
      </c>
      <c r="E35" s="75">
        <f>SUM(E31,E33)</f>
        <v>1</v>
      </c>
      <c r="G35" s="11">
        <f>SUM(G31,G33)</f>
        <v>7378091822.5771971</v>
      </c>
      <c r="H35" s="75">
        <f>SUM(H31,H33)</f>
        <v>1</v>
      </c>
      <c r="J35" s="11">
        <f>SUM(J31,J33)</f>
        <v>40654959.152069449</v>
      </c>
      <c r="K35" s="11">
        <f>SUM(K31,K33)</f>
        <v>22673685.158135932</v>
      </c>
      <c r="L35" s="11">
        <f>SUM(L31,L33)</f>
        <v>63328644.310205378</v>
      </c>
      <c r="M35" s="11"/>
      <c r="N35" s="10">
        <f>SUM(N31,N33)</f>
        <v>23518981000</v>
      </c>
      <c r="O35" s="8"/>
      <c r="P35" s="41">
        <f>ROUND(J35/$N35,6)</f>
        <v>1.7290000000000001E-3</v>
      </c>
      <c r="Q35" s="41">
        <f t="shared" ref="Q35" si="14">ROUND((K35)/$N35,6)</f>
        <v>9.6400000000000001E-4</v>
      </c>
      <c r="R35" s="41">
        <f>SUM(P35:Q35)</f>
        <v>2.6930000000000001E-3</v>
      </c>
      <c r="S35" s="58"/>
      <c r="T35" s="11">
        <f>SUM(T31,T33)</f>
        <v>-1282.5263425049197</v>
      </c>
      <c r="U35" s="58"/>
      <c r="V35"/>
      <c r="W35"/>
      <c r="X35"/>
    </row>
    <row r="36" spans="1:24" ht="13.5" thickTop="1" x14ac:dyDescent="0.2">
      <c r="A36" s="16">
        <f t="shared" si="1"/>
        <v>29</v>
      </c>
      <c r="S36" s="59"/>
      <c r="U36" s="58"/>
    </row>
    <row r="37" spans="1:24" ht="13.5" thickBot="1" x14ac:dyDescent="0.25">
      <c r="A37" s="16">
        <f t="shared" si="1"/>
        <v>30</v>
      </c>
      <c r="B37" s="12" t="s">
        <v>82</v>
      </c>
      <c r="D37" s="13"/>
      <c r="G37" s="13"/>
      <c r="J37" s="57">
        <f>+'Final 2018 Rev Req'!H18</f>
        <v>40654959.152069449</v>
      </c>
      <c r="K37" s="57">
        <f>+'Final 2018 Rev Req'!H19</f>
        <v>22673685.158135928</v>
      </c>
      <c r="L37" s="57">
        <f>SUM(J37:K37)</f>
        <v>63328644.310205378</v>
      </c>
    </row>
    <row r="38" spans="1:24" ht="13.5" thickTop="1" x14ac:dyDescent="0.2">
      <c r="J38" s="56" t="s">
        <v>6</v>
      </c>
      <c r="K38" s="56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60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M55" activePane="bottomRight" state="frozen"/>
      <selection activeCell="D39" sqref="D39"/>
      <selection pane="topRight" activeCell="D39" sqref="D39"/>
      <selection pane="bottomLeft" activeCell="D39" sqref="D39"/>
      <selection pane="bottomRight" activeCell="Q70" sqref="Q70:U70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45.5703125" customWidth="1"/>
    <col min="4" max="4" width="9.42578125" bestFit="1" customWidth="1"/>
    <col min="5" max="8" width="15.140625" bestFit="1" customWidth="1"/>
    <col min="9" max="14" width="13.5703125" bestFit="1" customWidth="1"/>
    <col min="15" max="15" width="11.42578125" bestFit="1" customWidth="1"/>
    <col min="17" max="17" width="13.5703125" bestFit="1" customWidth="1"/>
    <col min="18" max="18" width="11.42578125" bestFit="1" customWidth="1"/>
    <col min="19" max="19" width="12.42578125" bestFit="1" customWidth="1"/>
    <col min="20" max="21" width="13.5703125" bestFit="1" customWidth="1"/>
  </cols>
  <sheetData>
    <row r="1" spans="1:21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82"/>
      <c r="Q1" s="182"/>
      <c r="R1" s="182"/>
      <c r="S1" s="182"/>
      <c r="T1" s="182"/>
      <c r="U1" s="182"/>
    </row>
    <row r="2" spans="1:21" x14ac:dyDescent="0.25">
      <c r="A2" s="228" t="s">
        <v>262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82"/>
      <c r="Q2" s="182"/>
      <c r="R2" s="182"/>
      <c r="S2" s="182"/>
      <c r="T2" s="182"/>
      <c r="U2" s="182"/>
    </row>
    <row r="3" spans="1:21" x14ac:dyDescent="0.25">
      <c r="A3" s="227" t="s">
        <v>389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182"/>
      <c r="Q3" s="182"/>
      <c r="R3" s="182"/>
      <c r="S3" s="182"/>
      <c r="T3" s="182"/>
      <c r="U3" s="182"/>
    </row>
    <row r="4" spans="1:21" x14ac:dyDescent="0.25">
      <c r="A4" s="148"/>
      <c r="B4" s="148"/>
      <c r="C4" s="148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</row>
    <row r="5" spans="1:21" ht="51.75" x14ac:dyDescent="0.25">
      <c r="A5" s="149" t="s">
        <v>1</v>
      </c>
      <c r="B5" s="149" t="s">
        <v>263</v>
      </c>
      <c r="C5" s="180" t="s">
        <v>264</v>
      </c>
      <c r="D5" s="149" t="s">
        <v>265</v>
      </c>
      <c r="E5" s="149" t="s">
        <v>38</v>
      </c>
      <c r="F5" s="149" t="s">
        <v>379</v>
      </c>
      <c r="G5" s="149" t="s">
        <v>380</v>
      </c>
      <c r="H5" s="149" t="s">
        <v>381</v>
      </c>
      <c r="I5" s="149" t="s">
        <v>382</v>
      </c>
      <c r="J5" s="149" t="s">
        <v>383</v>
      </c>
      <c r="K5" s="149" t="s">
        <v>384</v>
      </c>
      <c r="L5" s="149" t="s">
        <v>385</v>
      </c>
      <c r="M5" s="149" t="s">
        <v>386</v>
      </c>
      <c r="N5" s="149" t="s">
        <v>387</v>
      </c>
      <c r="O5" s="149" t="s">
        <v>390</v>
      </c>
      <c r="P5" s="181"/>
      <c r="Q5" s="152" t="s">
        <v>346</v>
      </c>
      <c r="R5" s="152" t="s">
        <v>347</v>
      </c>
      <c r="S5" s="152" t="s">
        <v>348</v>
      </c>
      <c r="T5" s="152" t="s">
        <v>349</v>
      </c>
      <c r="U5" s="152" t="s">
        <v>350</v>
      </c>
    </row>
    <row r="6" spans="1:21" x14ac:dyDescent="0.25">
      <c r="A6" s="181"/>
      <c r="B6" s="181" t="s">
        <v>33</v>
      </c>
      <c r="C6" s="181" t="s">
        <v>32</v>
      </c>
      <c r="D6" s="181" t="s">
        <v>31</v>
      </c>
      <c r="E6" s="181" t="s">
        <v>35</v>
      </c>
      <c r="F6" s="181" t="s">
        <v>34</v>
      </c>
      <c r="G6" s="181" t="s">
        <v>30</v>
      </c>
      <c r="H6" s="181" t="s">
        <v>193</v>
      </c>
      <c r="I6" s="181" t="s">
        <v>109</v>
      </c>
      <c r="J6" s="181" t="s">
        <v>266</v>
      </c>
      <c r="K6" s="181" t="s">
        <v>267</v>
      </c>
      <c r="L6" s="181" t="s">
        <v>194</v>
      </c>
      <c r="M6" s="181" t="s">
        <v>195</v>
      </c>
      <c r="N6" s="181" t="s">
        <v>196</v>
      </c>
      <c r="O6" s="181" t="s">
        <v>197</v>
      </c>
      <c r="P6" s="181"/>
      <c r="Q6" s="181"/>
      <c r="R6" s="181"/>
      <c r="S6" s="181"/>
      <c r="T6" s="181"/>
      <c r="U6" s="181"/>
    </row>
    <row r="7" spans="1:21" x14ac:dyDescent="0.25">
      <c r="A7" s="148">
        <v>1</v>
      </c>
      <c r="B7" s="148"/>
      <c r="C7" s="150" t="s">
        <v>268</v>
      </c>
      <c r="D7" s="179"/>
      <c r="E7" s="179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 x14ac:dyDescent="0.25">
      <c r="A8" s="148">
        <f t="shared" ref="A8:A70" si="0">+A7+1</f>
        <v>2</v>
      </c>
      <c r="B8" s="148"/>
      <c r="C8" s="148"/>
      <c r="D8" s="179"/>
      <c r="E8" s="179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</row>
    <row r="9" spans="1:21" x14ac:dyDescent="0.25">
      <c r="A9" s="148">
        <f t="shared" si="0"/>
        <v>3</v>
      </c>
      <c r="B9" s="148"/>
      <c r="C9" s="150" t="s">
        <v>269</v>
      </c>
      <c r="D9" s="179"/>
      <c r="E9" s="179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</row>
    <row r="10" spans="1:21" x14ac:dyDescent="0.25">
      <c r="A10" s="148">
        <f t="shared" si="0"/>
        <v>4</v>
      </c>
      <c r="B10" s="148"/>
      <c r="C10" s="150" t="s">
        <v>270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</row>
    <row r="11" spans="1:21" x14ac:dyDescent="0.25">
      <c r="A11" s="148">
        <f t="shared" si="0"/>
        <v>5</v>
      </c>
      <c r="B11" s="183">
        <v>300</v>
      </c>
      <c r="C11" s="148" t="s">
        <v>271</v>
      </c>
      <c r="D11" s="179" t="s">
        <v>272</v>
      </c>
      <c r="E11" s="184">
        <v>71973279</v>
      </c>
      <c r="F11" s="184">
        <v>38454075.971436448</v>
      </c>
      <c r="G11" s="184">
        <v>9427408.3280417956</v>
      </c>
      <c r="H11" s="184">
        <v>9518487.5898792371</v>
      </c>
      <c r="I11" s="184">
        <v>6156137.3929111613</v>
      </c>
      <c r="J11" s="184">
        <v>4380202.8235320868</v>
      </c>
      <c r="K11" s="184">
        <v>1914522.9679305665</v>
      </c>
      <c r="L11" s="184">
        <v>1837841.8877231576</v>
      </c>
      <c r="M11" s="184">
        <v>0</v>
      </c>
      <c r="N11" s="184">
        <v>260129.32749372019</v>
      </c>
      <c r="O11" s="184">
        <v>24472.711051832724</v>
      </c>
      <c r="P11" s="179"/>
      <c r="Q11" s="184">
        <v>4066700.2176939882</v>
      </c>
      <c r="R11" s="184">
        <v>11134.274188423173</v>
      </c>
      <c r="S11" s="184">
        <v>302368.33164967579</v>
      </c>
      <c r="T11" s="184">
        <f>SUM(Q11:S11)</f>
        <v>4380202.8235320868</v>
      </c>
      <c r="U11" s="184">
        <f>SUM(Q11:R11)</f>
        <v>4077834.4918824113</v>
      </c>
    </row>
    <row r="12" spans="1:21" x14ac:dyDescent="0.25">
      <c r="A12" s="148">
        <f t="shared" si="0"/>
        <v>6</v>
      </c>
      <c r="B12" s="183">
        <v>300.01</v>
      </c>
      <c r="C12" s="148" t="s">
        <v>273</v>
      </c>
      <c r="D12" s="179" t="s">
        <v>274</v>
      </c>
      <c r="E12" s="184">
        <v>83029</v>
      </c>
      <c r="F12" s="184">
        <v>44360.956151968523</v>
      </c>
      <c r="G12" s="184">
        <v>10875.540158021457</v>
      </c>
      <c r="H12" s="184">
        <v>10980.609985826592</v>
      </c>
      <c r="I12" s="184">
        <v>7101.7735845551915</v>
      </c>
      <c r="J12" s="184">
        <v>5053.0400349697238</v>
      </c>
      <c r="K12" s="184">
        <v>2208.6103302908709</v>
      </c>
      <c r="L12" s="184">
        <v>2120.1503699138962</v>
      </c>
      <c r="M12" s="184">
        <v>0</v>
      </c>
      <c r="N12" s="184">
        <v>300.08745235125519</v>
      </c>
      <c r="O12" s="184">
        <v>28.231932102504587</v>
      </c>
      <c r="P12" s="179"/>
      <c r="Q12" s="184">
        <v>4691.380704982389</v>
      </c>
      <c r="R12" s="184">
        <v>12.844595444798168</v>
      </c>
      <c r="S12" s="184">
        <v>348.81473454253666</v>
      </c>
      <c r="T12" s="184">
        <f>SUM(Q12:S12)</f>
        <v>5053.0400349697238</v>
      </c>
      <c r="U12" s="184">
        <f>SUM(Q12:R12)</f>
        <v>4704.225300427187</v>
      </c>
    </row>
    <row r="13" spans="1:21" x14ac:dyDescent="0.25">
      <c r="A13" s="148">
        <f t="shared" si="0"/>
        <v>7</v>
      </c>
      <c r="B13" s="183">
        <v>300.02</v>
      </c>
      <c r="C13" s="148" t="s">
        <v>275</v>
      </c>
      <c r="D13" s="179" t="s">
        <v>276</v>
      </c>
      <c r="E13" s="184">
        <v>177634269</v>
      </c>
      <c r="F13" s="184">
        <v>108396150.92325711</v>
      </c>
      <c r="G13" s="184">
        <v>21926460.822066031</v>
      </c>
      <c r="H13" s="184">
        <v>18384457.50789753</v>
      </c>
      <c r="I13" s="184">
        <v>10527272.442336291</v>
      </c>
      <c r="J13" s="184">
        <v>8238433.1115532396</v>
      </c>
      <c r="K13" s="184">
        <v>3325215.7181211836</v>
      </c>
      <c r="L13" s="184">
        <v>2730945.8069843245</v>
      </c>
      <c r="M13" s="184">
        <v>1932950.0570126709</v>
      </c>
      <c r="N13" s="184">
        <v>2118710.5708934804</v>
      </c>
      <c r="O13" s="184">
        <v>53672.039878144315</v>
      </c>
      <c r="P13" s="179"/>
      <c r="Q13" s="184">
        <v>7256179.7021665014</v>
      </c>
      <c r="R13" s="184">
        <v>36555.133103162225</v>
      </c>
      <c r="S13" s="184">
        <v>945698.2762835758</v>
      </c>
      <c r="T13" s="184">
        <f>SUM(Q13:S13)</f>
        <v>8238433.1115532396</v>
      </c>
      <c r="U13" s="184">
        <f>SUM(Q13:R13)</f>
        <v>7292734.8352696635</v>
      </c>
    </row>
    <row r="14" spans="1:21" x14ac:dyDescent="0.25">
      <c r="A14" s="151">
        <f>+A13+1</f>
        <v>8</v>
      </c>
      <c r="B14" s="185"/>
      <c r="C14" s="151" t="s">
        <v>277</v>
      </c>
      <c r="D14" s="186"/>
      <c r="E14" s="187">
        <f t="shared" ref="E14:U14" si="1">SUM(E11:E13)</f>
        <v>249690577</v>
      </c>
      <c r="F14" s="187">
        <f t="shared" si="1"/>
        <v>146894587.85084552</v>
      </c>
      <c r="G14" s="187">
        <f t="shared" si="1"/>
        <v>31364744.690265849</v>
      </c>
      <c r="H14" s="187">
        <f t="shared" si="1"/>
        <v>27913925.707762592</v>
      </c>
      <c r="I14" s="187">
        <f t="shared" si="1"/>
        <v>16690511.608832007</v>
      </c>
      <c r="J14" s="187">
        <f t="shared" si="1"/>
        <v>12623688.975120295</v>
      </c>
      <c r="K14" s="187">
        <f t="shared" si="1"/>
        <v>5241947.2963820407</v>
      </c>
      <c r="L14" s="187">
        <f t="shared" si="1"/>
        <v>4570907.8450773954</v>
      </c>
      <c r="M14" s="187">
        <f t="shared" si="1"/>
        <v>1932950.0570126709</v>
      </c>
      <c r="N14" s="187">
        <f t="shared" si="1"/>
        <v>2379139.9858395518</v>
      </c>
      <c r="O14" s="187">
        <f t="shared" si="1"/>
        <v>78172.982862079545</v>
      </c>
      <c r="P14" s="1"/>
      <c r="Q14" s="187">
        <f t="shared" si="1"/>
        <v>11327571.300565472</v>
      </c>
      <c r="R14" s="187">
        <f t="shared" si="1"/>
        <v>47702.251887030194</v>
      </c>
      <c r="S14" s="187">
        <f t="shared" si="1"/>
        <v>1248415.4226677942</v>
      </c>
      <c r="T14" s="187">
        <f t="shared" si="1"/>
        <v>12623688.975120295</v>
      </c>
      <c r="U14" s="187">
        <f t="shared" si="1"/>
        <v>11375273.552452501</v>
      </c>
    </row>
    <row r="15" spans="1:21" x14ac:dyDescent="0.25">
      <c r="A15" s="148">
        <f t="shared" si="0"/>
        <v>9</v>
      </c>
      <c r="B15" s="183"/>
      <c r="C15" s="148"/>
      <c r="D15" s="179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79"/>
      <c r="Q15" s="184"/>
      <c r="R15" s="184"/>
      <c r="S15" s="184"/>
      <c r="T15" s="184"/>
      <c r="U15" s="184"/>
    </row>
    <row r="16" spans="1:21" x14ac:dyDescent="0.25">
      <c r="A16" s="148">
        <f t="shared" si="0"/>
        <v>10</v>
      </c>
      <c r="B16" s="183"/>
      <c r="C16" s="150" t="s">
        <v>271</v>
      </c>
      <c r="D16" s="179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79"/>
      <c r="Q16" s="184"/>
      <c r="R16" s="184"/>
      <c r="S16" s="184"/>
      <c r="T16" s="184"/>
      <c r="U16" s="184"/>
    </row>
    <row r="17" spans="1:21" x14ac:dyDescent="0.25">
      <c r="A17" s="148">
        <f t="shared" si="0"/>
        <v>11</v>
      </c>
      <c r="B17" s="183">
        <v>310</v>
      </c>
      <c r="C17" s="148" t="s">
        <v>278</v>
      </c>
      <c r="D17" s="179" t="s">
        <v>274</v>
      </c>
      <c r="E17" s="184">
        <v>1304541451.6862471</v>
      </c>
      <c r="F17" s="184">
        <v>696993895.34595108</v>
      </c>
      <c r="G17" s="184">
        <v>170875151.40032265</v>
      </c>
      <c r="H17" s="184">
        <v>172525995.63177592</v>
      </c>
      <c r="I17" s="184">
        <v>111582194.43257986</v>
      </c>
      <c r="J17" s="184">
        <v>79392744.494672075</v>
      </c>
      <c r="K17" s="184">
        <v>34701414.282803535</v>
      </c>
      <c r="L17" s="184">
        <v>33311542.248619255</v>
      </c>
      <c r="M17" s="184">
        <v>0</v>
      </c>
      <c r="N17" s="184">
        <v>4714937.1993295588</v>
      </c>
      <c r="O17" s="184">
        <v>443576.65019341314</v>
      </c>
      <c r="P17" s="179"/>
      <c r="Q17" s="184">
        <v>73710397.515212446</v>
      </c>
      <c r="R17" s="184">
        <v>201812.70625780823</v>
      </c>
      <c r="S17" s="184">
        <v>5480534.2732018176</v>
      </c>
      <c r="T17" s="184">
        <f>SUM(Q17:S17)</f>
        <v>79392744.494672075</v>
      </c>
      <c r="U17" s="184">
        <f>SUM(Q17:R17)</f>
        <v>73912210.221470252</v>
      </c>
    </row>
    <row r="18" spans="1:21" x14ac:dyDescent="0.25">
      <c r="A18" s="148">
        <f t="shared" si="0"/>
        <v>12</v>
      </c>
      <c r="B18" s="183">
        <v>330</v>
      </c>
      <c r="C18" s="148" t="s">
        <v>279</v>
      </c>
      <c r="D18" s="179" t="s">
        <v>274</v>
      </c>
      <c r="E18" s="184">
        <v>710256219.2691648</v>
      </c>
      <c r="F18" s="184">
        <v>379477592.16252589</v>
      </c>
      <c r="G18" s="184">
        <v>93032796.193454027</v>
      </c>
      <c r="H18" s="184">
        <v>93931596.596399218</v>
      </c>
      <c r="I18" s="184">
        <v>60750808.226906195</v>
      </c>
      <c r="J18" s="184">
        <v>43225296.114048392</v>
      </c>
      <c r="K18" s="184">
        <v>18893148.45453053</v>
      </c>
      <c r="L18" s="184">
        <v>18136434.089500837</v>
      </c>
      <c r="M18" s="184">
        <v>0</v>
      </c>
      <c r="N18" s="184">
        <v>2567042.5918307835</v>
      </c>
      <c r="O18" s="184">
        <v>241504.83996903096</v>
      </c>
      <c r="P18" s="179"/>
      <c r="Q18" s="184">
        <v>40131548.286419205</v>
      </c>
      <c r="R18" s="184">
        <v>109876.71534842384</v>
      </c>
      <c r="S18" s="184">
        <v>2983871.1122807628</v>
      </c>
      <c r="T18" s="184">
        <f>SUM(Q18:S18)</f>
        <v>43225296.114048392</v>
      </c>
      <c r="U18" s="184">
        <f>SUM(Q18:R18)</f>
        <v>40241425.001767628</v>
      </c>
    </row>
    <row r="19" spans="1:21" x14ac:dyDescent="0.25">
      <c r="A19" s="148">
        <f t="shared" si="0"/>
        <v>13</v>
      </c>
      <c r="B19" s="183">
        <v>340</v>
      </c>
      <c r="C19" s="148" t="s">
        <v>280</v>
      </c>
      <c r="D19" s="179" t="s">
        <v>274</v>
      </c>
      <c r="E19" s="184">
        <v>1974152231.1274989</v>
      </c>
      <c r="F19" s="184">
        <v>1054755333.2252322</v>
      </c>
      <c r="G19" s="184">
        <v>258584011.22107661</v>
      </c>
      <c r="H19" s="184">
        <v>261082220.70192894</v>
      </c>
      <c r="I19" s="184">
        <v>168856449.75745782</v>
      </c>
      <c r="J19" s="184">
        <v>120144410.49527338</v>
      </c>
      <c r="K19" s="184">
        <v>52513374.980247445</v>
      </c>
      <c r="L19" s="184">
        <v>50410092.655473515</v>
      </c>
      <c r="M19" s="184">
        <v>0</v>
      </c>
      <c r="N19" s="184">
        <v>7135077.0645509092</v>
      </c>
      <c r="O19" s="184">
        <v>671261.02625828923</v>
      </c>
      <c r="P19" s="179"/>
      <c r="Q19" s="184">
        <v>111545359.88401017</v>
      </c>
      <c r="R19" s="184">
        <v>305401.56758817297</v>
      </c>
      <c r="S19" s="184">
        <v>8293649.0436750418</v>
      </c>
      <c r="T19" s="184">
        <f>SUM(Q19:S19)</f>
        <v>120144410.49527338</v>
      </c>
      <c r="U19" s="184">
        <f>SUM(Q19:R19)</f>
        <v>111850761.45159835</v>
      </c>
    </row>
    <row r="20" spans="1:21" x14ac:dyDescent="0.25">
      <c r="A20" s="151">
        <f t="shared" si="0"/>
        <v>14</v>
      </c>
      <c r="B20" s="185"/>
      <c r="C20" s="151" t="s">
        <v>277</v>
      </c>
      <c r="D20" s="186"/>
      <c r="E20" s="187">
        <f>SUM(E17:E19)</f>
        <v>3988949902.0829105</v>
      </c>
      <c r="F20" s="187">
        <f t="shared" ref="F20:U20" si="2">SUM(F17:F19)</f>
        <v>2131226820.7337093</v>
      </c>
      <c r="G20" s="187">
        <f t="shared" si="2"/>
        <v>522491958.81485331</v>
      </c>
      <c r="H20" s="187">
        <f t="shared" si="2"/>
        <v>527539812.93010408</v>
      </c>
      <c r="I20" s="187">
        <f t="shared" si="2"/>
        <v>341189452.41694391</v>
      </c>
      <c r="J20" s="187">
        <f t="shared" si="2"/>
        <v>242762451.10399383</v>
      </c>
      <c r="K20" s="187">
        <f t="shared" si="2"/>
        <v>106107937.71758151</v>
      </c>
      <c r="L20" s="187">
        <f t="shared" si="2"/>
        <v>101858068.9935936</v>
      </c>
      <c r="M20" s="187">
        <f t="shared" si="2"/>
        <v>0</v>
      </c>
      <c r="N20" s="187">
        <f t="shared" si="2"/>
        <v>14417056.855711251</v>
      </c>
      <c r="O20" s="187">
        <f t="shared" si="2"/>
        <v>1356342.5164207332</v>
      </c>
      <c r="P20" s="179"/>
      <c r="Q20" s="187">
        <f t="shared" si="2"/>
        <v>225387305.68564183</v>
      </c>
      <c r="R20" s="187">
        <f t="shared" si="2"/>
        <v>617090.98919440503</v>
      </c>
      <c r="S20" s="187">
        <f t="shared" si="2"/>
        <v>16758054.429157622</v>
      </c>
      <c r="T20" s="187">
        <f t="shared" si="2"/>
        <v>242762451.10399383</v>
      </c>
      <c r="U20" s="187">
        <f t="shared" si="2"/>
        <v>226004396.67483622</v>
      </c>
    </row>
    <row r="21" spans="1:21" x14ac:dyDescent="0.25">
      <c r="A21" s="148">
        <f t="shared" si="0"/>
        <v>15</v>
      </c>
      <c r="B21" s="183"/>
      <c r="C21" s="148"/>
      <c r="D21" s="179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79"/>
      <c r="Q21" s="184"/>
      <c r="R21" s="184"/>
      <c r="S21" s="184"/>
      <c r="T21" s="184"/>
      <c r="U21" s="184"/>
    </row>
    <row r="22" spans="1:21" x14ac:dyDescent="0.25">
      <c r="A22" s="148">
        <f t="shared" si="0"/>
        <v>16</v>
      </c>
      <c r="B22" s="183"/>
      <c r="C22" s="150" t="s">
        <v>273</v>
      </c>
      <c r="D22" s="179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79"/>
      <c r="Q22" s="184"/>
      <c r="R22" s="184"/>
      <c r="S22" s="184"/>
      <c r="T22" s="184"/>
      <c r="U22" s="184"/>
    </row>
    <row r="23" spans="1:21" x14ac:dyDescent="0.25">
      <c r="A23" s="148">
        <f t="shared" si="0"/>
        <v>17</v>
      </c>
      <c r="B23" s="183">
        <v>350</v>
      </c>
      <c r="C23" s="148" t="s">
        <v>281</v>
      </c>
      <c r="D23" s="179" t="s">
        <v>274</v>
      </c>
      <c r="E23" s="184">
        <v>174349685</v>
      </c>
      <c r="F23" s="184">
        <v>93152015.938943297</v>
      </c>
      <c r="G23" s="184">
        <v>22837165.336880982</v>
      </c>
      <c r="H23" s="184">
        <v>23057797.78314469</v>
      </c>
      <c r="I23" s="184">
        <v>14912765.267659716</v>
      </c>
      <c r="J23" s="184">
        <v>10610701.542706287</v>
      </c>
      <c r="K23" s="184">
        <v>4637783.3693523863</v>
      </c>
      <c r="L23" s="184">
        <v>4452029.4011384128</v>
      </c>
      <c r="M23" s="184">
        <v>0</v>
      </c>
      <c r="N23" s="184">
        <v>630143.11613886536</v>
      </c>
      <c r="O23" s="184">
        <v>59283.244035373937</v>
      </c>
      <c r="P23" s="179"/>
      <c r="Q23" s="184">
        <v>9851265.8002475929</v>
      </c>
      <c r="R23" s="184">
        <v>26971.915472340934</v>
      </c>
      <c r="S23" s="184">
        <v>732463.8269863528</v>
      </c>
      <c r="T23" s="184">
        <f>SUM(Q23:S23)</f>
        <v>10610701.542706287</v>
      </c>
      <c r="U23" s="184">
        <f>SUM(Q23:R23)</f>
        <v>9878237.7157199346</v>
      </c>
    </row>
    <row r="24" spans="1:21" x14ac:dyDescent="0.25">
      <c r="A24" s="148">
        <f t="shared" si="0"/>
        <v>18</v>
      </c>
      <c r="B24" s="183">
        <v>350.01</v>
      </c>
      <c r="C24" s="148" t="s">
        <v>282</v>
      </c>
      <c r="D24" s="179" t="s">
        <v>283</v>
      </c>
      <c r="E24" s="184">
        <v>1214311299</v>
      </c>
      <c r="F24" s="184">
        <v>597433388.70555854</v>
      </c>
      <c r="G24" s="184">
        <v>146229019.88115436</v>
      </c>
      <c r="H24" s="184">
        <v>147560220.47328535</v>
      </c>
      <c r="I24" s="184">
        <v>95365048.061260626</v>
      </c>
      <c r="J24" s="184">
        <v>67838221.009173229</v>
      </c>
      <c r="K24" s="184">
        <v>29655883.23777055</v>
      </c>
      <c r="L24" s="184">
        <v>28445402.264599342</v>
      </c>
      <c r="M24" s="184">
        <v>97368058.384898379</v>
      </c>
      <c r="N24" s="184">
        <v>4035837.6076959856</v>
      </c>
      <c r="O24" s="184">
        <v>380219.37460385484</v>
      </c>
      <c r="P24" s="179"/>
      <c r="Q24" s="184">
        <v>63011895.608862832</v>
      </c>
      <c r="R24" s="184">
        <v>171419.30377560804</v>
      </c>
      <c r="S24" s="184">
        <v>4654906.096534783</v>
      </c>
      <c r="T24" s="184">
        <f>SUM(Q24:S24)</f>
        <v>67838221.009173229</v>
      </c>
      <c r="U24" s="184">
        <f>SUM(Q24:R24)</f>
        <v>63183314.912638441</v>
      </c>
    </row>
    <row r="25" spans="1:21" x14ac:dyDescent="0.25">
      <c r="A25" s="148">
        <f t="shared" si="0"/>
        <v>19</v>
      </c>
      <c r="B25" s="183">
        <v>350.02</v>
      </c>
      <c r="C25" s="148" t="s">
        <v>284</v>
      </c>
      <c r="D25" s="179" t="s">
        <v>285</v>
      </c>
      <c r="E25" s="184">
        <v>389231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389231</v>
      </c>
      <c r="N25" s="184">
        <v>0</v>
      </c>
      <c r="O25" s="184">
        <v>0</v>
      </c>
      <c r="P25" s="179"/>
      <c r="Q25" s="184">
        <v>0</v>
      </c>
      <c r="R25" s="184">
        <v>0</v>
      </c>
      <c r="S25" s="184">
        <v>0</v>
      </c>
      <c r="T25" s="184">
        <f>SUM(Q25:S25)</f>
        <v>0</v>
      </c>
      <c r="U25" s="184">
        <f>SUM(Q25:R25)</f>
        <v>0</v>
      </c>
    </row>
    <row r="26" spans="1:21" x14ac:dyDescent="0.25">
      <c r="A26" s="151">
        <f>+A25+1</f>
        <v>20</v>
      </c>
      <c r="B26" s="185"/>
      <c r="C26" s="151" t="s">
        <v>277</v>
      </c>
      <c r="D26" s="186"/>
      <c r="E26" s="187">
        <f t="shared" ref="E26:U26" si="3">SUM(E23:E25)</f>
        <v>1389050215</v>
      </c>
      <c r="F26" s="187">
        <f t="shared" si="3"/>
        <v>690585404.64450181</v>
      </c>
      <c r="G26" s="187">
        <f t="shared" si="3"/>
        <v>169066185.21803534</v>
      </c>
      <c r="H26" s="187">
        <f t="shared" si="3"/>
        <v>170618018.25643003</v>
      </c>
      <c r="I26" s="187">
        <f t="shared" si="3"/>
        <v>110277813.32892033</v>
      </c>
      <c r="J26" s="187">
        <f t="shared" si="3"/>
        <v>78448922.55187951</v>
      </c>
      <c r="K26" s="187">
        <f t="shared" si="3"/>
        <v>34293666.607122935</v>
      </c>
      <c r="L26" s="187">
        <f t="shared" si="3"/>
        <v>32897431.665737756</v>
      </c>
      <c r="M26" s="187">
        <f t="shared" si="3"/>
        <v>97757289.384898379</v>
      </c>
      <c r="N26" s="187">
        <f t="shared" si="3"/>
        <v>4665980.7238348508</v>
      </c>
      <c r="O26" s="187">
        <f t="shared" si="3"/>
        <v>439502.61863922875</v>
      </c>
      <c r="P26" s="179"/>
      <c r="Q26" s="187">
        <f t="shared" si="3"/>
        <v>72863161.409110427</v>
      </c>
      <c r="R26" s="187">
        <f t="shared" si="3"/>
        <v>198391.21924794899</v>
      </c>
      <c r="S26" s="187">
        <f t="shared" si="3"/>
        <v>5387369.9235211359</v>
      </c>
      <c r="T26" s="187">
        <f t="shared" si="3"/>
        <v>78448922.55187951</v>
      </c>
      <c r="U26" s="187">
        <f t="shared" si="3"/>
        <v>73061552.628358379</v>
      </c>
    </row>
    <row r="27" spans="1:21" x14ac:dyDescent="0.25">
      <c r="A27" s="148">
        <f t="shared" si="0"/>
        <v>21</v>
      </c>
      <c r="B27" s="183"/>
      <c r="C27" s="148"/>
      <c r="D27" s="179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79"/>
      <c r="Q27" s="184"/>
      <c r="R27" s="184"/>
      <c r="S27" s="184"/>
      <c r="T27" s="184"/>
      <c r="U27" s="184"/>
    </row>
    <row r="28" spans="1:21" x14ac:dyDescent="0.25">
      <c r="A28" s="148">
        <f t="shared" si="0"/>
        <v>22</v>
      </c>
      <c r="B28" s="183"/>
      <c r="C28" s="150" t="s">
        <v>286</v>
      </c>
      <c r="D28" s="179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79"/>
      <c r="Q28" s="184"/>
      <c r="R28" s="184"/>
      <c r="S28" s="184"/>
      <c r="T28" s="184"/>
      <c r="U28" s="184"/>
    </row>
    <row r="29" spans="1:21" x14ac:dyDescent="0.25">
      <c r="A29" s="148">
        <f t="shared" si="0"/>
        <v>23</v>
      </c>
      <c r="B29" s="183">
        <v>360.01</v>
      </c>
      <c r="C29" s="148" t="s">
        <v>287</v>
      </c>
      <c r="D29" s="179" t="s">
        <v>288</v>
      </c>
      <c r="E29" s="184">
        <v>5368160.9644597787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4625429.5874469783</v>
      </c>
      <c r="L29" s="184">
        <v>742731.37701280008</v>
      </c>
      <c r="M29" s="184">
        <v>0</v>
      </c>
      <c r="N29" s="184">
        <v>0</v>
      </c>
      <c r="O29" s="184">
        <v>0</v>
      </c>
      <c r="P29" s="179"/>
      <c r="Q29" s="184">
        <v>0</v>
      </c>
      <c r="R29" s="184">
        <v>0</v>
      </c>
      <c r="S29" s="184">
        <v>0</v>
      </c>
      <c r="T29" s="184">
        <f t="shared" ref="T29:T49" si="4">SUM(Q29:S29)</f>
        <v>0</v>
      </c>
      <c r="U29" s="184">
        <f t="shared" ref="U29:U49" si="5">SUM(Q29:R29)</f>
        <v>0</v>
      </c>
    </row>
    <row r="30" spans="1:21" x14ac:dyDescent="0.25">
      <c r="A30" s="148">
        <f t="shared" si="0"/>
        <v>24</v>
      </c>
      <c r="B30" s="183">
        <v>360.02</v>
      </c>
      <c r="C30" s="148" t="s">
        <v>289</v>
      </c>
      <c r="D30" s="179" t="s">
        <v>290</v>
      </c>
      <c r="E30" s="184">
        <v>40674420.272206821</v>
      </c>
      <c r="F30" s="184">
        <v>16652330.246595021</v>
      </c>
      <c r="G30" s="184">
        <v>6511045.5482309116</v>
      </c>
      <c r="H30" s="184">
        <v>8190746.9767189138</v>
      </c>
      <c r="I30" s="184">
        <v>4650678.3549073739</v>
      </c>
      <c r="J30" s="184">
        <v>4633325.1997884614</v>
      </c>
      <c r="K30" s="184">
        <v>0</v>
      </c>
      <c r="L30" s="184">
        <v>0</v>
      </c>
      <c r="M30" s="184">
        <v>0</v>
      </c>
      <c r="N30" s="184">
        <v>33605.73679784494</v>
      </c>
      <c r="O30" s="184">
        <v>2688.2091682951168</v>
      </c>
      <c r="P30" s="179"/>
      <c r="Q30" s="184">
        <v>4411162.3524258509</v>
      </c>
      <c r="R30" s="184">
        <v>825.82035425558468</v>
      </c>
      <c r="S30" s="184">
        <v>221337.02700835458</v>
      </c>
      <c r="T30" s="184">
        <f t="shared" si="4"/>
        <v>4633325.1997884614</v>
      </c>
      <c r="U30" s="184">
        <f t="shared" si="5"/>
        <v>4411988.1727801068</v>
      </c>
    </row>
    <row r="31" spans="1:21" x14ac:dyDescent="0.25">
      <c r="A31" s="148">
        <f t="shared" si="0"/>
        <v>25</v>
      </c>
      <c r="B31" s="183">
        <v>361.01</v>
      </c>
      <c r="C31" s="148" t="s">
        <v>291</v>
      </c>
      <c r="D31" s="179" t="s">
        <v>292</v>
      </c>
      <c r="E31" s="184">
        <v>696660.6761493294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340751.24407252943</v>
      </c>
      <c r="L31" s="184">
        <v>162866.1520768</v>
      </c>
      <c r="M31" s="184">
        <v>193043.28000000003</v>
      </c>
      <c r="N31" s="184">
        <v>0</v>
      </c>
      <c r="O31" s="184">
        <v>0</v>
      </c>
      <c r="P31" s="179"/>
      <c r="Q31" s="184">
        <v>0</v>
      </c>
      <c r="R31" s="184">
        <v>0</v>
      </c>
      <c r="S31" s="184">
        <v>0</v>
      </c>
      <c r="T31" s="184">
        <f t="shared" si="4"/>
        <v>0</v>
      </c>
      <c r="U31" s="184">
        <f t="shared" si="5"/>
        <v>0</v>
      </c>
    </row>
    <row r="32" spans="1:21" x14ac:dyDescent="0.25">
      <c r="A32" s="148">
        <f t="shared" si="0"/>
        <v>26</v>
      </c>
      <c r="B32" s="183">
        <v>361.02</v>
      </c>
      <c r="C32" s="148" t="s">
        <v>293</v>
      </c>
      <c r="D32" s="179" t="s">
        <v>294</v>
      </c>
      <c r="E32" s="184">
        <v>7274465.1559340004</v>
      </c>
      <c r="F32" s="184">
        <v>3608216.6419459647</v>
      </c>
      <c r="G32" s="184">
        <v>1062478.7889036175</v>
      </c>
      <c r="H32" s="184">
        <v>1276230.6404620162</v>
      </c>
      <c r="I32" s="184">
        <v>795970.25599712576</v>
      </c>
      <c r="J32" s="184">
        <v>524416.23448540224</v>
      </c>
      <c r="K32" s="184">
        <v>0</v>
      </c>
      <c r="L32" s="184">
        <v>0</v>
      </c>
      <c r="M32" s="184">
        <v>0</v>
      </c>
      <c r="N32" s="184">
        <v>6370.6521564746727</v>
      </c>
      <c r="O32" s="184">
        <v>781.94198339942272</v>
      </c>
      <c r="P32" s="179"/>
      <c r="Q32" s="184">
        <v>460324.0468270792</v>
      </c>
      <c r="R32" s="184">
        <v>0</v>
      </c>
      <c r="S32" s="184">
        <v>64092.187658322975</v>
      </c>
      <c r="T32" s="184">
        <f t="shared" si="4"/>
        <v>524416.23448540224</v>
      </c>
      <c r="U32" s="184">
        <f t="shared" si="5"/>
        <v>460324.0468270792</v>
      </c>
    </row>
    <row r="33" spans="1:21" x14ac:dyDescent="0.25">
      <c r="A33" s="148">
        <f t="shared" si="0"/>
        <v>27</v>
      </c>
      <c r="B33" s="183">
        <v>362.01</v>
      </c>
      <c r="C33" s="148" t="s">
        <v>295</v>
      </c>
      <c r="D33" s="179" t="s">
        <v>296</v>
      </c>
      <c r="E33" s="184">
        <v>35097708.251315653</v>
      </c>
      <c r="F33" s="184">
        <v>0</v>
      </c>
      <c r="G33" s="184">
        <v>0</v>
      </c>
      <c r="H33" s="184">
        <v>0</v>
      </c>
      <c r="I33" s="184">
        <v>0</v>
      </c>
      <c r="J33" s="184">
        <v>761541.00886707939</v>
      </c>
      <c r="K33" s="184">
        <v>13560393.247539967</v>
      </c>
      <c r="L33" s="184">
        <v>14201762.606173621</v>
      </c>
      <c r="M33" s="184">
        <v>6574011.3887349814</v>
      </c>
      <c r="N33" s="184">
        <v>0</v>
      </c>
      <c r="O33" s="184">
        <v>0</v>
      </c>
      <c r="P33" s="179"/>
      <c r="Q33" s="184">
        <v>761541.00886707939</v>
      </c>
      <c r="R33" s="184">
        <v>0</v>
      </c>
      <c r="S33" s="184">
        <v>0</v>
      </c>
      <c r="T33" s="184">
        <f t="shared" si="4"/>
        <v>761541.00886707939</v>
      </c>
      <c r="U33" s="184">
        <f t="shared" si="5"/>
        <v>761541.00886707939</v>
      </c>
    </row>
    <row r="34" spans="1:21" x14ac:dyDescent="0.25">
      <c r="A34" s="148">
        <f t="shared" si="0"/>
        <v>28</v>
      </c>
      <c r="B34" s="183">
        <v>362.02</v>
      </c>
      <c r="C34" s="148" t="s">
        <v>297</v>
      </c>
      <c r="D34" s="179" t="s">
        <v>298</v>
      </c>
      <c r="E34" s="184">
        <v>382771525.11910033</v>
      </c>
      <c r="F34" s="184">
        <v>208447896.19434407</v>
      </c>
      <c r="G34" s="184">
        <v>53924614.375055522</v>
      </c>
      <c r="H34" s="184">
        <v>58078548.225764371</v>
      </c>
      <c r="I34" s="184">
        <v>32918182.582390293</v>
      </c>
      <c r="J34" s="184">
        <v>28923531.712034073</v>
      </c>
      <c r="K34" s="184">
        <v>0</v>
      </c>
      <c r="L34" s="184">
        <v>0</v>
      </c>
      <c r="M34" s="184">
        <v>0</v>
      </c>
      <c r="N34" s="184">
        <v>369107.23564576328</v>
      </c>
      <c r="O34" s="184">
        <v>109644.79386626516</v>
      </c>
      <c r="P34" s="179"/>
      <c r="Q34" s="184">
        <v>25531157.873123337</v>
      </c>
      <c r="R34" s="184">
        <v>93281.092550123896</v>
      </c>
      <c r="S34" s="184">
        <v>3299092.7463606107</v>
      </c>
      <c r="T34" s="184">
        <f t="shared" si="4"/>
        <v>28923531.712034073</v>
      </c>
      <c r="U34" s="184">
        <f t="shared" si="5"/>
        <v>25624438.965673462</v>
      </c>
    </row>
    <row r="35" spans="1:21" x14ac:dyDescent="0.25">
      <c r="A35" s="148">
        <f t="shared" si="0"/>
        <v>29</v>
      </c>
      <c r="B35" s="183">
        <v>363.01</v>
      </c>
      <c r="C35" s="148" t="s">
        <v>299</v>
      </c>
      <c r="D35" s="179" t="s">
        <v>300</v>
      </c>
      <c r="E35" s="184">
        <v>2897295.0557666672</v>
      </c>
      <c r="F35" s="184">
        <v>1577795.1581976237</v>
      </c>
      <c r="G35" s="184">
        <v>408169.12534013449</v>
      </c>
      <c r="H35" s="184">
        <v>439611.30747187947</v>
      </c>
      <c r="I35" s="184">
        <v>249166.09878728064</v>
      </c>
      <c r="J35" s="184">
        <v>218929.57005752227</v>
      </c>
      <c r="K35" s="184">
        <v>0</v>
      </c>
      <c r="L35" s="184">
        <v>0</v>
      </c>
      <c r="M35" s="184">
        <v>0</v>
      </c>
      <c r="N35" s="184">
        <v>2793.8665723669537</v>
      </c>
      <c r="O35" s="184">
        <v>829.92933985996103</v>
      </c>
      <c r="P35" s="179"/>
      <c r="Q35" s="184">
        <v>193251.82940601997</v>
      </c>
      <c r="R35" s="184">
        <v>706.06832145597537</v>
      </c>
      <c r="S35" s="184">
        <v>24971.672330046335</v>
      </c>
      <c r="T35" s="184">
        <f t="shared" si="4"/>
        <v>218929.57005752227</v>
      </c>
      <c r="U35" s="184">
        <f t="shared" si="5"/>
        <v>193957.89772747594</v>
      </c>
    </row>
    <row r="36" spans="1:21" x14ac:dyDescent="0.25">
      <c r="A36" s="148">
        <f t="shared" si="0"/>
        <v>30</v>
      </c>
      <c r="B36" s="183">
        <v>364.01</v>
      </c>
      <c r="C36" s="148" t="s">
        <v>301</v>
      </c>
      <c r="D36" s="179" t="s">
        <v>302</v>
      </c>
      <c r="E36" s="184">
        <v>332822112.07291597</v>
      </c>
      <c r="F36" s="184">
        <v>226091887.13043806</v>
      </c>
      <c r="G36" s="184">
        <v>43352567.342443854</v>
      </c>
      <c r="H36" s="184">
        <v>33490237.154935446</v>
      </c>
      <c r="I36" s="184">
        <v>13954934.590092976</v>
      </c>
      <c r="J36" s="184">
        <v>15478495.486796165</v>
      </c>
      <c r="K36" s="184">
        <v>0</v>
      </c>
      <c r="L36" s="184">
        <v>0</v>
      </c>
      <c r="M36" s="184">
        <v>0</v>
      </c>
      <c r="N36" s="184">
        <v>217794.93714399997</v>
      </c>
      <c r="O36" s="184">
        <v>236195.43106553608</v>
      </c>
      <c r="P36" s="179"/>
      <c r="Q36" s="184">
        <v>11887388.182182193</v>
      </c>
      <c r="R36" s="184">
        <v>266305.33020986785</v>
      </c>
      <c r="S36" s="184">
        <v>3324801.9744041041</v>
      </c>
      <c r="T36" s="184">
        <f t="shared" si="4"/>
        <v>15478495.486796165</v>
      </c>
      <c r="U36" s="184">
        <f t="shared" si="5"/>
        <v>12153693.512392061</v>
      </c>
    </row>
    <row r="37" spans="1:21" x14ac:dyDescent="0.25">
      <c r="A37" s="148">
        <f t="shared" si="0"/>
        <v>31</v>
      </c>
      <c r="B37" s="183">
        <v>365.01</v>
      </c>
      <c r="C37" s="148" t="s">
        <v>303</v>
      </c>
      <c r="D37" s="179" t="s">
        <v>304</v>
      </c>
      <c r="E37" s="184">
        <v>1570594.1159978251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184">
        <v>1570594.1159978251</v>
      </c>
      <c r="L37" s="184">
        <v>0</v>
      </c>
      <c r="M37" s="184">
        <v>0</v>
      </c>
      <c r="N37" s="184">
        <v>0</v>
      </c>
      <c r="O37" s="184">
        <v>0</v>
      </c>
      <c r="P37" s="179"/>
      <c r="Q37" s="184">
        <v>0</v>
      </c>
      <c r="R37" s="184">
        <v>0</v>
      </c>
      <c r="S37" s="184">
        <v>0</v>
      </c>
      <c r="T37" s="184">
        <f t="shared" si="4"/>
        <v>0</v>
      </c>
      <c r="U37" s="184">
        <f t="shared" si="5"/>
        <v>0</v>
      </c>
    </row>
    <row r="38" spans="1:21" x14ac:dyDescent="0.25">
      <c r="A38" s="148">
        <f t="shared" si="0"/>
        <v>32</v>
      </c>
      <c r="B38" s="183">
        <v>365.02</v>
      </c>
      <c r="C38" s="148" t="s">
        <v>305</v>
      </c>
      <c r="D38" s="179" t="s">
        <v>302</v>
      </c>
      <c r="E38" s="184">
        <v>390472823.71608514</v>
      </c>
      <c r="F38" s="184">
        <v>265255024.78567058</v>
      </c>
      <c r="G38" s="184">
        <v>50862003.369046398</v>
      </c>
      <c r="H38" s="184">
        <v>39291342.114745148</v>
      </c>
      <c r="I38" s="184">
        <v>16372177.558241922</v>
      </c>
      <c r="J38" s="184">
        <v>18159646.310644921</v>
      </c>
      <c r="K38" s="184">
        <v>0</v>
      </c>
      <c r="L38" s="184">
        <v>0</v>
      </c>
      <c r="M38" s="184">
        <v>0</v>
      </c>
      <c r="N38" s="184">
        <v>255520.89543573774</v>
      </c>
      <c r="O38" s="184">
        <v>277108.6823005082</v>
      </c>
      <c r="P38" s="179"/>
      <c r="Q38" s="184">
        <v>13946495.32507317</v>
      </c>
      <c r="R38" s="184">
        <v>312434.15171558713</v>
      </c>
      <c r="S38" s="184">
        <v>3900716.8338561621</v>
      </c>
      <c r="T38" s="184">
        <f t="shared" si="4"/>
        <v>18159646.310644921</v>
      </c>
      <c r="U38" s="184">
        <f t="shared" si="5"/>
        <v>14258929.476788757</v>
      </c>
    </row>
    <row r="39" spans="1:21" x14ac:dyDescent="0.25">
      <c r="A39" s="148">
        <f>+A37+1</f>
        <v>32</v>
      </c>
      <c r="B39" s="183">
        <v>366.01</v>
      </c>
      <c r="C39" s="148" t="s">
        <v>306</v>
      </c>
      <c r="D39" s="179" t="s">
        <v>307</v>
      </c>
      <c r="E39" s="184">
        <v>32721604.036191806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26065398.946191806</v>
      </c>
      <c r="L39" s="184">
        <v>6656205.0899999999</v>
      </c>
      <c r="M39" s="184">
        <v>0</v>
      </c>
      <c r="N39" s="184">
        <v>0</v>
      </c>
      <c r="O39" s="184">
        <v>0</v>
      </c>
      <c r="P39" s="179"/>
      <c r="Q39" s="184">
        <v>0</v>
      </c>
      <c r="R39" s="184">
        <v>0</v>
      </c>
      <c r="S39" s="184">
        <v>0</v>
      </c>
      <c r="T39" s="184">
        <f t="shared" si="4"/>
        <v>0</v>
      </c>
      <c r="U39" s="184">
        <f t="shared" si="5"/>
        <v>0</v>
      </c>
    </row>
    <row r="40" spans="1:21" x14ac:dyDescent="0.25">
      <c r="A40" s="148">
        <f t="shared" si="0"/>
        <v>33</v>
      </c>
      <c r="B40" s="183">
        <v>366.02</v>
      </c>
      <c r="C40" s="148" t="s">
        <v>308</v>
      </c>
      <c r="D40" s="179" t="s">
        <v>309</v>
      </c>
      <c r="E40" s="184">
        <v>626101392.58839118</v>
      </c>
      <c r="F40" s="184">
        <v>418008234.76924467</v>
      </c>
      <c r="G40" s="184">
        <v>77352113.352016091</v>
      </c>
      <c r="H40" s="184">
        <v>71386684.267556116</v>
      </c>
      <c r="I40" s="184">
        <v>30653550.071890745</v>
      </c>
      <c r="J40" s="184">
        <v>28229217.049654607</v>
      </c>
      <c r="K40" s="184">
        <v>0</v>
      </c>
      <c r="L40" s="184">
        <v>0</v>
      </c>
      <c r="M40" s="184">
        <v>0</v>
      </c>
      <c r="N40" s="184">
        <v>306312.14811090985</v>
      </c>
      <c r="O40" s="184">
        <v>165280.92991817844</v>
      </c>
      <c r="P40" s="179"/>
      <c r="Q40" s="184">
        <v>20866238.789438609</v>
      </c>
      <c r="R40" s="184">
        <v>232286.71231744002</v>
      </c>
      <c r="S40" s="184">
        <v>7130691.547898557</v>
      </c>
      <c r="T40" s="184">
        <f t="shared" si="4"/>
        <v>28229217.049654607</v>
      </c>
      <c r="U40" s="184">
        <f t="shared" si="5"/>
        <v>21098525.50175605</v>
      </c>
    </row>
    <row r="41" spans="1:21" x14ac:dyDescent="0.25">
      <c r="A41" s="148">
        <f t="shared" si="0"/>
        <v>34</v>
      </c>
      <c r="B41" s="183">
        <v>367.01</v>
      </c>
      <c r="C41" s="148" t="s">
        <v>310</v>
      </c>
      <c r="D41" s="179" t="s">
        <v>309</v>
      </c>
      <c r="E41" s="184">
        <v>839507907.99583304</v>
      </c>
      <c r="F41" s="184">
        <v>560486245.27954161</v>
      </c>
      <c r="G41" s="184">
        <v>103717563.36580877</v>
      </c>
      <c r="H41" s="184">
        <v>95718819.152369767</v>
      </c>
      <c r="I41" s="184">
        <v>41101805.551191904</v>
      </c>
      <c r="J41" s="184">
        <v>37851139.176902786</v>
      </c>
      <c r="K41" s="184">
        <v>0</v>
      </c>
      <c r="L41" s="184">
        <v>0</v>
      </c>
      <c r="M41" s="184">
        <v>0</v>
      </c>
      <c r="N41" s="184">
        <v>410718.57321894681</v>
      </c>
      <c r="O41" s="184">
        <v>221616.89679939006</v>
      </c>
      <c r="P41" s="179"/>
      <c r="Q41" s="184">
        <v>27978491.473152347</v>
      </c>
      <c r="R41" s="184">
        <v>311461.58469103469</v>
      </c>
      <c r="S41" s="184">
        <v>9561186.1190594006</v>
      </c>
      <c r="T41" s="184">
        <f t="shared" si="4"/>
        <v>37851139.176902786</v>
      </c>
      <c r="U41" s="184">
        <f t="shared" si="5"/>
        <v>28289953.057843383</v>
      </c>
    </row>
    <row r="42" spans="1:21" x14ac:dyDescent="0.25">
      <c r="A42" s="148">
        <f t="shared" si="0"/>
        <v>35</v>
      </c>
      <c r="B42" s="183" t="s">
        <v>311</v>
      </c>
      <c r="C42" s="148" t="s">
        <v>312</v>
      </c>
      <c r="D42" s="179" t="s">
        <v>313</v>
      </c>
      <c r="E42" s="184">
        <v>158181415.66</v>
      </c>
      <c r="F42" s="184">
        <v>115526683.12460129</v>
      </c>
      <c r="G42" s="184">
        <v>18108248.172830954</v>
      </c>
      <c r="H42" s="184">
        <v>2322391.4985946612</v>
      </c>
      <c r="I42" s="184">
        <v>29481.619275960766</v>
      </c>
      <c r="J42" s="184">
        <v>0</v>
      </c>
      <c r="K42" s="184">
        <v>0</v>
      </c>
      <c r="L42" s="184">
        <v>0</v>
      </c>
      <c r="M42" s="184">
        <v>0</v>
      </c>
      <c r="N42" s="184">
        <v>22194611.244697127</v>
      </c>
      <c r="O42" s="184">
        <v>0</v>
      </c>
      <c r="P42" s="179"/>
      <c r="Q42" s="184">
        <v>0</v>
      </c>
      <c r="R42" s="184">
        <v>0</v>
      </c>
      <c r="S42" s="184">
        <v>0</v>
      </c>
      <c r="T42" s="184">
        <f t="shared" si="4"/>
        <v>0</v>
      </c>
      <c r="U42" s="184">
        <f t="shared" si="5"/>
        <v>0</v>
      </c>
    </row>
    <row r="43" spans="1:21" x14ac:dyDescent="0.25">
      <c r="A43" s="148">
        <f t="shared" si="0"/>
        <v>36</v>
      </c>
      <c r="B43" s="183" t="s">
        <v>314</v>
      </c>
      <c r="C43" s="148" t="s">
        <v>315</v>
      </c>
      <c r="D43" s="179" t="s">
        <v>316</v>
      </c>
      <c r="E43" s="184">
        <v>296187610.29000002</v>
      </c>
      <c r="F43" s="184">
        <v>217855494.88272569</v>
      </c>
      <c r="G43" s="184">
        <v>42928899.365865998</v>
      </c>
      <c r="H43" s="184">
        <v>25988517.945842933</v>
      </c>
      <c r="I43" s="184">
        <v>8714606.3912499603</v>
      </c>
      <c r="J43" s="184">
        <v>0</v>
      </c>
      <c r="K43" s="184">
        <v>0</v>
      </c>
      <c r="L43" s="184">
        <v>0</v>
      </c>
      <c r="M43" s="184">
        <v>0</v>
      </c>
      <c r="N43" s="184">
        <v>682591.23001439066</v>
      </c>
      <c r="O43" s="184">
        <v>17500.474301096579</v>
      </c>
      <c r="P43" s="179"/>
      <c r="Q43" s="184">
        <v>0</v>
      </c>
      <c r="R43" s="184">
        <v>0</v>
      </c>
      <c r="S43" s="184">
        <v>0</v>
      </c>
      <c r="T43" s="184">
        <f t="shared" si="4"/>
        <v>0</v>
      </c>
      <c r="U43" s="184">
        <f t="shared" si="5"/>
        <v>0</v>
      </c>
    </row>
    <row r="44" spans="1:21" x14ac:dyDescent="0.25">
      <c r="A44" s="148">
        <f t="shared" si="0"/>
        <v>37</v>
      </c>
      <c r="B44" s="183">
        <v>368.03</v>
      </c>
      <c r="C44" s="148" t="s">
        <v>317</v>
      </c>
      <c r="D44" s="179" t="s">
        <v>318</v>
      </c>
      <c r="E44" s="184">
        <v>2959610.05</v>
      </c>
      <c r="F44" s="184">
        <v>0</v>
      </c>
      <c r="G44" s="184">
        <v>0</v>
      </c>
      <c r="H44" s="184">
        <v>0</v>
      </c>
      <c r="I44" s="184">
        <v>0</v>
      </c>
      <c r="J44" s="184">
        <v>860858.16999999993</v>
      </c>
      <c r="K44" s="184">
        <v>2079354.69</v>
      </c>
      <c r="L44" s="184">
        <v>0</v>
      </c>
      <c r="M44" s="184">
        <v>0</v>
      </c>
      <c r="N44" s="184">
        <v>0</v>
      </c>
      <c r="O44" s="184">
        <v>19397.189999999995</v>
      </c>
      <c r="P44" s="179"/>
      <c r="Q44" s="184">
        <v>813608.53999999992</v>
      </c>
      <c r="R44" s="184">
        <v>0</v>
      </c>
      <c r="S44" s="184">
        <v>47249.63</v>
      </c>
      <c r="T44" s="184">
        <f t="shared" si="4"/>
        <v>860858.16999999993</v>
      </c>
      <c r="U44" s="184">
        <f t="shared" si="5"/>
        <v>813608.53999999992</v>
      </c>
    </row>
    <row r="45" spans="1:21" x14ac:dyDescent="0.25">
      <c r="A45" s="148">
        <f t="shared" si="0"/>
        <v>38</v>
      </c>
      <c r="B45" s="183" t="s">
        <v>319</v>
      </c>
      <c r="C45" s="148" t="s">
        <v>320</v>
      </c>
      <c r="D45" s="179" t="s">
        <v>321</v>
      </c>
      <c r="E45" s="184">
        <v>39681227</v>
      </c>
      <c r="F45" s="184">
        <v>34421864.686668307</v>
      </c>
      <c r="G45" s="184">
        <v>5076816.6766513577</v>
      </c>
      <c r="H45" s="184">
        <v>179788.74464848876</v>
      </c>
      <c r="I45" s="184">
        <v>2756.892031849773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79"/>
      <c r="Q45" s="184">
        <v>0</v>
      </c>
      <c r="R45" s="184">
        <v>0</v>
      </c>
      <c r="S45" s="184">
        <v>0</v>
      </c>
      <c r="T45" s="184">
        <f t="shared" si="4"/>
        <v>0</v>
      </c>
      <c r="U45" s="184">
        <f t="shared" si="5"/>
        <v>0</v>
      </c>
    </row>
    <row r="46" spans="1:21" x14ac:dyDescent="0.25">
      <c r="A46" s="148">
        <f t="shared" si="0"/>
        <v>39</v>
      </c>
      <c r="B46" s="183" t="s">
        <v>322</v>
      </c>
      <c r="C46" s="148" t="s">
        <v>323</v>
      </c>
      <c r="D46" s="179" t="s">
        <v>324</v>
      </c>
      <c r="E46" s="184">
        <v>141200591</v>
      </c>
      <c r="F46" s="184">
        <v>141200591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79"/>
      <c r="Q46" s="184">
        <v>0</v>
      </c>
      <c r="R46" s="184">
        <v>0</v>
      </c>
      <c r="S46" s="184">
        <v>0</v>
      </c>
      <c r="T46" s="184">
        <f t="shared" si="4"/>
        <v>0</v>
      </c>
      <c r="U46" s="184">
        <f t="shared" si="5"/>
        <v>0</v>
      </c>
    </row>
    <row r="47" spans="1:21" x14ac:dyDescent="0.25">
      <c r="A47" s="148">
        <f t="shared" si="0"/>
        <v>40</v>
      </c>
      <c r="B47" s="183">
        <v>370.01</v>
      </c>
      <c r="C47" s="148" t="s">
        <v>325</v>
      </c>
      <c r="D47" s="179" t="s">
        <v>326</v>
      </c>
      <c r="E47" s="184">
        <v>136044280.14375001</v>
      </c>
      <c r="F47" s="184">
        <v>88452023.525747895</v>
      </c>
      <c r="G47" s="184">
        <v>25069993.600194659</v>
      </c>
      <c r="H47" s="184">
        <v>6816310.6654023929</v>
      </c>
      <c r="I47" s="184">
        <v>777623.28688800591</v>
      </c>
      <c r="J47" s="184">
        <v>12956708.119440977</v>
      </c>
      <c r="K47" s="184">
        <v>766009.46925425529</v>
      </c>
      <c r="L47" s="184">
        <v>418776.31203883816</v>
      </c>
      <c r="M47" s="184">
        <v>588094.24947242113</v>
      </c>
      <c r="N47" s="184">
        <v>0</v>
      </c>
      <c r="O47" s="184">
        <v>198740.91531056986</v>
      </c>
      <c r="P47" s="179"/>
      <c r="Q47" s="184">
        <v>9590070.5189442951</v>
      </c>
      <c r="R47" s="184">
        <v>22484.476366603812</v>
      </c>
      <c r="S47" s="184">
        <v>3344153.1241300781</v>
      </c>
      <c r="T47" s="184">
        <f t="shared" si="4"/>
        <v>12956708.119440977</v>
      </c>
      <c r="U47" s="184">
        <f t="shared" si="5"/>
        <v>9612554.9953108989</v>
      </c>
    </row>
    <row r="48" spans="1:21" x14ac:dyDescent="0.25">
      <c r="A48" s="148">
        <f t="shared" si="0"/>
        <v>41</v>
      </c>
      <c r="B48" s="183">
        <v>373</v>
      </c>
      <c r="C48" s="148" t="s">
        <v>327</v>
      </c>
      <c r="D48" s="179" t="s">
        <v>328</v>
      </c>
      <c r="E48" s="184">
        <v>52258330.571666598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52258330.571666598</v>
      </c>
      <c r="O48" s="184">
        <v>0</v>
      </c>
      <c r="P48" s="179"/>
      <c r="Q48" s="184">
        <v>0</v>
      </c>
      <c r="R48" s="184">
        <v>0</v>
      </c>
      <c r="S48" s="184">
        <v>0</v>
      </c>
      <c r="T48" s="184">
        <f t="shared" si="4"/>
        <v>0</v>
      </c>
      <c r="U48" s="184">
        <f t="shared" si="5"/>
        <v>0</v>
      </c>
    </row>
    <row r="49" spans="1:21" x14ac:dyDescent="0.25">
      <c r="A49" s="148">
        <f t="shared" si="0"/>
        <v>42</v>
      </c>
      <c r="B49" s="183">
        <v>374</v>
      </c>
      <c r="C49" s="148" t="s">
        <v>329</v>
      </c>
      <c r="D49" s="179" t="s">
        <v>330</v>
      </c>
      <c r="E49" s="184">
        <v>2659127.9012499899</v>
      </c>
      <c r="F49" s="184">
        <v>1758052.5926942304</v>
      </c>
      <c r="G49" s="184">
        <v>329262.86303178634</v>
      </c>
      <c r="H49" s="184">
        <v>286924.90902881743</v>
      </c>
      <c r="I49" s="184">
        <v>122099.12451455314</v>
      </c>
      <c r="J49" s="184">
        <v>119271.62001902043</v>
      </c>
      <c r="K49" s="184">
        <v>33054.946962483315</v>
      </c>
      <c r="L49" s="184">
        <v>7961.3750707726149</v>
      </c>
      <c r="M49" s="184">
        <v>0</v>
      </c>
      <c r="N49" s="184">
        <v>1423.7535129609316</v>
      </c>
      <c r="O49" s="184">
        <v>1076.7164153655633</v>
      </c>
      <c r="P49" s="179"/>
      <c r="Q49" s="184">
        <v>89321.835182081355</v>
      </c>
      <c r="R49" s="184">
        <v>1342.5887723738256</v>
      </c>
      <c r="S49" s="184">
        <v>28607.196064565243</v>
      </c>
      <c r="T49" s="184">
        <f t="shared" si="4"/>
        <v>119271.62001902043</v>
      </c>
      <c r="U49" s="184">
        <f t="shared" si="5"/>
        <v>90664.423954455182</v>
      </c>
    </row>
    <row r="50" spans="1:21" x14ac:dyDescent="0.25">
      <c r="A50" s="151">
        <f>+A49+1</f>
        <v>43</v>
      </c>
      <c r="B50" s="185"/>
      <c r="C50" s="151" t="s">
        <v>277</v>
      </c>
      <c r="D50" s="186"/>
      <c r="E50" s="187">
        <f t="shared" ref="E50:U50" si="6">SUM(E29:E49)</f>
        <v>3527148862.6370139</v>
      </c>
      <c r="F50" s="187">
        <f t="shared" si="6"/>
        <v>2299342340.018415</v>
      </c>
      <c r="G50" s="187">
        <f t="shared" si="6"/>
        <v>428703775.94542003</v>
      </c>
      <c r="H50" s="187">
        <f t="shared" si="6"/>
        <v>343466153.60354096</v>
      </c>
      <c r="I50" s="187">
        <f t="shared" si="6"/>
        <v>150343032.37745991</v>
      </c>
      <c r="J50" s="187">
        <f t="shared" si="6"/>
        <v>148717079.65869099</v>
      </c>
      <c r="K50" s="187">
        <f t="shared" si="6"/>
        <v>49040986.247465841</v>
      </c>
      <c r="L50" s="187">
        <f t="shared" si="6"/>
        <v>22190302.912372835</v>
      </c>
      <c r="M50" s="187">
        <f t="shared" si="6"/>
        <v>7355148.9182074033</v>
      </c>
      <c r="N50" s="187">
        <f t="shared" si="6"/>
        <v>76739180.844973132</v>
      </c>
      <c r="O50" s="187">
        <f t="shared" si="6"/>
        <v>1250862.1104684644</v>
      </c>
      <c r="P50" s="179"/>
      <c r="Q50" s="187">
        <f t="shared" si="6"/>
        <v>116529051.77462205</v>
      </c>
      <c r="R50" s="187">
        <f t="shared" si="6"/>
        <v>1241127.8252987426</v>
      </c>
      <c r="S50" s="187">
        <f t="shared" si="6"/>
        <v>30946900.058770202</v>
      </c>
      <c r="T50" s="187">
        <f t="shared" si="6"/>
        <v>148717079.65869099</v>
      </c>
      <c r="U50" s="187">
        <f t="shared" si="6"/>
        <v>117770179.59992082</v>
      </c>
    </row>
    <row r="51" spans="1:21" x14ac:dyDescent="0.25">
      <c r="A51" s="148">
        <f t="shared" si="0"/>
        <v>44</v>
      </c>
      <c r="B51" s="183"/>
      <c r="C51" s="148"/>
      <c r="D51" s="179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79"/>
      <c r="Q51" s="184"/>
      <c r="R51" s="184"/>
      <c r="S51" s="184"/>
      <c r="T51" s="184"/>
      <c r="U51" s="184"/>
    </row>
    <row r="52" spans="1:21" x14ac:dyDescent="0.25">
      <c r="A52" s="148">
        <f t="shared" si="0"/>
        <v>45</v>
      </c>
      <c r="B52" s="183"/>
      <c r="C52" s="150" t="s">
        <v>275</v>
      </c>
      <c r="D52" s="179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79"/>
      <c r="Q52" s="184"/>
      <c r="R52" s="184"/>
      <c r="S52" s="184"/>
      <c r="T52" s="184"/>
      <c r="U52" s="184"/>
    </row>
    <row r="53" spans="1:21" x14ac:dyDescent="0.25">
      <c r="A53" s="148">
        <f t="shared" si="0"/>
        <v>46</v>
      </c>
      <c r="B53" s="183">
        <v>389</v>
      </c>
      <c r="C53" s="148" t="s">
        <v>331</v>
      </c>
      <c r="D53" s="179" t="s">
        <v>332</v>
      </c>
      <c r="E53" s="184">
        <v>34591566.081577167</v>
      </c>
      <c r="F53" s="184">
        <v>21196251.456623383</v>
      </c>
      <c r="G53" s="184">
        <v>4264016.5237157997</v>
      </c>
      <c r="H53" s="184">
        <v>3545951.8268920393</v>
      </c>
      <c r="I53" s="184">
        <v>2029993.6710878559</v>
      </c>
      <c r="J53" s="184">
        <v>1588216.6084786507</v>
      </c>
      <c r="K53" s="184">
        <v>641359.77412514307</v>
      </c>
      <c r="L53" s="184">
        <v>526761.90552403813</v>
      </c>
      <c r="M53" s="184">
        <v>373862.6239287486</v>
      </c>
      <c r="N53" s="184">
        <v>414806.94783389103</v>
      </c>
      <c r="O53" s="184">
        <v>10344.743367623774</v>
      </c>
      <c r="P53" s="179"/>
      <c r="Q53" s="184">
        <v>1398934.7289931579</v>
      </c>
      <c r="R53" s="184">
        <v>7042.0194862059434</v>
      </c>
      <c r="S53" s="184">
        <v>182239.859999287</v>
      </c>
      <c r="T53" s="184">
        <f t="shared" ref="T53:T63" si="7">SUM(Q53:S53)</f>
        <v>1588216.6084786507</v>
      </c>
      <c r="U53" s="184">
        <f t="shared" ref="U53:U63" si="8">SUM(Q53:R53)</f>
        <v>1405976.7484793637</v>
      </c>
    </row>
    <row r="54" spans="1:21" x14ac:dyDescent="0.25">
      <c r="A54" s="148">
        <f t="shared" si="0"/>
        <v>47</v>
      </c>
      <c r="B54" s="183">
        <v>390</v>
      </c>
      <c r="C54" s="148" t="s">
        <v>333</v>
      </c>
      <c r="D54" s="179" t="s">
        <v>332</v>
      </c>
      <c r="E54" s="184">
        <v>140669439.09722066</v>
      </c>
      <c r="F54" s="184">
        <v>86196294.100567997</v>
      </c>
      <c r="G54" s="184">
        <v>17339972.734331727</v>
      </c>
      <c r="H54" s="184">
        <v>14419903.781700231</v>
      </c>
      <c r="I54" s="184">
        <v>8255135.6712039579</v>
      </c>
      <c r="J54" s="184">
        <v>6458613.0316478452</v>
      </c>
      <c r="K54" s="184">
        <v>2608142.0966295404</v>
      </c>
      <c r="L54" s="184">
        <v>2142120.4698596606</v>
      </c>
      <c r="M54" s="184">
        <v>1520343.0074095784</v>
      </c>
      <c r="N54" s="184">
        <v>1686846.4569605018</v>
      </c>
      <c r="O54" s="184">
        <v>42067.746909653135</v>
      </c>
      <c r="P54" s="179"/>
      <c r="Q54" s="184">
        <v>5688882.7524318192</v>
      </c>
      <c r="R54" s="184">
        <v>28636.94950671406</v>
      </c>
      <c r="S54" s="184">
        <v>741093.32970931206</v>
      </c>
      <c r="T54" s="184">
        <f t="shared" si="7"/>
        <v>6458613.0316478452</v>
      </c>
      <c r="U54" s="184">
        <f t="shared" si="8"/>
        <v>5717519.7019385332</v>
      </c>
    </row>
    <row r="55" spans="1:21" x14ac:dyDescent="0.25">
      <c r="A55" s="148">
        <f t="shared" si="0"/>
        <v>48</v>
      </c>
      <c r="B55" s="183">
        <v>391</v>
      </c>
      <c r="C55" s="148" t="s">
        <v>334</v>
      </c>
      <c r="D55" s="179" t="s">
        <v>332</v>
      </c>
      <c r="E55" s="184">
        <v>83991254.610513493</v>
      </c>
      <c r="F55" s="184">
        <v>51466295.243275419</v>
      </c>
      <c r="G55" s="184">
        <v>10353393.560217826</v>
      </c>
      <c r="H55" s="184">
        <v>8609871.6093609575</v>
      </c>
      <c r="I55" s="184">
        <v>4928996.7064219499</v>
      </c>
      <c r="J55" s="184">
        <v>3856324.5510419663</v>
      </c>
      <c r="K55" s="184">
        <v>1557275.8966289109</v>
      </c>
      <c r="L55" s="184">
        <v>1279022.5577428238</v>
      </c>
      <c r="M55" s="184">
        <v>907770.14147612895</v>
      </c>
      <c r="N55" s="184">
        <v>1007186.4305756759</v>
      </c>
      <c r="O55" s="184">
        <v>25117.913771855863</v>
      </c>
      <c r="P55" s="179"/>
      <c r="Q55" s="184">
        <v>3396732.1031160662</v>
      </c>
      <c r="R55" s="184">
        <v>17098.620231395824</v>
      </c>
      <c r="S55" s="184">
        <v>442493.82769450382</v>
      </c>
      <c r="T55" s="184">
        <f t="shared" si="7"/>
        <v>3856324.5510419663</v>
      </c>
      <c r="U55" s="184">
        <f t="shared" si="8"/>
        <v>3413830.7233474622</v>
      </c>
    </row>
    <row r="56" spans="1:21" x14ac:dyDescent="0.25">
      <c r="A56" s="148">
        <f t="shared" si="0"/>
        <v>49</v>
      </c>
      <c r="B56" s="183">
        <v>392</v>
      </c>
      <c r="C56" s="148" t="s">
        <v>335</v>
      </c>
      <c r="D56" s="179" t="s">
        <v>332</v>
      </c>
      <c r="E56" s="184">
        <v>13379543.047083501</v>
      </c>
      <c r="F56" s="184">
        <v>8198419.1791691398</v>
      </c>
      <c r="G56" s="184">
        <v>1649263.0746462501</v>
      </c>
      <c r="H56" s="184">
        <v>1371525.5041908557</v>
      </c>
      <c r="I56" s="184">
        <v>785173.69359845668</v>
      </c>
      <c r="J56" s="184">
        <v>614300.38845654414</v>
      </c>
      <c r="K56" s="184">
        <v>248069.15900651395</v>
      </c>
      <c r="L56" s="184">
        <v>203744.27610191802</v>
      </c>
      <c r="M56" s="184">
        <v>144604.93227608775</v>
      </c>
      <c r="N56" s="184">
        <v>160441.63486800482</v>
      </c>
      <c r="O56" s="184">
        <v>4001.2047697333765</v>
      </c>
      <c r="P56" s="179"/>
      <c r="Q56" s="184">
        <v>541088.75505906716</v>
      </c>
      <c r="R56" s="184">
        <v>2723.7564969419691</v>
      </c>
      <c r="S56" s="184">
        <v>70487.876900534931</v>
      </c>
      <c r="T56" s="184">
        <f t="shared" si="7"/>
        <v>614300.38845654414</v>
      </c>
      <c r="U56" s="184">
        <f t="shared" si="8"/>
        <v>543812.51155600918</v>
      </c>
    </row>
    <row r="57" spans="1:21" x14ac:dyDescent="0.25">
      <c r="A57" s="148">
        <f t="shared" si="0"/>
        <v>50</v>
      </c>
      <c r="B57" s="183">
        <v>393</v>
      </c>
      <c r="C57" s="148" t="s">
        <v>336</v>
      </c>
      <c r="D57" s="179" t="s">
        <v>337</v>
      </c>
      <c r="E57" s="184">
        <v>798002.50228599901</v>
      </c>
      <c r="F57" s="184">
        <v>458913.62032085907</v>
      </c>
      <c r="G57" s="184">
        <v>100388.19309977721</v>
      </c>
      <c r="H57" s="184">
        <v>93341.340857582807</v>
      </c>
      <c r="I57" s="184">
        <v>53929.03868285424</v>
      </c>
      <c r="J57" s="184">
        <v>42110.927340398739</v>
      </c>
      <c r="K57" s="184">
        <v>16976.207996116926</v>
      </c>
      <c r="L57" s="184">
        <v>14064.126749448929</v>
      </c>
      <c r="M57" s="184">
        <v>9419.2684455122089</v>
      </c>
      <c r="N57" s="184">
        <v>8586.759216662409</v>
      </c>
      <c r="O57" s="184">
        <v>273.0195767865788</v>
      </c>
      <c r="P57" s="179"/>
      <c r="Q57" s="184">
        <v>37168.956376645998</v>
      </c>
      <c r="R57" s="184">
        <v>184.29562008332675</v>
      </c>
      <c r="S57" s="184">
        <v>4757.6753436694107</v>
      </c>
      <c r="T57" s="184">
        <f t="shared" si="7"/>
        <v>42110.927340398739</v>
      </c>
      <c r="U57" s="184">
        <f t="shared" si="8"/>
        <v>37353.251996729326</v>
      </c>
    </row>
    <row r="58" spans="1:21" x14ac:dyDescent="0.25">
      <c r="A58" s="148">
        <f t="shared" si="0"/>
        <v>51</v>
      </c>
      <c r="B58" s="183">
        <v>394</v>
      </c>
      <c r="C58" s="148" t="s">
        <v>338</v>
      </c>
      <c r="D58" s="179" t="s">
        <v>339</v>
      </c>
      <c r="E58" s="184">
        <v>13311690.639508801</v>
      </c>
      <c r="F58" s="184">
        <v>7684679.3125205422</v>
      </c>
      <c r="G58" s="184">
        <v>1672244.2690796752</v>
      </c>
      <c r="H58" s="184">
        <v>1548335.022258976</v>
      </c>
      <c r="I58" s="184">
        <v>888877.50079457683</v>
      </c>
      <c r="J58" s="184">
        <v>697790.33896758722</v>
      </c>
      <c r="K58" s="184">
        <v>280010.5591834127</v>
      </c>
      <c r="L58" s="184">
        <v>229796.29916874715</v>
      </c>
      <c r="M58" s="184">
        <v>157624.9663305858</v>
      </c>
      <c r="N58" s="184">
        <v>147774.39828772505</v>
      </c>
      <c r="O58" s="184">
        <v>4557.9729169743132</v>
      </c>
      <c r="P58" s="179"/>
      <c r="Q58" s="184">
        <v>614159.23396979517</v>
      </c>
      <c r="R58" s="184">
        <v>3123.589844132503</v>
      </c>
      <c r="S58" s="184">
        <v>80507.515153659537</v>
      </c>
      <c r="T58" s="184">
        <f t="shared" si="7"/>
        <v>697790.33896758722</v>
      </c>
      <c r="U58" s="184">
        <f t="shared" si="8"/>
        <v>617282.82381392771</v>
      </c>
    </row>
    <row r="59" spans="1:21" x14ac:dyDescent="0.25">
      <c r="A59" s="148">
        <f t="shared" si="0"/>
        <v>52</v>
      </c>
      <c r="B59" s="183">
        <v>395</v>
      </c>
      <c r="C59" s="148" t="s">
        <v>340</v>
      </c>
      <c r="D59" s="179" t="s">
        <v>339</v>
      </c>
      <c r="E59" s="184">
        <v>12031126.7299999</v>
      </c>
      <c r="F59" s="184">
        <v>6945425.1298432155</v>
      </c>
      <c r="G59" s="184">
        <v>1511376.9745445356</v>
      </c>
      <c r="H59" s="184">
        <v>1399387.6043067609</v>
      </c>
      <c r="I59" s="184">
        <v>803368.86944810743</v>
      </c>
      <c r="J59" s="184">
        <v>630663.9950129136</v>
      </c>
      <c r="K59" s="184">
        <v>253073.97944443856</v>
      </c>
      <c r="L59" s="184">
        <v>207690.25304558798</v>
      </c>
      <c r="M59" s="184">
        <v>142461.69003558077</v>
      </c>
      <c r="N59" s="184">
        <v>133558.73129836377</v>
      </c>
      <c r="O59" s="184">
        <v>4119.5030203953702</v>
      </c>
      <c r="P59" s="179"/>
      <c r="Q59" s="184">
        <v>555078.07207897352</v>
      </c>
      <c r="R59" s="184">
        <v>2823.105365426783</v>
      </c>
      <c r="S59" s="184">
        <v>72762.817568513332</v>
      </c>
      <c r="T59" s="184">
        <f t="shared" si="7"/>
        <v>630663.9950129136</v>
      </c>
      <c r="U59" s="184">
        <f t="shared" si="8"/>
        <v>557901.17744440027</v>
      </c>
    </row>
    <row r="60" spans="1:21" x14ac:dyDescent="0.25">
      <c r="A60" s="148">
        <f t="shared" si="0"/>
        <v>53</v>
      </c>
      <c r="B60" s="183">
        <v>396</v>
      </c>
      <c r="C60" s="148" t="s">
        <v>341</v>
      </c>
      <c r="D60" s="179" t="s">
        <v>339</v>
      </c>
      <c r="E60" s="184">
        <v>6323256.5831426596</v>
      </c>
      <c r="F60" s="184">
        <v>3650340.1685143705</v>
      </c>
      <c r="G60" s="184">
        <v>794341.59562701662</v>
      </c>
      <c r="H60" s="184">
        <v>735482.8088741306</v>
      </c>
      <c r="I60" s="184">
        <v>422230.40338879923</v>
      </c>
      <c r="J60" s="184">
        <v>331461.07988977106</v>
      </c>
      <c r="K60" s="184">
        <v>133009.29683949641</v>
      </c>
      <c r="L60" s="184">
        <v>109156.75558053823</v>
      </c>
      <c r="M60" s="184">
        <v>74874.269017289524</v>
      </c>
      <c r="N60" s="184">
        <v>70195.098586461943</v>
      </c>
      <c r="O60" s="184">
        <v>2165.1068247862527</v>
      </c>
      <c r="P60" s="179"/>
      <c r="Q60" s="184">
        <v>291735.02633626864</v>
      </c>
      <c r="R60" s="184">
        <v>1483.7529341560194</v>
      </c>
      <c r="S60" s="184">
        <v>38242.300619346403</v>
      </c>
      <c r="T60" s="184">
        <f t="shared" si="7"/>
        <v>331461.07988977106</v>
      </c>
      <c r="U60" s="184">
        <f t="shared" si="8"/>
        <v>293218.77927042468</v>
      </c>
    </row>
    <row r="61" spans="1:21" x14ac:dyDescent="0.25">
      <c r="A61" s="148">
        <f t="shared" si="0"/>
        <v>54</v>
      </c>
      <c r="B61" s="183">
        <v>397</v>
      </c>
      <c r="C61" s="148" t="s">
        <v>342</v>
      </c>
      <c r="D61" s="179" t="s">
        <v>332</v>
      </c>
      <c r="E61" s="184">
        <v>147993975.31044</v>
      </c>
      <c r="F61" s="184">
        <v>90684460.696217626</v>
      </c>
      <c r="G61" s="184">
        <v>18242850.139999568</v>
      </c>
      <c r="H61" s="184">
        <v>15170735.718743825</v>
      </c>
      <c r="I61" s="184">
        <v>8684973.4565596152</v>
      </c>
      <c r="J61" s="184">
        <v>6794907.4346189154</v>
      </c>
      <c r="K61" s="184">
        <v>2743945.8032383518</v>
      </c>
      <c r="L61" s="184">
        <v>2253658.83281369</v>
      </c>
      <c r="M61" s="184">
        <v>1599505.9548539768</v>
      </c>
      <c r="N61" s="184">
        <v>1774679.0952324779</v>
      </c>
      <c r="O61" s="184">
        <v>44258.178161997472</v>
      </c>
      <c r="P61" s="179"/>
      <c r="Q61" s="184">
        <v>5985097.9644946726</v>
      </c>
      <c r="R61" s="184">
        <v>30128.050736975561</v>
      </c>
      <c r="S61" s="184">
        <v>779681.41938726674</v>
      </c>
      <c r="T61" s="184">
        <f t="shared" si="7"/>
        <v>6794907.4346189154</v>
      </c>
      <c r="U61" s="184">
        <f t="shared" si="8"/>
        <v>6015226.0152316485</v>
      </c>
    </row>
    <row r="62" spans="1:21" x14ac:dyDescent="0.25">
      <c r="A62" s="148">
        <f t="shared" si="0"/>
        <v>55</v>
      </c>
      <c r="B62" s="183">
        <v>398</v>
      </c>
      <c r="C62" s="148" t="s">
        <v>343</v>
      </c>
      <c r="D62" s="179" t="s">
        <v>332</v>
      </c>
      <c r="E62" s="184">
        <v>967417.93570825004</v>
      </c>
      <c r="F62" s="184">
        <v>592792.87270663679</v>
      </c>
      <c r="G62" s="184">
        <v>119251.20861746566</v>
      </c>
      <c r="H62" s="184">
        <v>99169.18443076135</v>
      </c>
      <c r="I62" s="184">
        <v>56772.5752038309</v>
      </c>
      <c r="J62" s="184">
        <v>44417.452196541912</v>
      </c>
      <c r="K62" s="184">
        <v>17936.827354599085</v>
      </c>
      <c r="L62" s="184">
        <v>14731.883316587167</v>
      </c>
      <c r="M62" s="184">
        <v>10455.768525387595</v>
      </c>
      <c r="N62" s="184">
        <v>11600.853232390167</v>
      </c>
      <c r="O62" s="184">
        <v>289.31012404980754</v>
      </c>
      <c r="P62" s="179"/>
      <c r="Q62" s="184">
        <v>39123.829910491186</v>
      </c>
      <c r="R62" s="184">
        <v>196.94326468181731</v>
      </c>
      <c r="S62" s="184">
        <v>5096.679021368911</v>
      </c>
      <c r="T62" s="184">
        <f t="shared" si="7"/>
        <v>44417.452196541912</v>
      </c>
      <c r="U62" s="184">
        <f t="shared" si="8"/>
        <v>39320.773175173003</v>
      </c>
    </row>
    <row r="63" spans="1:21" x14ac:dyDescent="0.25">
      <c r="A63" s="148">
        <f t="shared" si="0"/>
        <v>56</v>
      </c>
      <c r="B63" s="183">
        <v>399</v>
      </c>
      <c r="C63" s="148" t="s">
        <v>344</v>
      </c>
      <c r="D63" s="179" t="s">
        <v>332</v>
      </c>
      <c r="E63" s="184">
        <v>545833.37664433336</v>
      </c>
      <c r="F63" s="184">
        <v>334463.65155849012</v>
      </c>
      <c r="G63" s="184">
        <v>67283.526039793287</v>
      </c>
      <c r="H63" s="184">
        <v>55952.912178828337</v>
      </c>
      <c r="I63" s="184">
        <v>32032.036290101118</v>
      </c>
      <c r="J63" s="184">
        <v>25061.069285041965</v>
      </c>
      <c r="K63" s="184">
        <v>10120.257935966001</v>
      </c>
      <c r="L63" s="184">
        <v>8311.9749161319178</v>
      </c>
      <c r="M63" s="184">
        <v>5899.3194450603823</v>
      </c>
      <c r="N63" s="184">
        <v>6545.3953850411908</v>
      </c>
      <c r="O63" s="184">
        <v>163.23360987915441</v>
      </c>
      <c r="P63" s="179"/>
      <c r="Q63" s="184">
        <v>22074.319070452035</v>
      </c>
      <c r="R63" s="184">
        <v>111.11868325031125</v>
      </c>
      <c r="S63" s="184">
        <v>2875.6315313396199</v>
      </c>
      <c r="T63" s="184">
        <f t="shared" si="7"/>
        <v>25061.069285041965</v>
      </c>
      <c r="U63" s="184">
        <f t="shared" si="8"/>
        <v>22185.437753702347</v>
      </c>
    </row>
    <row r="64" spans="1:21" x14ac:dyDescent="0.25">
      <c r="A64" s="151">
        <f t="shared" si="0"/>
        <v>57</v>
      </c>
      <c r="B64" s="185"/>
      <c r="C64" s="151" t="s">
        <v>277</v>
      </c>
      <c r="D64" s="186"/>
      <c r="E64" s="187">
        <f t="shared" ref="E64:N64" si="9">SUM(E53:E63)</f>
        <v>454603105.91412473</v>
      </c>
      <c r="F64" s="187">
        <f t="shared" si="9"/>
        <v>277408335.43131769</v>
      </c>
      <c r="G64" s="187">
        <f t="shared" si="9"/>
        <v>56114381.799919434</v>
      </c>
      <c r="H64" s="187">
        <f t="shared" si="9"/>
        <v>47049657.313794948</v>
      </c>
      <c r="I64" s="187">
        <f t="shared" si="9"/>
        <v>26941483.622680102</v>
      </c>
      <c r="J64" s="187">
        <f t="shared" si="9"/>
        <v>21083866.876936175</v>
      </c>
      <c r="K64" s="187">
        <f t="shared" si="9"/>
        <v>8509919.8583824877</v>
      </c>
      <c r="L64" s="187">
        <f t="shared" si="9"/>
        <v>6989059.3348191706</v>
      </c>
      <c r="M64" s="187">
        <f t="shared" si="9"/>
        <v>4946821.9417439364</v>
      </c>
      <c r="N64" s="187">
        <f t="shared" si="9"/>
        <v>5422221.8014771957</v>
      </c>
      <c r="O64" s="187">
        <f>SUM(O53:O63)</f>
        <v>137357.93305373509</v>
      </c>
      <c r="P64" s="179"/>
      <c r="Q64" s="187">
        <f>SUM(Q53:Q63)</f>
        <v>18570075.741837408</v>
      </c>
      <c r="R64" s="187">
        <f>SUM(R53:R63)</f>
        <v>93552.202169964134</v>
      </c>
      <c r="S64" s="187">
        <f>SUM(S53:S63)</f>
        <v>2420238.9329288015</v>
      </c>
      <c r="T64" s="187">
        <f>SUM(T53:T63)</f>
        <v>21083866.876936175</v>
      </c>
      <c r="U64" s="187">
        <f>SUM(U53:U63)</f>
        <v>18663627.944007378</v>
      </c>
    </row>
    <row r="65" spans="1:21" x14ac:dyDescent="0.25">
      <c r="A65" s="148">
        <f t="shared" si="0"/>
        <v>58</v>
      </c>
      <c r="B65" s="183"/>
      <c r="C65" s="148"/>
      <c r="D65" s="179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79"/>
      <c r="Q65" s="184"/>
      <c r="R65" s="184"/>
      <c r="S65" s="184"/>
      <c r="T65" s="184"/>
      <c r="U65" s="184"/>
    </row>
    <row r="66" spans="1:21" x14ac:dyDescent="0.25">
      <c r="A66" s="151">
        <f t="shared" si="0"/>
        <v>59</v>
      </c>
      <c r="B66" s="185"/>
      <c r="C66" s="151" t="s">
        <v>345</v>
      </c>
      <c r="D66" s="186"/>
      <c r="E66" s="187">
        <f t="shared" ref="E66:N66" si="10">SUM(E64,E50,E26,E20,E14)</f>
        <v>9609442662.6340485</v>
      </c>
      <c r="F66" s="187">
        <f t="shared" si="10"/>
        <v>5545457488.6787891</v>
      </c>
      <c r="G66" s="187">
        <f t="shared" si="10"/>
        <v>1207741046.4684942</v>
      </c>
      <c r="H66" s="187">
        <f t="shared" si="10"/>
        <v>1116587567.8116324</v>
      </c>
      <c r="I66" s="187">
        <f t="shared" si="10"/>
        <v>645442293.35483623</v>
      </c>
      <c r="J66" s="187">
        <f t="shared" si="10"/>
        <v>503636009.16662079</v>
      </c>
      <c r="K66" s="187">
        <f t="shared" si="10"/>
        <v>203194457.72693482</v>
      </c>
      <c r="L66" s="187">
        <f t="shared" si="10"/>
        <v>168505770.75160074</v>
      </c>
      <c r="M66" s="187">
        <f t="shared" si="10"/>
        <v>111992210.30186239</v>
      </c>
      <c r="N66" s="187">
        <f t="shared" si="10"/>
        <v>103623580.21183598</v>
      </c>
      <c r="O66" s="187">
        <f>SUM(O64,O50,O26,O20,O14)</f>
        <v>3262238.1614442412</v>
      </c>
      <c r="P66" s="179"/>
      <c r="Q66" s="187">
        <f>SUM(Q64,Q50,Q26,Q20,Q14)</f>
        <v>444677165.9117772</v>
      </c>
      <c r="R66" s="187">
        <f>SUM(R64,R50,R26,R20,R14)</f>
        <v>2197864.487798091</v>
      </c>
      <c r="S66" s="187">
        <f>SUM(S64,S50,S26,S20,S14)</f>
        <v>56760978.767045557</v>
      </c>
      <c r="T66" s="187">
        <f>SUM(T64,T50,T26,T20,T14)</f>
        <v>503636009.16662079</v>
      </c>
      <c r="U66" s="187">
        <f>SUM(U64,U50,U26,U20,U14)</f>
        <v>446875030.39957529</v>
      </c>
    </row>
    <row r="67" spans="1:21" x14ac:dyDescent="0.25">
      <c r="A67" s="210">
        <f t="shared" si="0"/>
        <v>60</v>
      </c>
    </row>
    <row r="68" spans="1:21" x14ac:dyDescent="0.25">
      <c r="A68" s="210">
        <f t="shared" si="0"/>
        <v>61</v>
      </c>
      <c r="C68" s="207" t="s">
        <v>351</v>
      </c>
      <c r="E68" s="187">
        <f>SUM(F68:O68)</f>
        <v>-97368058.384898379</v>
      </c>
      <c r="F68" s="187">
        <v>0</v>
      </c>
      <c r="G68" s="187">
        <v>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f>-M24</f>
        <v>-97368058.384898379</v>
      </c>
      <c r="N68" s="187">
        <v>0</v>
      </c>
      <c r="O68" s="187">
        <v>0</v>
      </c>
      <c r="Q68" s="187">
        <v>0</v>
      </c>
      <c r="R68" s="187">
        <v>0</v>
      </c>
      <c r="S68" s="187">
        <v>0</v>
      </c>
      <c r="T68" s="187">
        <v>0</v>
      </c>
      <c r="U68" s="187">
        <v>0</v>
      </c>
    </row>
    <row r="69" spans="1:21" x14ac:dyDescent="0.25">
      <c r="A69" s="210">
        <f t="shared" si="0"/>
        <v>62</v>
      </c>
      <c r="C69" s="208" t="s">
        <v>352</v>
      </c>
      <c r="E69" s="187">
        <f>SUM(F69:O69)</f>
        <v>-6372890.3302391516</v>
      </c>
      <c r="M69" s="187">
        <f>+M68/SUM(M50,M26)*SUM(M14,M64)</f>
        <v>-6372890.3302391516</v>
      </c>
    </row>
    <row r="70" spans="1:21" x14ac:dyDescent="0.25">
      <c r="A70" s="209">
        <f t="shared" si="0"/>
        <v>63</v>
      </c>
      <c r="B70" s="185"/>
      <c r="C70" s="151" t="s">
        <v>353</v>
      </c>
      <c r="D70" s="186"/>
      <c r="E70" s="187">
        <f>SUM(E66:E69)</f>
        <v>9505701713.918911</v>
      </c>
      <c r="F70" s="187">
        <f t="shared" ref="F70:O70" si="11">SUM(F66:F69)</f>
        <v>5545457488.6787891</v>
      </c>
      <c r="G70" s="187">
        <f t="shared" si="11"/>
        <v>1207741046.4684942</v>
      </c>
      <c r="H70" s="187">
        <f t="shared" si="11"/>
        <v>1116587567.8116324</v>
      </c>
      <c r="I70" s="187">
        <f t="shared" si="11"/>
        <v>645442293.35483623</v>
      </c>
      <c r="J70" s="187">
        <f t="shared" si="11"/>
        <v>503636009.16662079</v>
      </c>
      <c r="K70" s="187">
        <f t="shared" si="11"/>
        <v>203194457.72693482</v>
      </c>
      <c r="L70" s="187">
        <f t="shared" si="11"/>
        <v>168505770.75160074</v>
      </c>
      <c r="M70" s="187">
        <f t="shared" si="11"/>
        <v>8251261.5867248578</v>
      </c>
      <c r="N70" s="187">
        <f t="shared" si="11"/>
        <v>103623580.21183598</v>
      </c>
      <c r="O70" s="187">
        <f t="shared" si="11"/>
        <v>3262238.1614442412</v>
      </c>
      <c r="Q70" s="187">
        <f t="shared" ref="Q70" si="12">SUM(Q66:Q69)</f>
        <v>444677165.9117772</v>
      </c>
      <c r="R70" s="187">
        <f t="shared" ref="R70" si="13">SUM(R66:R69)</f>
        <v>2197864.487798091</v>
      </c>
      <c r="S70" s="187">
        <f t="shared" ref="S70" si="14">SUM(S66:S69)</f>
        <v>56760978.767045557</v>
      </c>
      <c r="T70" s="187">
        <f t="shared" ref="T70" si="15">SUM(T66:T69)</f>
        <v>503636009.16662079</v>
      </c>
      <c r="U70" s="187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pane xSplit="4" ySplit="5" topLeftCell="F55" activePane="bottomRight" state="frozen"/>
      <selection activeCell="A67" sqref="A67:O70"/>
      <selection pane="topRight" activeCell="A67" sqref="A67:O70"/>
      <selection pane="bottomLeft" activeCell="A67" sqref="A67:O70"/>
      <selection pane="bottomRight" activeCell="A67" sqref="A67:O70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36.28515625" bestFit="1" customWidth="1"/>
    <col min="4" max="4" width="9.42578125" bestFit="1" customWidth="1"/>
    <col min="5" max="6" width="15.140625" bestFit="1" customWidth="1"/>
    <col min="7" max="12" width="13.5703125" bestFit="1" customWidth="1"/>
    <col min="13" max="13" width="14.7109375" bestFit="1" customWidth="1"/>
    <col min="14" max="14" width="12.42578125" bestFit="1" customWidth="1"/>
    <col min="15" max="15" width="11.42578125" bestFit="1" customWidth="1"/>
  </cols>
  <sheetData>
    <row r="1" spans="1:15" x14ac:dyDescent="0.25">
      <c r="A1" s="148"/>
      <c r="B1" s="229" t="s">
        <v>358</v>
      </c>
      <c r="C1" s="229"/>
      <c r="D1" s="229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x14ac:dyDescent="0.25">
      <c r="A2" s="148"/>
      <c r="B2" s="230" t="s">
        <v>359</v>
      </c>
      <c r="C2" s="230"/>
      <c r="D2" s="230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5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51" x14ac:dyDescent="0.25">
      <c r="A4" s="211" t="s">
        <v>1</v>
      </c>
      <c r="B4" s="211" t="s">
        <v>263</v>
      </c>
      <c r="C4" s="212" t="s">
        <v>264</v>
      </c>
      <c r="D4" s="212" t="s">
        <v>265</v>
      </c>
      <c r="E4" s="211" t="s">
        <v>38</v>
      </c>
      <c r="F4" s="211" t="s">
        <v>379</v>
      </c>
      <c r="G4" s="211" t="s">
        <v>380</v>
      </c>
      <c r="H4" s="211" t="s">
        <v>381</v>
      </c>
      <c r="I4" s="211" t="s">
        <v>382</v>
      </c>
      <c r="J4" s="211" t="s">
        <v>383</v>
      </c>
      <c r="K4" s="211" t="s">
        <v>384</v>
      </c>
      <c r="L4" s="211" t="s">
        <v>385</v>
      </c>
      <c r="M4" s="211" t="s">
        <v>386</v>
      </c>
      <c r="N4" s="211" t="s">
        <v>387</v>
      </c>
      <c r="O4" s="211" t="s">
        <v>388</v>
      </c>
    </row>
    <row r="5" spans="1:15" x14ac:dyDescent="0.25">
      <c r="A5" s="181"/>
      <c r="B5" s="181" t="s">
        <v>33</v>
      </c>
      <c r="C5" s="181" t="s">
        <v>32</v>
      </c>
      <c r="D5" s="181" t="s">
        <v>31</v>
      </c>
      <c r="E5" s="181" t="s">
        <v>35</v>
      </c>
      <c r="F5" s="181" t="s">
        <v>34</v>
      </c>
      <c r="G5" s="181" t="s">
        <v>30</v>
      </c>
      <c r="H5" s="181" t="s">
        <v>193</v>
      </c>
      <c r="I5" s="181" t="s">
        <v>109</v>
      </c>
      <c r="J5" s="181" t="s">
        <v>266</v>
      </c>
      <c r="K5" s="181" t="s">
        <v>267</v>
      </c>
      <c r="L5" s="181" t="s">
        <v>194</v>
      </c>
      <c r="M5" s="181" t="s">
        <v>195</v>
      </c>
      <c r="N5" s="181" t="s">
        <v>196</v>
      </c>
      <c r="O5" s="181" t="s">
        <v>197</v>
      </c>
    </row>
    <row r="6" spans="1:15" x14ac:dyDescent="0.25">
      <c r="A6" s="148">
        <v>1</v>
      </c>
      <c r="B6" s="148"/>
      <c r="C6" s="150" t="s">
        <v>268</v>
      </c>
      <c r="D6" s="148"/>
      <c r="E6" s="148"/>
      <c r="F6" s="213"/>
      <c r="G6" s="213"/>
      <c r="H6" s="213"/>
      <c r="I6" s="213"/>
      <c r="J6" s="213"/>
      <c r="K6" s="213"/>
      <c r="L6" s="213"/>
      <c r="M6" s="213"/>
      <c r="N6" s="213"/>
      <c r="O6" s="213"/>
    </row>
    <row r="7" spans="1:15" x14ac:dyDescent="0.25">
      <c r="A7" s="148">
        <f t="shared" ref="A7:A70" si="0">+A6+1</f>
        <v>2</v>
      </c>
      <c r="B7" s="148"/>
      <c r="C7" s="148"/>
      <c r="D7" s="148"/>
      <c r="E7" s="148"/>
      <c r="F7" s="213"/>
      <c r="G7" s="213"/>
      <c r="H7" s="213"/>
      <c r="I7" s="213"/>
      <c r="J7" s="213"/>
      <c r="K7" s="213"/>
      <c r="L7" s="213"/>
      <c r="M7" s="213"/>
      <c r="N7" s="213"/>
      <c r="O7" s="213"/>
    </row>
    <row r="8" spans="1:15" x14ac:dyDescent="0.25">
      <c r="A8" s="148">
        <f t="shared" si="0"/>
        <v>3</v>
      </c>
      <c r="B8" s="148"/>
      <c r="C8" s="150" t="s">
        <v>269</v>
      </c>
      <c r="D8" s="148"/>
      <c r="E8" s="148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x14ac:dyDescent="0.25">
      <c r="A9" s="148">
        <f t="shared" si="0"/>
        <v>4</v>
      </c>
      <c r="B9" s="148"/>
      <c r="C9" s="150" t="s">
        <v>270</v>
      </c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</row>
    <row r="10" spans="1:15" x14ac:dyDescent="0.25">
      <c r="A10" s="148">
        <f t="shared" si="0"/>
        <v>5</v>
      </c>
      <c r="B10" s="183">
        <v>300</v>
      </c>
      <c r="C10" s="148" t="s">
        <v>271</v>
      </c>
      <c r="D10" s="148" t="s">
        <v>272</v>
      </c>
      <c r="E10" s="214">
        <v>52790811</v>
      </c>
      <c r="F10" s="214">
        <v>28111653.511935383</v>
      </c>
      <c r="G10" s="214">
        <v>6373335.9834438479</v>
      </c>
      <c r="H10" s="214">
        <v>7067583.8704590052</v>
      </c>
      <c r="I10" s="214">
        <v>4737126.6996890232</v>
      </c>
      <c r="J10" s="214">
        <v>3265920.2997641452</v>
      </c>
      <c r="K10" s="214">
        <v>1738911.5853916456</v>
      </c>
      <c r="L10" s="214">
        <v>1281041.4800670461</v>
      </c>
      <c r="M10" s="214">
        <v>0</v>
      </c>
      <c r="N10" s="214">
        <v>197025.36731074628</v>
      </c>
      <c r="O10" s="214">
        <v>18212.201939162249</v>
      </c>
    </row>
    <row r="11" spans="1:15" x14ac:dyDescent="0.25">
      <c r="A11" s="148">
        <f t="shared" si="0"/>
        <v>6</v>
      </c>
      <c r="B11" s="183">
        <v>300.01</v>
      </c>
      <c r="C11" s="148" t="s">
        <v>275</v>
      </c>
      <c r="D11" s="148" t="s">
        <v>276</v>
      </c>
      <c r="E11" s="214">
        <v>136762676</v>
      </c>
      <c r="F11" s="214">
        <v>83993232.829783365</v>
      </c>
      <c r="G11" s="214">
        <v>16314325.806672368</v>
      </c>
      <c r="H11" s="214">
        <v>13959563.468993891</v>
      </c>
      <c r="I11" s="214">
        <v>8216534.749301523</v>
      </c>
      <c r="J11" s="214">
        <v>6387715.9307379955</v>
      </c>
      <c r="K11" s="214">
        <v>3100663.7047658432</v>
      </c>
      <c r="L11" s="214">
        <v>1976919.8736979128</v>
      </c>
      <c r="M11" s="214">
        <v>1122789.0657526962</v>
      </c>
      <c r="N11" s="214">
        <v>1529538.5307467594</v>
      </c>
      <c r="O11" s="214">
        <v>161392.03954769939</v>
      </c>
    </row>
    <row r="12" spans="1:15" x14ac:dyDescent="0.25">
      <c r="A12" s="151">
        <f>+A11+1</f>
        <v>7</v>
      </c>
      <c r="B12" s="185"/>
      <c r="C12" s="151" t="s">
        <v>277</v>
      </c>
      <c r="D12" s="151"/>
      <c r="E12" s="215">
        <f t="shared" ref="E12:O12" si="1">SUM(E10:E11)</f>
        <v>189553487</v>
      </c>
      <c r="F12" s="215">
        <f t="shared" si="1"/>
        <v>112104886.34171875</v>
      </c>
      <c r="G12" s="215">
        <f t="shared" si="1"/>
        <v>22687661.790116217</v>
      </c>
      <c r="H12" s="215">
        <f t="shared" si="1"/>
        <v>21027147.339452896</v>
      </c>
      <c r="I12" s="215">
        <f t="shared" si="1"/>
        <v>12953661.448990546</v>
      </c>
      <c r="J12" s="215">
        <f t="shared" si="1"/>
        <v>9653636.2305021398</v>
      </c>
      <c r="K12" s="215">
        <f t="shared" si="1"/>
        <v>4839575.2901574885</v>
      </c>
      <c r="L12" s="215">
        <f t="shared" si="1"/>
        <v>3257961.3537649587</v>
      </c>
      <c r="M12" s="215">
        <f t="shared" si="1"/>
        <v>1122789.0657526962</v>
      </c>
      <c r="N12" s="215">
        <f t="shared" si="1"/>
        <v>1726563.8980575057</v>
      </c>
      <c r="O12" s="215">
        <f t="shared" si="1"/>
        <v>179604.24148686163</v>
      </c>
    </row>
    <row r="13" spans="1:15" x14ac:dyDescent="0.25">
      <c r="A13" s="148">
        <f t="shared" si="0"/>
        <v>8</v>
      </c>
      <c r="B13" s="183"/>
      <c r="C13" s="148"/>
      <c r="D13" s="148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</row>
    <row r="14" spans="1:15" x14ac:dyDescent="0.25">
      <c r="A14" s="148">
        <f t="shared" si="0"/>
        <v>9</v>
      </c>
      <c r="B14" s="183"/>
      <c r="C14" s="150" t="s">
        <v>271</v>
      </c>
      <c r="D14" s="148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15" x14ac:dyDescent="0.25">
      <c r="A15" s="148">
        <f t="shared" si="0"/>
        <v>10</v>
      </c>
      <c r="B15" s="183">
        <v>310</v>
      </c>
      <c r="C15" s="148" t="s">
        <v>278</v>
      </c>
      <c r="D15" s="148" t="s">
        <v>274</v>
      </c>
      <c r="E15" s="214">
        <v>1108157180</v>
      </c>
      <c r="F15" s="214">
        <v>590105173.43488836</v>
      </c>
      <c r="G15" s="214">
        <v>133785745.9815433</v>
      </c>
      <c r="H15" s="214">
        <v>148359035.65302941</v>
      </c>
      <c r="I15" s="214">
        <v>99439293.797363609</v>
      </c>
      <c r="J15" s="214">
        <v>68556496.119966581</v>
      </c>
      <c r="K15" s="214">
        <v>36502325.352359809</v>
      </c>
      <c r="L15" s="214">
        <v>26890954.829508569</v>
      </c>
      <c r="M15" s="214">
        <v>0</v>
      </c>
      <c r="N15" s="214">
        <v>4135853.7838628921</v>
      </c>
      <c r="O15" s="214">
        <v>382301.04747761064</v>
      </c>
    </row>
    <row r="16" spans="1:15" x14ac:dyDescent="0.25">
      <c r="A16" s="148">
        <f t="shared" si="0"/>
        <v>11</v>
      </c>
      <c r="B16" s="183">
        <v>330</v>
      </c>
      <c r="C16" s="148" t="s">
        <v>279</v>
      </c>
      <c r="D16" s="148" t="s">
        <v>274</v>
      </c>
      <c r="E16" s="214">
        <v>265007486</v>
      </c>
      <c r="F16" s="214">
        <v>141119230.47556642</v>
      </c>
      <c r="G16" s="214">
        <v>31993858.673733804</v>
      </c>
      <c r="H16" s="214">
        <v>35478951.698705494</v>
      </c>
      <c r="I16" s="214">
        <v>23780161.997285191</v>
      </c>
      <c r="J16" s="214">
        <v>16394772.342422672</v>
      </c>
      <c r="K16" s="214">
        <v>8729257.5903202984</v>
      </c>
      <c r="L16" s="214">
        <v>6430770.3492997494</v>
      </c>
      <c r="M16" s="214">
        <v>0</v>
      </c>
      <c r="N16" s="214">
        <v>989058.44180434081</v>
      </c>
      <c r="O16" s="214">
        <v>91424.430862062582</v>
      </c>
    </row>
    <row r="17" spans="1:15" x14ac:dyDescent="0.25">
      <c r="A17" s="148">
        <f t="shared" si="0"/>
        <v>12</v>
      </c>
      <c r="B17" s="183">
        <v>340</v>
      </c>
      <c r="C17" s="148" t="s">
        <v>280</v>
      </c>
      <c r="D17" s="148" t="s">
        <v>274</v>
      </c>
      <c r="E17" s="214">
        <v>1885899257</v>
      </c>
      <c r="F17" s="214">
        <v>1004260883.0389132</v>
      </c>
      <c r="G17" s="214">
        <v>227681093.88939142</v>
      </c>
      <c r="H17" s="214">
        <v>252482409.67701408</v>
      </c>
      <c r="I17" s="214">
        <v>169229143.36850005</v>
      </c>
      <c r="J17" s="214">
        <v>116671756.88485669</v>
      </c>
      <c r="K17" s="214">
        <v>62120888.176519893</v>
      </c>
      <c r="L17" s="214">
        <v>45763933.716506504</v>
      </c>
      <c r="M17" s="214">
        <v>0</v>
      </c>
      <c r="N17" s="214">
        <v>7038535.4341589585</v>
      </c>
      <c r="O17" s="214">
        <v>650612.81413918873</v>
      </c>
    </row>
    <row r="18" spans="1:15" x14ac:dyDescent="0.25">
      <c r="A18" s="151">
        <f t="shared" si="0"/>
        <v>13</v>
      </c>
      <c r="B18" s="185"/>
      <c r="C18" s="151" t="s">
        <v>277</v>
      </c>
      <c r="D18" s="151"/>
      <c r="E18" s="215">
        <f>SUM(E15:E17)</f>
        <v>3259063923</v>
      </c>
      <c r="F18" s="215">
        <f t="shared" ref="F18:O18" si="2">SUM(F15:F17)</f>
        <v>1735485286.949368</v>
      </c>
      <c r="G18" s="215">
        <f t="shared" si="2"/>
        <v>393460698.54466856</v>
      </c>
      <c r="H18" s="215">
        <f t="shared" si="2"/>
        <v>436320397.02874899</v>
      </c>
      <c r="I18" s="215">
        <f t="shared" si="2"/>
        <v>292448599.16314888</v>
      </c>
      <c r="J18" s="215">
        <f t="shared" si="2"/>
        <v>201623025.34724593</v>
      </c>
      <c r="K18" s="215">
        <f t="shared" si="2"/>
        <v>107352471.11919999</v>
      </c>
      <c r="L18" s="215">
        <f t="shared" si="2"/>
        <v>79085658.895314813</v>
      </c>
      <c r="M18" s="215">
        <f t="shared" si="2"/>
        <v>0</v>
      </c>
      <c r="N18" s="215">
        <f t="shared" si="2"/>
        <v>12163447.659826191</v>
      </c>
      <c r="O18" s="215">
        <f t="shared" si="2"/>
        <v>1124338.292478862</v>
      </c>
    </row>
    <row r="19" spans="1:15" x14ac:dyDescent="0.25">
      <c r="A19" s="148">
        <f t="shared" si="0"/>
        <v>14</v>
      </c>
      <c r="B19" s="183"/>
      <c r="C19" s="148"/>
      <c r="D19" s="148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</row>
    <row r="20" spans="1:15" x14ac:dyDescent="0.25">
      <c r="A20" s="148">
        <f t="shared" si="0"/>
        <v>15</v>
      </c>
      <c r="B20" s="183"/>
      <c r="C20" s="150" t="s">
        <v>273</v>
      </c>
      <c r="D20" s="148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</row>
    <row r="21" spans="1:15" x14ac:dyDescent="0.25">
      <c r="A21" s="148">
        <f t="shared" si="0"/>
        <v>16</v>
      </c>
      <c r="B21" s="183">
        <v>350</v>
      </c>
      <c r="C21" s="148" t="s">
        <v>281</v>
      </c>
      <c r="D21" s="148" t="s">
        <v>274</v>
      </c>
      <c r="E21" s="214">
        <v>231649100</v>
      </c>
      <c r="F21" s="214">
        <v>123355544.50094865</v>
      </c>
      <c r="G21" s="214">
        <v>27966563.055119239</v>
      </c>
      <c r="H21" s="214">
        <v>31012962.516646031</v>
      </c>
      <c r="I21" s="214">
        <v>20786783.074215934</v>
      </c>
      <c r="J21" s="214">
        <v>14331045.191029446</v>
      </c>
      <c r="K21" s="214">
        <v>7630443.5583599545</v>
      </c>
      <c r="L21" s="214">
        <v>5621283.3313017143</v>
      </c>
      <c r="M21" s="214">
        <v>0</v>
      </c>
      <c r="N21" s="214">
        <v>864558.58794637187</v>
      </c>
      <c r="O21" s="214">
        <v>79916.184432650392</v>
      </c>
    </row>
    <row r="22" spans="1:15" x14ac:dyDescent="0.25">
      <c r="A22" s="148">
        <f t="shared" si="0"/>
        <v>17</v>
      </c>
      <c r="B22" s="183">
        <v>350.01</v>
      </c>
      <c r="C22" s="148" t="s">
        <v>360</v>
      </c>
      <c r="D22" s="148" t="s">
        <v>283</v>
      </c>
      <c r="E22" s="214">
        <v>178367968</v>
      </c>
      <c r="F22" s="214">
        <v>87293006.974727303</v>
      </c>
      <c r="G22" s="214">
        <v>19760461.443873871</v>
      </c>
      <c r="H22" s="214">
        <v>21903796.012037329</v>
      </c>
      <c r="I22" s="214">
        <v>14677386.159620691</v>
      </c>
      <c r="J22" s="214">
        <v>10112423.287334993</v>
      </c>
      <c r="K22" s="214">
        <v>5386142.528103007</v>
      </c>
      <c r="L22" s="214">
        <v>3967530.4952602452</v>
      </c>
      <c r="M22" s="214">
        <v>13584045.652520476</v>
      </c>
      <c r="N22" s="214">
        <v>610264.2226614817</v>
      </c>
      <c r="O22" s="214">
        <v>1072911.223860618</v>
      </c>
    </row>
    <row r="23" spans="1:15" x14ac:dyDescent="0.25">
      <c r="A23" s="148">
        <f t="shared" si="0"/>
        <v>18</v>
      </c>
      <c r="B23" s="183">
        <v>350.02</v>
      </c>
      <c r="C23" s="148" t="s">
        <v>361</v>
      </c>
      <c r="D23" s="148" t="s">
        <v>283</v>
      </c>
      <c r="E23" s="214">
        <v>15069546</v>
      </c>
      <c r="F23" s="214">
        <v>7375012.4466517102</v>
      </c>
      <c r="G23" s="214">
        <v>1669476.7903039842</v>
      </c>
      <c r="H23" s="214">
        <v>1850557.9520758633</v>
      </c>
      <c r="I23" s="214">
        <v>1240029.5208395678</v>
      </c>
      <c r="J23" s="214">
        <v>854355.35095609725</v>
      </c>
      <c r="K23" s="214">
        <v>455052.12342725438</v>
      </c>
      <c r="L23" s="214">
        <v>335199.66603379732</v>
      </c>
      <c r="M23" s="214">
        <v>1147657.8621266647</v>
      </c>
      <c r="N23" s="214">
        <v>51558.611552672068</v>
      </c>
      <c r="O23" s="214">
        <v>90645.676032390984</v>
      </c>
    </row>
    <row r="24" spans="1:15" x14ac:dyDescent="0.25">
      <c r="A24" s="151">
        <f t="shared" si="0"/>
        <v>19</v>
      </c>
      <c r="B24" s="185"/>
      <c r="C24" s="151" t="s">
        <v>277</v>
      </c>
      <c r="D24" s="151"/>
      <c r="E24" s="215">
        <f>SUM(E21:E23)</f>
        <v>425086614</v>
      </c>
      <c r="F24" s="215">
        <f t="shared" ref="F24:O24" si="3">SUM(F21:F23)</f>
        <v>218023563.92232764</v>
      </c>
      <c r="G24" s="215">
        <f t="shared" si="3"/>
        <v>49396501.289297096</v>
      </c>
      <c r="H24" s="215">
        <f t="shared" si="3"/>
        <v>54767316.480759226</v>
      </c>
      <c r="I24" s="215">
        <f t="shared" si="3"/>
        <v>36704198.754676186</v>
      </c>
      <c r="J24" s="215">
        <f t="shared" si="3"/>
        <v>25297823.829320535</v>
      </c>
      <c r="K24" s="215">
        <f t="shared" si="3"/>
        <v>13471638.209890217</v>
      </c>
      <c r="L24" s="215">
        <f t="shared" si="3"/>
        <v>9924013.4925957564</v>
      </c>
      <c r="M24" s="215">
        <f t="shared" si="3"/>
        <v>14731703.514647141</v>
      </c>
      <c r="N24" s="215">
        <f t="shared" si="3"/>
        <v>1526381.4221605256</v>
      </c>
      <c r="O24" s="215">
        <f t="shared" si="3"/>
        <v>1243473.0843256593</v>
      </c>
    </row>
    <row r="25" spans="1:15" x14ac:dyDescent="0.25">
      <c r="A25" s="148">
        <f t="shared" si="0"/>
        <v>20</v>
      </c>
      <c r="B25" s="183"/>
      <c r="C25" s="148"/>
      <c r="D25" s="148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</row>
    <row r="26" spans="1:15" x14ac:dyDescent="0.25">
      <c r="A26" s="148">
        <f t="shared" si="0"/>
        <v>21</v>
      </c>
      <c r="B26" s="183"/>
      <c r="C26" s="150" t="s">
        <v>286</v>
      </c>
      <c r="D26" s="148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</row>
    <row r="27" spans="1:15" x14ac:dyDescent="0.25">
      <c r="A27" s="148">
        <f t="shared" si="0"/>
        <v>22</v>
      </c>
      <c r="B27" s="183">
        <v>360.01</v>
      </c>
      <c r="C27" s="148" t="s">
        <v>287</v>
      </c>
      <c r="D27" s="148" t="s">
        <v>288</v>
      </c>
      <c r="E27" s="214">
        <v>1611005.2218968247</v>
      </c>
      <c r="F27" s="214">
        <v>0</v>
      </c>
      <c r="G27" s="214">
        <v>0</v>
      </c>
      <c r="H27" s="214">
        <v>0</v>
      </c>
      <c r="I27" s="214">
        <v>0</v>
      </c>
      <c r="J27" s="214">
        <v>0</v>
      </c>
      <c r="K27" s="214">
        <v>839671.1156547179</v>
      </c>
      <c r="L27" s="214">
        <v>742147.1022219439</v>
      </c>
      <c r="M27" s="214">
        <v>0</v>
      </c>
      <c r="N27" s="214">
        <v>0</v>
      </c>
      <c r="O27" s="214">
        <v>29187.004020162956</v>
      </c>
    </row>
    <row r="28" spans="1:15" x14ac:dyDescent="0.25">
      <c r="A28" s="148">
        <f t="shared" si="0"/>
        <v>23</v>
      </c>
      <c r="B28" s="183">
        <v>360.02</v>
      </c>
      <c r="C28" s="148" t="s">
        <v>289</v>
      </c>
      <c r="D28" s="148" t="s">
        <v>290</v>
      </c>
      <c r="E28" s="214">
        <v>25360743.862269819</v>
      </c>
      <c r="F28" s="214">
        <v>11633232.282619096</v>
      </c>
      <c r="G28" s="214">
        <v>3490782.5358183002</v>
      </c>
      <c r="H28" s="214">
        <v>4086153.9757953873</v>
      </c>
      <c r="I28" s="214">
        <v>3068309.7057886785</v>
      </c>
      <c r="J28" s="214">
        <v>2613099.5980707547</v>
      </c>
      <c r="K28" s="214">
        <v>0</v>
      </c>
      <c r="L28" s="214">
        <v>0</v>
      </c>
      <c r="M28" s="214">
        <v>215101.11037855991</v>
      </c>
      <c r="N28" s="214">
        <v>251577.93575998323</v>
      </c>
      <c r="O28" s="214">
        <v>2486.7180390584958</v>
      </c>
    </row>
    <row r="29" spans="1:15" x14ac:dyDescent="0.25">
      <c r="A29" s="148">
        <f t="shared" si="0"/>
        <v>24</v>
      </c>
      <c r="B29" s="183">
        <v>360.03</v>
      </c>
      <c r="C29" s="148" t="s">
        <v>362</v>
      </c>
      <c r="D29" s="148" t="s">
        <v>283</v>
      </c>
      <c r="E29" s="214">
        <v>51635827.149999961</v>
      </c>
      <c r="F29" s="214">
        <v>25270493.744430386</v>
      </c>
      <c r="G29" s="214">
        <v>5720465.2996894028</v>
      </c>
      <c r="H29" s="214">
        <v>6340940.2343273759</v>
      </c>
      <c r="I29" s="214">
        <v>4248963.4391752202</v>
      </c>
      <c r="J29" s="214">
        <v>2927450.1850717058</v>
      </c>
      <c r="K29" s="214">
        <v>1559236.9398208912</v>
      </c>
      <c r="L29" s="214">
        <v>1148562.2736118839</v>
      </c>
      <c r="M29" s="214">
        <v>3932451.7803065157</v>
      </c>
      <c r="N29" s="214">
        <v>176665.67753452994</v>
      </c>
      <c r="O29" s="214">
        <v>310597.57603204733</v>
      </c>
    </row>
    <row r="30" spans="1:15" x14ac:dyDescent="0.25">
      <c r="A30" s="148">
        <f t="shared" si="0"/>
        <v>25</v>
      </c>
      <c r="B30" s="183">
        <v>361.01</v>
      </c>
      <c r="C30" s="148" t="s">
        <v>291</v>
      </c>
      <c r="D30" s="148" t="s">
        <v>292</v>
      </c>
      <c r="E30" s="214">
        <v>418047.02374747721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127564.21934371415</v>
      </c>
      <c r="L30" s="214">
        <v>162865.58496891646</v>
      </c>
      <c r="M30" s="214">
        <v>109085.18756944797</v>
      </c>
      <c r="N30" s="214">
        <v>0</v>
      </c>
      <c r="O30" s="214">
        <v>18532.031865398629</v>
      </c>
    </row>
    <row r="31" spans="1:15" x14ac:dyDescent="0.25">
      <c r="A31" s="148">
        <f t="shared" si="0"/>
        <v>26</v>
      </c>
      <c r="B31" s="183">
        <v>361.02</v>
      </c>
      <c r="C31" s="148" t="s">
        <v>293</v>
      </c>
      <c r="D31" s="148" t="s">
        <v>294</v>
      </c>
      <c r="E31" s="214">
        <v>5167330.914169183</v>
      </c>
      <c r="F31" s="214">
        <v>2578481.6541262972</v>
      </c>
      <c r="G31" s="214">
        <v>713424.57210930239</v>
      </c>
      <c r="H31" s="214">
        <v>825951.89677954407</v>
      </c>
      <c r="I31" s="214">
        <v>575607.06793619203</v>
      </c>
      <c r="J31" s="214">
        <v>406997.23476439191</v>
      </c>
      <c r="K31" s="214">
        <v>0</v>
      </c>
      <c r="L31" s="214">
        <v>0</v>
      </c>
      <c r="M31" s="214">
        <v>22338.625014181227</v>
      </c>
      <c r="N31" s="214">
        <v>44246.983127075866</v>
      </c>
      <c r="O31" s="214">
        <v>282.8803121982906</v>
      </c>
    </row>
    <row r="32" spans="1:15" x14ac:dyDescent="0.25">
      <c r="A32" s="148">
        <f t="shared" si="0"/>
        <v>27</v>
      </c>
      <c r="B32" s="183">
        <v>361.03</v>
      </c>
      <c r="C32" s="148" t="s">
        <v>363</v>
      </c>
      <c r="D32" s="148" t="s">
        <v>283</v>
      </c>
      <c r="E32" s="214">
        <v>2460704.5100000002</v>
      </c>
      <c r="F32" s="214">
        <v>1204264.9718035299</v>
      </c>
      <c r="G32" s="214">
        <v>272608.68159142538</v>
      </c>
      <c r="H32" s="214">
        <v>302177.40459396987</v>
      </c>
      <c r="I32" s="214">
        <v>202484.2841624468</v>
      </c>
      <c r="J32" s="214">
        <v>139507.59135280526</v>
      </c>
      <c r="K32" s="214">
        <v>74305.411218262423</v>
      </c>
      <c r="L32" s="214">
        <v>54734.71662383584</v>
      </c>
      <c r="M32" s="214">
        <v>187400.92616406907</v>
      </c>
      <c r="N32" s="214">
        <v>8419.0000134707607</v>
      </c>
      <c r="O32" s="214">
        <v>14801.522476184975</v>
      </c>
    </row>
    <row r="33" spans="1:15" x14ac:dyDescent="0.25">
      <c r="A33" s="148">
        <f t="shared" si="0"/>
        <v>28</v>
      </c>
      <c r="B33" s="183">
        <v>362.01</v>
      </c>
      <c r="C33" s="148" t="s">
        <v>295</v>
      </c>
      <c r="D33" s="148" t="s">
        <v>296</v>
      </c>
      <c r="E33" s="214">
        <v>24960779.118660443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8518412.040495472</v>
      </c>
      <c r="L33" s="214">
        <v>9029279.0429240707</v>
      </c>
      <c r="M33" s="214">
        <v>6033070.0286804652</v>
      </c>
      <c r="N33" s="214">
        <v>0</v>
      </c>
      <c r="O33" s="214">
        <v>1380018.0065604341</v>
      </c>
    </row>
    <row r="34" spans="1:15" x14ac:dyDescent="0.25">
      <c r="A34" s="148">
        <f t="shared" si="0"/>
        <v>29</v>
      </c>
      <c r="B34" s="183">
        <v>362.02</v>
      </c>
      <c r="C34" s="148" t="s">
        <v>297</v>
      </c>
      <c r="D34" s="148" t="s">
        <v>298</v>
      </c>
      <c r="E34" s="214">
        <v>307367962.5771727</v>
      </c>
      <c r="F34" s="214">
        <v>164721596.78962886</v>
      </c>
      <c r="G34" s="214">
        <v>43488811.924204059</v>
      </c>
      <c r="H34" s="214">
        <v>43132376.417747259</v>
      </c>
      <c r="I34" s="214">
        <v>27625110.520327926</v>
      </c>
      <c r="J34" s="214">
        <v>24424650.421001405</v>
      </c>
      <c r="K34" s="214">
        <v>0</v>
      </c>
      <c r="L34" s="214">
        <v>0</v>
      </c>
      <c r="M34" s="214">
        <v>1397488.1238597136</v>
      </c>
      <c r="N34" s="214">
        <v>2511580.6576591018</v>
      </c>
      <c r="O34" s="214">
        <v>66347.722744359446</v>
      </c>
    </row>
    <row r="35" spans="1:15" x14ac:dyDescent="0.25">
      <c r="A35" s="148">
        <f t="shared" si="0"/>
        <v>30</v>
      </c>
      <c r="B35" s="183">
        <v>362.03</v>
      </c>
      <c r="C35" s="148" t="s">
        <v>364</v>
      </c>
      <c r="D35" s="148" t="s">
        <v>283</v>
      </c>
      <c r="E35" s="214">
        <v>222299815.5399999</v>
      </c>
      <c r="F35" s="214">
        <v>108793185.04325733</v>
      </c>
      <c r="G35" s="214">
        <v>24627442.826272719</v>
      </c>
      <c r="H35" s="214">
        <v>27298678.499839634</v>
      </c>
      <c r="I35" s="214">
        <v>18292411.313969932</v>
      </c>
      <c r="J35" s="214">
        <v>12603102.76919771</v>
      </c>
      <c r="K35" s="214">
        <v>6712743.9074119357</v>
      </c>
      <c r="L35" s="214">
        <v>4944729.1861601342</v>
      </c>
      <c r="M35" s="214">
        <v>16929782.161571968</v>
      </c>
      <c r="N35" s="214">
        <v>760571.67466475151</v>
      </c>
      <c r="O35" s="214">
        <v>1337168.1576537942</v>
      </c>
    </row>
    <row r="36" spans="1:15" x14ac:dyDescent="0.25">
      <c r="A36" s="148">
        <f t="shared" si="0"/>
        <v>31</v>
      </c>
      <c r="B36" s="183">
        <v>364</v>
      </c>
      <c r="C36" s="148" t="s">
        <v>301</v>
      </c>
      <c r="D36" s="148" t="s">
        <v>302</v>
      </c>
      <c r="E36" s="214">
        <v>231436538.41791606</v>
      </c>
      <c r="F36" s="214">
        <v>160286645.26559517</v>
      </c>
      <c r="G36" s="214">
        <v>27523923.733123299</v>
      </c>
      <c r="H36" s="214">
        <v>21703602.260553055</v>
      </c>
      <c r="I36" s="214">
        <v>8792179.3340402562</v>
      </c>
      <c r="J36" s="214">
        <v>11810592.535393376</v>
      </c>
      <c r="K36" s="214">
        <v>0</v>
      </c>
      <c r="L36" s="214">
        <v>0</v>
      </c>
      <c r="M36" s="214">
        <v>451.99359109810086</v>
      </c>
      <c r="N36" s="214">
        <v>1221964.6735337155</v>
      </c>
      <c r="O36" s="214">
        <v>97178.622086091666</v>
      </c>
    </row>
    <row r="37" spans="1:15" x14ac:dyDescent="0.25">
      <c r="A37" s="148">
        <f t="shared" si="0"/>
        <v>32</v>
      </c>
      <c r="B37" s="183">
        <v>364.01</v>
      </c>
      <c r="C37" s="148" t="s">
        <v>365</v>
      </c>
      <c r="D37" s="148" t="s">
        <v>283</v>
      </c>
      <c r="E37" s="214">
        <v>170912245.04999995</v>
      </c>
      <c r="F37" s="214">
        <v>83644187.723302126</v>
      </c>
      <c r="G37" s="214">
        <v>18934480.59349113</v>
      </c>
      <c r="H37" s="214">
        <v>20988224.47500515</v>
      </c>
      <c r="I37" s="214">
        <v>14063876.200050499</v>
      </c>
      <c r="J37" s="214">
        <v>9689727.2885584719</v>
      </c>
      <c r="K37" s="214">
        <v>5161003.5252370397</v>
      </c>
      <c r="L37" s="214">
        <v>3801689.0131823821</v>
      </c>
      <c r="M37" s="214">
        <v>13016236.969936026</v>
      </c>
      <c r="N37" s="214">
        <v>584755.37697871227</v>
      </c>
      <c r="O37" s="214">
        <v>1028063.8842584186</v>
      </c>
    </row>
    <row r="38" spans="1:15" x14ac:dyDescent="0.25">
      <c r="A38" s="148">
        <f t="shared" si="0"/>
        <v>33</v>
      </c>
      <c r="B38" s="183">
        <v>365</v>
      </c>
      <c r="C38" s="148" t="s">
        <v>303</v>
      </c>
      <c r="D38" s="148" t="s">
        <v>304</v>
      </c>
      <c r="E38" s="214">
        <v>2527587.3601134373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1767081.2517617049</v>
      </c>
      <c r="L38" s="214">
        <v>0</v>
      </c>
      <c r="M38" s="214">
        <v>0</v>
      </c>
      <c r="N38" s="214">
        <v>0</v>
      </c>
      <c r="O38" s="214">
        <v>760506.10835173225</v>
      </c>
    </row>
    <row r="39" spans="1:15" x14ac:dyDescent="0.25">
      <c r="A39" s="148">
        <f t="shared" si="0"/>
        <v>34</v>
      </c>
      <c r="B39" s="183">
        <v>365.01</v>
      </c>
      <c r="C39" s="148" t="s">
        <v>305</v>
      </c>
      <c r="D39" s="148" t="s">
        <v>302</v>
      </c>
      <c r="E39" s="214">
        <v>281983625.33155257</v>
      </c>
      <c r="F39" s="214">
        <v>195294181.43391207</v>
      </c>
      <c r="G39" s="214">
        <v>33535308.86121501</v>
      </c>
      <c r="H39" s="214">
        <v>26443795.305707276</v>
      </c>
      <c r="I39" s="214">
        <v>10712442.469654145</v>
      </c>
      <c r="J39" s="214">
        <v>14390094.680858668</v>
      </c>
      <c r="K39" s="214">
        <v>0</v>
      </c>
      <c r="L39" s="214">
        <v>0</v>
      </c>
      <c r="M39" s="214">
        <v>550.71162192340876</v>
      </c>
      <c r="N39" s="214">
        <v>1488848.8698699353</v>
      </c>
      <c r="O39" s="214">
        <v>118402.99871353284</v>
      </c>
    </row>
    <row r="40" spans="1:15" x14ac:dyDescent="0.25">
      <c r="A40" s="148">
        <f t="shared" si="0"/>
        <v>35</v>
      </c>
      <c r="B40" s="183">
        <v>365.03</v>
      </c>
      <c r="C40" s="148" t="s">
        <v>366</v>
      </c>
      <c r="D40" s="148" t="s">
        <v>283</v>
      </c>
      <c r="E40" s="214">
        <v>131895724.17</v>
      </c>
      <c r="F40" s="214">
        <v>64549562.900825992</v>
      </c>
      <c r="G40" s="214">
        <v>14612042.741178215</v>
      </c>
      <c r="H40" s="214">
        <v>16196949.875437394</v>
      </c>
      <c r="I40" s="214">
        <v>10853319.114146696</v>
      </c>
      <c r="J40" s="214">
        <v>7477718.1550704278</v>
      </c>
      <c r="K40" s="214">
        <v>3982829.30053327</v>
      </c>
      <c r="L40" s="214">
        <v>2933824.4624668746</v>
      </c>
      <c r="M40" s="214">
        <v>10044839.096319852</v>
      </c>
      <c r="N40" s="214">
        <v>451265.11495033826</v>
      </c>
      <c r="O40" s="214">
        <v>793373.40907094488</v>
      </c>
    </row>
    <row r="41" spans="1:15" x14ac:dyDescent="0.25">
      <c r="A41" s="148">
        <f t="shared" si="0"/>
        <v>36</v>
      </c>
      <c r="B41" s="183">
        <v>366</v>
      </c>
      <c r="C41" s="148" t="s">
        <v>308</v>
      </c>
      <c r="D41" s="148" t="s">
        <v>309</v>
      </c>
      <c r="E41" s="214">
        <v>551772558.7240262</v>
      </c>
      <c r="F41" s="214">
        <v>374571363.67080426</v>
      </c>
      <c r="G41" s="214">
        <v>64341256.170171484</v>
      </c>
      <c r="H41" s="214">
        <v>57332231.791725568</v>
      </c>
      <c r="I41" s="214">
        <v>25922433.358822387</v>
      </c>
      <c r="J41" s="214">
        <v>26041505.155967787</v>
      </c>
      <c r="K41" s="214">
        <v>0</v>
      </c>
      <c r="L41" s="214">
        <v>0</v>
      </c>
      <c r="M41" s="214">
        <v>84412.400793215173</v>
      </c>
      <c r="N41" s="214">
        <v>3382645.2794685094</v>
      </c>
      <c r="O41" s="214">
        <v>96710.896273021339</v>
      </c>
    </row>
    <row r="42" spans="1:15" x14ac:dyDescent="0.25">
      <c r="A42" s="148">
        <f t="shared" si="0"/>
        <v>37</v>
      </c>
      <c r="B42" s="183">
        <v>366.01</v>
      </c>
      <c r="C42" s="148" t="s">
        <v>367</v>
      </c>
      <c r="D42" s="148" t="s">
        <v>368</v>
      </c>
      <c r="E42" s="214">
        <v>700574.85</v>
      </c>
      <c r="F42" s="214">
        <v>342860.24532929884</v>
      </c>
      <c r="G42" s="214">
        <v>77613.05164373864</v>
      </c>
      <c r="H42" s="214">
        <v>86031.414595493115</v>
      </c>
      <c r="I42" s="214">
        <v>57648.285857964926</v>
      </c>
      <c r="J42" s="214">
        <v>39718.507235902471</v>
      </c>
      <c r="K42" s="214">
        <v>21155.121269892948</v>
      </c>
      <c r="L42" s="214">
        <v>15583.246884257667</v>
      </c>
      <c r="M42" s="214">
        <v>53353.978587723126</v>
      </c>
      <c r="N42" s="214">
        <v>2396.9313046804123</v>
      </c>
      <c r="O42" s="214">
        <v>4214.0672910478461</v>
      </c>
    </row>
    <row r="43" spans="1:15" x14ac:dyDescent="0.25">
      <c r="A43" s="148">
        <f t="shared" si="0"/>
        <v>38</v>
      </c>
      <c r="B43" s="183">
        <v>366.02</v>
      </c>
      <c r="C43" s="148" t="s">
        <v>306</v>
      </c>
      <c r="D43" s="148" t="s">
        <v>307</v>
      </c>
      <c r="E43" s="214">
        <v>25269502.763473723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14">
        <v>22206200.792146683</v>
      </c>
      <c r="L43" s="214">
        <v>1801892.9831340155</v>
      </c>
      <c r="M43" s="214">
        <v>674698.9936847178</v>
      </c>
      <c r="N43" s="214">
        <v>0</v>
      </c>
      <c r="O43" s="214">
        <v>586709.99450830778</v>
      </c>
    </row>
    <row r="44" spans="1:15" x14ac:dyDescent="0.25">
      <c r="A44" s="148">
        <f t="shared" si="0"/>
        <v>39</v>
      </c>
      <c r="B44" s="183">
        <v>367</v>
      </c>
      <c r="C44" s="148" t="s">
        <v>310</v>
      </c>
      <c r="D44" s="148" t="s">
        <v>309</v>
      </c>
      <c r="E44" s="214">
        <v>647702409.82999992</v>
      </c>
      <c r="F44" s="214">
        <v>439693440.83353209</v>
      </c>
      <c r="G44" s="214">
        <v>75527472.350710034</v>
      </c>
      <c r="H44" s="214">
        <v>67299875.837076172</v>
      </c>
      <c r="I44" s="214">
        <v>30429245.328897398</v>
      </c>
      <c r="J44" s="214">
        <v>30569018.662555404</v>
      </c>
      <c r="K44" s="214">
        <v>0</v>
      </c>
      <c r="L44" s="214">
        <v>0</v>
      </c>
      <c r="M44" s="214">
        <v>99088.137945343158</v>
      </c>
      <c r="N44" s="214">
        <v>3970743.8589885519</v>
      </c>
      <c r="O44" s="214">
        <v>113524.82029499578</v>
      </c>
    </row>
    <row r="45" spans="1:15" x14ac:dyDescent="0.25">
      <c r="A45" s="148">
        <f t="shared" si="0"/>
        <v>40</v>
      </c>
      <c r="B45" s="183">
        <v>367.01</v>
      </c>
      <c r="C45" s="148" t="s">
        <v>369</v>
      </c>
      <c r="D45" s="148" t="s">
        <v>368</v>
      </c>
      <c r="E45" s="214">
        <v>2937079.22</v>
      </c>
      <c r="F45" s="214">
        <v>1437402.016245353</v>
      </c>
      <c r="G45" s="214">
        <v>325383.76332466345</v>
      </c>
      <c r="H45" s="214">
        <v>360676.77861348796</v>
      </c>
      <c r="I45" s="214">
        <v>241683.78648198501</v>
      </c>
      <c r="J45" s="214">
        <v>166515.25850805061</v>
      </c>
      <c r="K45" s="214">
        <v>88690.404855930232</v>
      </c>
      <c r="L45" s="214">
        <v>65330.964427117171</v>
      </c>
      <c r="M45" s="214">
        <v>223680.39876727888</v>
      </c>
      <c r="N45" s="214">
        <v>10048.857915388096</v>
      </c>
      <c r="O45" s="214">
        <v>17666.990860745744</v>
      </c>
    </row>
    <row r="46" spans="1:15" x14ac:dyDescent="0.25">
      <c r="A46" s="148">
        <f t="shared" si="0"/>
        <v>41</v>
      </c>
      <c r="B46" s="183" t="s">
        <v>370</v>
      </c>
      <c r="C46" s="148" t="s">
        <v>312</v>
      </c>
      <c r="D46" s="148" t="s">
        <v>371</v>
      </c>
      <c r="E46" s="214">
        <v>138085648.79946673</v>
      </c>
      <c r="F46" s="214">
        <v>115994703.07019629</v>
      </c>
      <c r="G46" s="214">
        <v>19223368.268233776</v>
      </c>
      <c r="H46" s="214">
        <v>2692489.7379681799</v>
      </c>
      <c r="I46" s="214">
        <v>27159.771806846406</v>
      </c>
      <c r="J46" s="214">
        <v>0</v>
      </c>
      <c r="K46" s="214">
        <v>0</v>
      </c>
      <c r="L46" s="214">
        <v>0</v>
      </c>
      <c r="M46" s="214">
        <v>0</v>
      </c>
      <c r="N46" s="214">
        <v>147927.95126165348</v>
      </c>
      <c r="O46" s="214">
        <v>0</v>
      </c>
    </row>
    <row r="47" spans="1:15" x14ac:dyDescent="0.25">
      <c r="A47" s="148">
        <f t="shared" si="0"/>
        <v>42</v>
      </c>
      <c r="B47" s="183" t="s">
        <v>372</v>
      </c>
      <c r="C47" s="148" t="s">
        <v>315</v>
      </c>
      <c r="D47" s="148" t="s">
        <v>371</v>
      </c>
      <c r="E47" s="214">
        <v>261219746.87699658</v>
      </c>
      <c r="F47" s="214">
        <v>169354594.1106315</v>
      </c>
      <c r="G47" s="214">
        <v>49946407.02000843</v>
      </c>
      <c r="H47" s="214">
        <v>33230543.521431331</v>
      </c>
      <c r="I47" s="214">
        <v>8620709.5474247783</v>
      </c>
      <c r="J47" s="214">
        <v>0</v>
      </c>
      <c r="K47" s="214">
        <v>0</v>
      </c>
      <c r="L47" s="214">
        <v>0</v>
      </c>
      <c r="M47" s="214">
        <v>0</v>
      </c>
      <c r="N47" s="214">
        <v>67492.6775005292</v>
      </c>
      <c r="O47" s="214">
        <v>0</v>
      </c>
    </row>
    <row r="48" spans="1:15" x14ac:dyDescent="0.25">
      <c r="A48" s="148">
        <f t="shared" si="0"/>
        <v>43</v>
      </c>
      <c r="B48" s="183">
        <v>368.03</v>
      </c>
      <c r="C48" s="148" t="s">
        <v>317</v>
      </c>
      <c r="D48" s="148" t="s">
        <v>371</v>
      </c>
      <c r="E48" s="214">
        <v>3755940.9747866914</v>
      </c>
      <c r="F48" s="214">
        <v>0</v>
      </c>
      <c r="G48" s="214">
        <v>0</v>
      </c>
      <c r="H48" s="214">
        <v>0</v>
      </c>
      <c r="I48" s="214">
        <v>0</v>
      </c>
      <c r="J48" s="214">
        <v>1036927.9930391916</v>
      </c>
      <c r="K48" s="214">
        <v>2699615.9818777102</v>
      </c>
      <c r="L48" s="214">
        <v>0</v>
      </c>
      <c r="M48" s="214">
        <v>0</v>
      </c>
      <c r="N48" s="214">
        <v>0</v>
      </c>
      <c r="O48" s="214">
        <v>19396.999869789608</v>
      </c>
    </row>
    <row r="49" spans="1:15" x14ac:dyDescent="0.25">
      <c r="A49" s="148">
        <f t="shared" si="0"/>
        <v>44</v>
      </c>
      <c r="B49" s="183" t="s">
        <v>373</v>
      </c>
      <c r="C49" s="148" t="s">
        <v>320</v>
      </c>
      <c r="D49" s="148" t="s">
        <v>321</v>
      </c>
      <c r="E49" s="214">
        <v>41858523.864762597</v>
      </c>
      <c r="F49" s="214">
        <v>36290664.085567445</v>
      </c>
      <c r="G49" s="214">
        <v>5353785.0139737306</v>
      </c>
      <c r="H49" s="214">
        <v>211755.53790154887</v>
      </c>
      <c r="I49" s="214">
        <v>2319.2273198741068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</row>
    <row r="50" spans="1:15" x14ac:dyDescent="0.25">
      <c r="A50" s="148">
        <f t="shared" si="0"/>
        <v>45</v>
      </c>
      <c r="B50" s="183" t="s">
        <v>374</v>
      </c>
      <c r="C50" s="148" t="s">
        <v>323</v>
      </c>
      <c r="D50" s="148" t="s">
        <v>324</v>
      </c>
      <c r="E50" s="214">
        <v>136280318.41565341</v>
      </c>
      <c r="F50" s="214">
        <v>136280318.41565341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  <c r="N50" s="214">
        <v>0</v>
      </c>
      <c r="O50" s="214">
        <v>0</v>
      </c>
    </row>
    <row r="51" spans="1:15" x14ac:dyDescent="0.25">
      <c r="A51" s="148">
        <f t="shared" si="0"/>
        <v>46</v>
      </c>
      <c r="B51" s="183">
        <v>370</v>
      </c>
      <c r="C51" s="148" t="s">
        <v>325</v>
      </c>
      <c r="D51" s="148" t="s">
        <v>326</v>
      </c>
      <c r="E51" s="214">
        <v>127180593.16</v>
      </c>
      <c r="F51" s="214">
        <v>67649431.469226152</v>
      </c>
      <c r="G51" s="214">
        <v>29514490.411829323</v>
      </c>
      <c r="H51" s="214">
        <v>11591801.947966941</v>
      </c>
      <c r="I51" s="214">
        <v>1278561.8173046636</v>
      </c>
      <c r="J51" s="214">
        <v>15279600.521369996</v>
      </c>
      <c r="K51" s="214">
        <v>740902.54014279495</v>
      </c>
      <c r="L51" s="214">
        <v>556416.9958994668</v>
      </c>
      <c r="M51" s="214">
        <v>289800.51869763888</v>
      </c>
      <c r="N51" s="214">
        <v>0</v>
      </c>
      <c r="O51" s="214">
        <v>279586.93756301771</v>
      </c>
    </row>
    <row r="52" spans="1:15" x14ac:dyDescent="0.25">
      <c r="A52" s="148">
        <f t="shared" si="0"/>
        <v>47</v>
      </c>
      <c r="B52" s="183">
        <v>372</v>
      </c>
      <c r="C52" s="148" t="s">
        <v>375</v>
      </c>
      <c r="D52" s="148" t="s">
        <v>376</v>
      </c>
      <c r="E52" s="214">
        <v>640774.60124999995</v>
      </c>
      <c r="F52" s="214">
        <v>635171.60473670939</v>
      </c>
      <c r="G52" s="214">
        <v>5602.9965132905463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  <c r="N52" s="214">
        <v>0</v>
      </c>
      <c r="O52" s="214">
        <v>0</v>
      </c>
    </row>
    <row r="53" spans="1:15" x14ac:dyDescent="0.25">
      <c r="A53" s="148">
        <f t="shared" si="0"/>
        <v>48</v>
      </c>
      <c r="B53" s="183">
        <v>373</v>
      </c>
      <c r="C53" s="148" t="s">
        <v>327</v>
      </c>
      <c r="D53" s="148" t="s">
        <v>328</v>
      </c>
      <c r="E53" s="214">
        <v>54753288.498333298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  <c r="N53" s="214">
        <v>54753288.498333298</v>
      </c>
      <c r="O53" s="214">
        <v>0</v>
      </c>
    </row>
    <row r="54" spans="1:15" x14ac:dyDescent="0.25">
      <c r="A54" s="148">
        <f t="shared" si="0"/>
        <v>49</v>
      </c>
      <c r="B54" s="183">
        <v>374</v>
      </c>
      <c r="C54" s="148" t="s">
        <v>329</v>
      </c>
      <c r="D54" s="148" t="s">
        <v>330</v>
      </c>
      <c r="E54" s="214">
        <v>4204447.6579166604</v>
      </c>
      <c r="F54" s="214">
        <v>2710668.7627676199</v>
      </c>
      <c r="G54" s="214">
        <v>482395.49577350402</v>
      </c>
      <c r="H54" s="214">
        <v>432146.60323332757</v>
      </c>
      <c r="I54" s="214">
        <v>207585.14886505392</v>
      </c>
      <c r="J54" s="214">
        <v>205761.48695941785</v>
      </c>
      <c r="K54" s="214">
        <v>68242.114769215623</v>
      </c>
      <c r="L54" s="214">
        <v>17700.458341075464</v>
      </c>
      <c r="M54" s="214">
        <v>49696.865720788868</v>
      </c>
      <c r="N54" s="214">
        <v>22823.394669040281</v>
      </c>
      <c r="O54" s="214">
        <v>7427.3268176168876</v>
      </c>
    </row>
    <row r="55" spans="1:15" x14ac:dyDescent="0.25">
      <c r="A55" s="151">
        <f t="shared" si="0"/>
        <v>50</v>
      </c>
      <c r="B55" s="185"/>
      <c r="C55" s="151" t="s">
        <v>277</v>
      </c>
      <c r="D55" s="151"/>
      <c r="E55" s="215">
        <f t="shared" ref="E55:O55" si="4">SUM(E27:E54)</f>
        <v>3456399344.4841638</v>
      </c>
      <c r="F55" s="215">
        <f t="shared" si="4"/>
        <v>2162936450.0941916</v>
      </c>
      <c r="G55" s="215">
        <f t="shared" si="4"/>
        <v>417717066.31087482</v>
      </c>
      <c r="H55" s="215">
        <f t="shared" si="4"/>
        <v>340556403.51629812</v>
      </c>
      <c r="I55" s="215">
        <f t="shared" si="4"/>
        <v>165222049.72203287</v>
      </c>
      <c r="J55" s="215">
        <f t="shared" si="4"/>
        <v>159821988.04497546</v>
      </c>
      <c r="K55" s="215">
        <f t="shared" si="4"/>
        <v>54567654.666539222</v>
      </c>
      <c r="L55" s="215">
        <f t="shared" si="4"/>
        <v>25274756.030845977</v>
      </c>
      <c r="M55" s="215">
        <f t="shared" si="4"/>
        <v>53363528.009210534</v>
      </c>
      <c r="N55" s="215">
        <f t="shared" si="4"/>
        <v>69857263.41353327</v>
      </c>
      <c r="O55" s="215">
        <f t="shared" si="4"/>
        <v>7082184.6756629003</v>
      </c>
    </row>
    <row r="56" spans="1:15" x14ac:dyDescent="0.25">
      <c r="A56" s="148">
        <f t="shared" si="0"/>
        <v>51</v>
      </c>
      <c r="B56" s="183"/>
      <c r="C56" s="148"/>
      <c r="D56" s="148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</row>
    <row r="57" spans="1:15" x14ac:dyDescent="0.25">
      <c r="A57" s="148">
        <f t="shared" si="0"/>
        <v>52</v>
      </c>
      <c r="B57" s="183"/>
      <c r="C57" s="150" t="s">
        <v>275</v>
      </c>
      <c r="D57" s="148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</row>
    <row r="58" spans="1:15" x14ac:dyDescent="0.25">
      <c r="A58" s="148">
        <f t="shared" si="0"/>
        <v>53</v>
      </c>
      <c r="B58" s="183">
        <v>389</v>
      </c>
      <c r="C58" s="148" t="s">
        <v>331</v>
      </c>
      <c r="D58" s="148" t="s">
        <v>332</v>
      </c>
      <c r="E58" s="214">
        <v>7549078</v>
      </c>
      <c r="F58" s="214">
        <v>4661509.8300899323</v>
      </c>
      <c r="G58" s="214">
        <v>899764.63972360326</v>
      </c>
      <c r="H58" s="214">
        <v>760947.2643466338</v>
      </c>
      <c r="I58" s="214">
        <v>447137.00705069734</v>
      </c>
      <c r="J58" s="214">
        <v>347661.77059325075</v>
      </c>
      <c r="K58" s="214">
        <v>169700.61090921512</v>
      </c>
      <c r="L58" s="214">
        <v>107888.72319824468</v>
      </c>
      <c r="M58" s="214">
        <v>61275.261073195346</v>
      </c>
      <c r="N58" s="214">
        <v>84356.060259209335</v>
      </c>
      <c r="O58" s="214">
        <v>8836.8327560181078</v>
      </c>
    </row>
    <row r="59" spans="1:15" x14ac:dyDescent="0.25">
      <c r="A59" s="148">
        <f t="shared" si="0"/>
        <v>54</v>
      </c>
      <c r="B59" s="183">
        <v>390</v>
      </c>
      <c r="C59" s="148" t="s">
        <v>333</v>
      </c>
      <c r="D59" s="148" t="s">
        <v>332</v>
      </c>
      <c r="E59" s="214">
        <v>136331046</v>
      </c>
      <c r="F59" s="214">
        <v>84183593.158719882</v>
      </c>
      <c r="G59" s="214">
        <v>16249117.373980235</v>
      </c>
      <c r="H59" s="214">
        <v>13742173.083814353</v>
      </c>
      <c r="I59" s="214">
        <v>8074980.2660047943</v>
      </c>
      <c r="J59" s="214">
        <v>6278527.3697251379</v>
      </c>
      <c r="K59" s="214">
        <v>3064673.8306442597</v>
      </c>
      <c r="L59" s="214">
        <v>1948394.5569539967</v>
      </c>
      <c r="M59" s="214">
        <v>1106588.1735533539</v>
      </c>
      <c r="N59" s="214">
        <v>1523411.1942646557</v>
      </c>
      <c r="O59" s="214">
        <v>159586.99233933087</v>
      </c>
    </row>
    <row r="60" spans="1:15" x14ac:dyDescent="0.25">
      <c r="A60" s="148">
        <f t="shared" si="0"/>
        <v>55</v>
      </c>
      <c r="B60" s="183">
        <v>391</v>
      </c>
      <c r="C60" s="148" t="s">
        <v>334</v>
      </c>
      <c r="D60" s="148" t="s">
        <v>332</v>
      </c>
      <c r="E60" s="214">
        <v>60368671</v>
      </c>
      <c r="F60" s="214">
        <v>37277287.808652267</v>
      </c>
      <c r="G60" s="214">
        <v>7195262.1913441261</v>
      </c>
      <c r="H60" s="214">
        <v>6085163.6517322985</v>
      </c>
      <c r="I60" s="214">
        <v>3575677.3039791388</v>
      </c>
      <c r="J60" s="214">
        <v>2780191.0442866567</v>
      </c>
      <c r="K60" s="214">
        <v>1357066.4322818518</v>
      </c>
      <c r="L60" s="214">
        <v>862767.45787563722</v>
      </c>
      <c r="M60" s="214">
        <v>490007.66400437732</v>
      </c>
      <c r="N60" s="214">
        <v>674580.82280304725</v>
      </c>
      <c r="O60" s="214">
        <v>70666.623040599166</v>
      </c>
    </row>
    <row r="61" spans="1:15" x14ac:dyDescent="0.25">
      <c r="A61" s="148">
        <f t="shared" si="0"/>
        <v>56</v>
      </c>
      <c r="B61" s="183">
        <v>392</v>
      </c>
      <c r="C61" s="148" t="s">
        <v>335</v>
      </c>
      <c r="D61" s="148" t="s">
        <v>332</v>
      </c>
      <c r="E61" s="214">
        <v>12487124</v>
      </c>
      <c r="F61" s="214">
        <v>7710723.2532968819</v>
      </c>
      <c r="G61" s="214">
        <v>1488323.8227296048</v>
      </c>
      <c r="H61" s="214">
        <v>1258702.4332451187</v>
      </c>
      <c r="I61" s="214">
        <v>739620.81886436092</v>
      </c>
      <c r="J61" s="214">
        <v>575076.27281867736</v>
      </c>
      <c r="K61" s="214">
        <v>280706.1433593774</v>
      </c>
      <c r="L61" s="214">
        <v>178461.51076703114</v>
      </c>
      <c r="M61" s="214">
        <v>101356.98467460045</v>
      </c>
      <c r="N61" s="214">
        <v>139535.52799536832</v>
      </c>
      <c r="O61" s="214">
        <v>14617.23224897926</v>
      </c>
    </row>
    <row r="62" spans="1:15" x14ac:dyDescent="0.25">
      <c r="A62" s="148">
        <f t="shared" si="0"/>
        <v>57</v>
      </c>
      <c r="B62" s="183">
        <v>393</v>
      </c>
      <c r="C62" s="148" t="s">
        <v>336</v>
      </c>
      <c r="D62" s="148" t="s">
        <v>337</v>
      </c>
      <c r="E62" s="214">
        <v>618669</v>
      </c>
      <c r="F62" s="214">
        <v>356655.59938276466</v>
      </c>
      <c r="G62" s="214">
        <v>74561.5715173606</v>
      </c>
      <c r="H62" s="214">
        <v>72055.015758715919</v>
      </c>
      <c r="I62" s="214">
        <v>42833.450881367055</v>
      </c>
      <c r="J62" s="214">
        <v>33508.036262227288</v>
      </c>
      <c r="K62" s="214">
        <v>15196.231248350072</v>
      </c>
      <c r="L62" s="214">
        <v>9901.7910691645229</v>
      </c>
      <c r="M62" s="214">
        <v>5899.8829909268979</v>
      </c>
      <c r="N62" s="214">
        <v>7238.6576699282841</v>
      </c>
      <c r="O62" s="214">
        <v>818.76321919465249</v>
      </c>
    </row>
    <row r="63" spans="1:15" x14ac:dyDescent="0.25">
      <c r="A63" s="148">
        <f t="shared" si="0"/>
        <v>58</v>
      </c>
      <c r="B63" s="183">
        <v>394</v>
      </c>
      <c r="C63" s="148" t="s">
        <v>338</v>
      </c>
      <c r="D63" s="148" t="s">
        <v>339</v>
      </c>
      <c r="E63" s="214">
        <v>6254753</v>
      </c>
      <c r="F63" s="214">
        <v>3590596.6642682673</v>
      </c>
      <c r="G63" s="214">
        <v>753663.06756068813</v>
      </c>
      <c r="H63" s="214">
        <v>733862.28265478113</v>
      </c>
      <c r="I63" s="214">
        <v>439512.38420829293</v>
      </c>
      <c r="J63" s="214">
        <v>341143.35631834861</v>
      </c>
      <c r="K63" s="214">
        <v>156282.98982513603</v>
      </c>
      <c r="L63" s="214">
        <v>102734.90390076931</v>
      </c>
      <c r="M63" s="214">
        <v>58271.196715321239</v>
      </c>
      <c r="N63" s="214">
        <v>70597.7965154876</v>
      </c>
      <c r="O63" s="214">
        <v>8088.3580329076785</v>
      </c>
    </row>
    <row r="64" spans="1:15" x14ac:dyDescent="0.25">
      <c r="A64" s="148">
        <f t="shared" si="0"/>
        <v>59</v>
      </c>
      <c r="B64" s="183">
        <v>395</v>
      </c>
      <c r="C64" s="148" t="s">
        <v>340</v>
      </c>
      <c r="D64" s="148" t="s">
        <v>339</v>
      </c>
      <c r="E64" s="214">
        <v>10399480</v>
      </c>
      <c r="F64" s="214">
        <v>5969914.1114164796</v>
      </c>
      <c r="G64" s="214">
        <v>1253079.6976053291</v>
      </c>
      <c r="H64" s="214">
        <v>1220157.8753346044</v>
      </c>
      <c r="I64" s="214">
        <v>730756.31433031138</v>
      </c>
      <c r="J64" s="214">
        <v>567202.81538943911</v>
      </c>
      <c r="K64" s="214">
        <v>259844.28594169999</v>
      </c>
      <c r="L64" s="214">
        <v>170812.4331077458</v>
      </c>
      <c r="M64" s="214">
        <v>96884.744260412655</v>
      </c>
      <c r="N64" s="214">
        <v>117379.59483082432</v>
      </c>
      <c r="O64" s="214">
        <v>13448.127783153504</v>
      </c>
    </row>
    <row r="65" spans="1:15" x14ac:dyDescent="0.25">
      <c r="A65" s="148">
        <f t="shared" si="0"/>
        <v>60</v>
      </c>
      <c r="B65" s="183">
        <v>396</v>
      </c>
      <c r="C65" s="148" t="s">
        <v>341</v>
      </c>
      <c r="D65" s="148" t="s">
        <v>339</v>
      </c>
      <c r="E65" s="214">
        <v>5795732</v>
      </c>
      <c r="F65" s="214">
        <v>3327091.5711927954</v>
      </c>
      <c r="G65" s="214">
        <v>698353.58132921357</v>
      </c>
      <c r="H65" s="214">
        <v>680005.92752029689</v>
      </c>
      <c r="I65" s="214">
        <v>407257.64703295199</v>
      </c>
      <c r="J65" s="214">
        <v>316107.68111892755</v>
      </c>
      <c r="K65" s="214">
        <v>144813.76405834337</v>
      </c>
      <c r="L65" s="214">
        <v>95195.440979781881</v>
      </c>
      <c r="M65" s="214">
        <v>53994.816339075616</v>
      </c>
      <c r="N65" s="214">
        <v>65416.797177170694</v>
      </c>
      <c r="O65" s="214">
        <v>7494.7732514425561</v>
      </c>
    </row>
    <row r="66" spans="1:15" x14ac:dyDescent="0.25">
      <c r="A66" s="148">
        <f t="shared" si="0"/>
        <v>61</v>
      </c>
      <c r="B66" s="183">
        <v>397</v>
      </c>
      <c r="C66" s="148" t="s">
        <v>342</v>
      </c>
      <c r="D66" s="148" t="s">
        <v>332</v>
      </c>
      <c r="E66" s="214">
        <v>58817546</v>
      </c>
      <c r="F66" s="214">
        <v>36319477.538948037</v>
      </c>
      <c r="G66" s="214">
        <v>7010385.6505544744</v>
      </c>
      <c r="H66" s="214">
        <v>5928810.210237897</v>
      </c>
      <c r="I66" s="214">
        <v>3483803.1188055961</v>
      </c>
      <c r="J66" s="214">
        <v>2708756.2460356047</v>
      </c>
      <c r="K66" s="214">
        <v>1322197.6893576756</v>
      </c>
      <c r="L66" s="214">
        <v>840599.33406358026</v>
      </c>
      <c r="M66" s="214">
        <v>477417.30670085497</v>
      </c>
      <c r="N66" s="214">
        <v>657248.00494508282</v>
      </c>
      <c r="O66" s="214">
        <v>68850.900351195451</v>
      </c>
    </row>
    <row r="67" spans="1:15" x14ac:dyDescent="0.25">
      <c r="A67" s="148">
        <f t="shared" si="0"/>
        <v>62</v>
      </c>
      <c r="B67" s="183">
        <v>398</v>
      </c>
      <c r="C67" s="148" t="s">
        <v>343</v>
      </c>
      <c r="D67" s="148" t="s">
        <v>332</v>
      </c>
      <c r="E67" s="214">
        <v>815052</v>
      </c>
      <c r="F67" s="214">
        <v>503289.66133804142</v>
      </c>
      <c r="G67" s="214">
        <v>97144.971761584951</v>
      </c>
      <c r="H67" s="214">
        <v>82157.263403590812</v>
      </c>
      <c r="I67" s="214">
        <v>48276.082439562153</v>
      </c>
      <c r="J67" s="214">
        <v>37536.030419286988</v>
      </c>
      <c r="K67" s="214">
        <v>18322.081494293423</v>
      </c>
      <c r="L67" s="214">
        <v>11648.431718439751</v>
      </c>
      <c r="M67" s="214">
        <v>6615.7117582080919</v>
      </c>
      <c r="N67" s="214">
        <v>9107.678530595269</v>
      </c>
      <c r="O67" s="214">
        <v>954.0871363970632</v>
      </c>
    </row>
    <row r="68" spans="1:15" x14ac:dyDescent="0.25">
      <c r="A68" s="148">
        <f t="shared" si="0"/>
        <v>63</v>
      </c>
      <c r="B68" s="183">
        <v>399</v>
      </c>
      <c r="C68" s="148" t="s">
        <v>344</v>
      </c>
      <c r="D68" s="148" t="s">
        <v>332</v>
      </c>
      <c r="E68" s="214">
        <v>41998</v>
      </c>
      <c r="F68" s="214">
        <v>25933.510005343298</v>
      </c>
      <c r="G68" s="214">
        <v>5005.6861697695913</v>
      </c>
      <c r="H68" s="214">
        <v>4233.3995234954418</v>
      </c>
      <c r="I68" s="214">
        <v>2487.5700081672476</v>
      </c>
      <c r="J68" s="214">
        <v>1934.156600498146</v>
      </c>
      <c r="K68" s="214">
        <v>944.10022746687957</v>
      </c>
      <c r="L68" s="214">
        <v>600.22039736241697</v>
      </c>
      <c r="M68" s="214">
        <v>340.89439989255084</v>
      </c>
      <c r="N68" s="214">
        <v>469.30046540336099</v>
      </c>
      <c r="O68" s="214">
        <v>49.162202601065772</v>
      </c>
    </row>
    <row r="69" spans="1:15" x14ac:dyDescent="0.25">
      <c r="A69" s="151">
        <f t="shared" si="0"/>
        <v>64</v>
      </c>
      <c r="B69" s="185"/>
      <c r="C69" s="151" t="s">
        <v>277</v>
      </c>
      <c r="D69" s="151"/>
      <c r="E69" s="215">
        <f>SUM(E58:E68)</f>
        <v>299479149</v>
      </c>
      <c r="F69" s="215">
        <f t="shared" ref="F69:O69" si="5">SUM(F58:F68)</f>
        <v>183926072.70731068</v>
      </c>
      <c r="G69" s="215">
        <f t="shared" si="5"/>
        <v>35724662.254275985</v>
      </c>
      <c r="H69" s="215">
        <f t="shared" si="5"/>
        <v>30568268.407571789</v>
      </c>
      <c r="I69" s="215">
        <f t="shared" si="5"/>
        <v>17992341.963605236</v>
      </c>
      <c r="J69" s="215">
        <f t="shared" si="5"/>
        <v>13987644.779568054</v>
      </c>
      <c r="K69" s="215">
        <f t="shared" si="5"/>
        <v>6789748.1593476692</v>
      </c>
      <c r="L69" s="215">
        <f t="shared" si="5"/>
        <v>4329004.804031753</v>
      </c>
      <c r="M69" s="215">
        <f t="shared" si="5"/>
        <v>2458652.6364702187</v>
      </c>
      <c r="N69" s="215">
        <f t="shared" si="5"/>
        <v>3349341.4354567737</v>
      </c>
      <c r="O69" s="215">
        <f t="shared" si="5"/>
        <v>353411.85236181942</v>
      </c>
    </row>
    <row r="70" spans="1:15" x14ac:dyDescent="0.25">
      <c r="A70" s="148">
        <f t="shared" si="0"/>
        <v>65</v>
      </c>
      <c r="B70" s="183"/>
      <c r="C70" s="148"/>
      <c r="D70" s="148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</row>
    <row r="71" spans="1:15" x14ac:dyDescent="0.25">
      <c r="A71" s="151">
        <f t="shared" ref="A71" si="6">+A70+1</f>
        <v>66</v>
      </c>
      <c r="B71" s="185"/>
      <c r="C71" s="151" t="s">
        <v>345</v>
      </c>
      <c r="D71" s="151"/>
      <c r="E71" s="215">
        <f t="shared" ref="E71:O71" si="7">SUM(E69,E55,E24,E18,E12)</f>
        <v>7629582517.4841633</v>
      </c>
      <c r="F71" s="215">
        <f t="shared" si="7"/>
        <v>4412476260.0149164</v>
      </c>
      <c r="G71" s="215">
        <f t="shared" si="7"/>
        <v>918986590.18923271</v>
      </c>
      <c r="H71" s="215">
        <f t="shared" si="7"/>
        <v>883239532.77283096</v>
      </c>
      <c r="I71" s="215">
        <f t="shared" si="7"/>
        <v>525320851.0524537</v>
      </c>
      <c r="J71" s="215">
        <f t="shared" si="7"/>
        <v>410384118.23161209</v>
      </c>
      <c r="K71" s="215">
        <f t="shared" si="7"/>
        <v>187021087.44513458</v>
      </c>
      <c r="L71" s="215">
        <f t="shared" si="7"/>
        <v>121871394.57655326</v>
      </c>
      <c r="M71" s="215">
        <f t="shared" si="7"/>
        <v>71676673.226080596</v>
      </c>
      <c r="N71" s="215">
        <f t="shared" si="7"/>
        <v>88622997.829034254</v>
      </c>
      <c r="O71" s="215">
        <f t="shared" si="7"/>
        <v>9983012.1463161036</v>
      </c>
    </row>
    <row r="72" spans="1:15" x14ac:dyDescent="0.25">
      <c r="A72" s="210">
        <f>+A71+1</f>
        <v>67</v>
      </c>
      <c r="B72" s="217"/>
      <c r="C72" s="216"/>
      <c r="D72" s="216"/>
      <c r="E72" s="215"/>
      <c r="F72" s="218"/>
      <c r="G72" s="218"/>
      <c r="H72" s="218"/>
      <c r="I72" s="218"/>
      <c r="J72" s="218"/>
      <c r="K72" s="218"/>
      <c r="L72" s="218"/>
      <c r="M72" s="218"/>
      <c r="N72" s="218"/>
      <c r="O72" s="218"/>
    </row>
    <row r="73" spans="1:15" x14ac:dyDescent="0.25">
      <c r="A73" s="210">
        <f>+A72+1</f>
        <v>68</v>
      </c>
      <c r="B73" s="217"/>
      <c r="C73" s="216" t="s">
        <v>378</v>
      </c>
      <c r="D73" s="216"/>
      <c r="E73" s="215">
        <f>SUM(F73:O73)</f>
        <v>7440029030.4841642</v>
      </c>
      <c r="F73" s="215">
        <f>+F71-F12</f>
        <v>4300371373.6731977</v>
      </c>
      <c r="G73" s="215">
        <f t="shared" ref="G73:O73" si="8">+G71-G12</f>
        <v>896298928.39911652</v>
      </c>
      <c r="H73" s="215">
        <f t="shared" si="8"/>
        <v>862212385.4333781</v>
      </c>
      <c r="I73" s="215">
        <f t="shared" si="8"/>
        <v>512367189.60346317</v>
      </c>
      <c r="J73" s="215">
        <f t="shared" si="8"/>
        <v>400730482.00110996</v>
      </c>
      <c r="K73" s="215">
        <f t="shared" si="8"/>
        <v>182181512.15497708</v>
      </c>
      <c r="L73" s="215">
        <f t="shared" si="8"/>
        <v>118613433.2227883</v>
      </c>
      <c r="M73" s="215">
        <f t="shared" si="8"/>
        <v>70553884.160327896</v>
      </c>
      <c r="N73" s="215">
        <f t="shared" si="8"/>
        <v>86896433.930976748</v>
      </c>
      <c r="O73" s="215">
        <f t="shared" si="8"/>
        <v>9803407.9048292413</v>
      </c>
    </row>
    <row r="74" spans="1:15" x14ac:dyDescent="0.25">
      <c r="A74" s="210">
        <f t="shared" ref="A74:A75" si="9">+A73+1</f>
        <v>69</v>
      </c>
      <c r="C74" s="207" t="s">
        <v>351</v>
      </c>
      <c r="E74" s="187">
        <f>SUM(F74:O74)</f>
        <v>-14731703.514647141</v>
      </c>
      <c r="F74" s="187">
        <v>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f>-M24</f>
        <v>-14731703.514647141</v>
      </c>
      <c r="N74" s="187">
        <v>0</v>
      </c>
      <c r="O74" s="187">
        <v>0</v>
      </c>
    </row>
    <row r="75" spans="1:15" x14ac:dyDescent="0.25">
      <c r="A75" s="210">
        <f t="shared" si="9"/>
        <v>70</v>
      </c>
      <c r="C75" s="208" t="s">
        <v>377</v>
      </c>
      <c r="E75" s="187">
        <f>SUM(F75:O75)</f>
        <v>-44110710.934298433</v>
      </c>
      <c r="F75" s="187"/>
      <c r="G75" s="187"/>
      <c r="H75" s="187"/>
      <c r="I75" s="187"/>
      <c r="J75" s="187"/>
      <c r="K75" s="187"/>
      <c r="L75" s="187"/>
      <c r="M75" s="187">
        <f>-SUM(M29,M32,M35,M37,M40)</f>
        <v>-44110710.934298433</v>
      </c>
      <c r="N75" s="187"/>
      <c r="O75" s="187"/>
    </row>
    <row r="76" spans="1:15" x14ac:dyDescent="0.25">
      <c r="A76" s="210">
        <f t="shared" ref="A76:A77" si="10">+A75+1</f>
        <v>71</v>
      </c>
      <c r="C76" s="208" t="s">
        <v>352</v>
      </c>
      <c r="E76" s="187">
        <f>SUM(F76:O76)</f>
        <v>-3094793.4569119322</v>
      </c>
      <c r="F76" s="187"/>
      <c r="G76" s="187"/>
      <c r="H76" s="187"/>
      <c r="I76" s="187"/>
      <c r="J76" s="187"/>
      <c r="K76" s="187"/>
      <c r="L76" s="187"/>
      <c r="M76" s="187">
        <f>SUM(M74:M75)/SUM(M55,M24)*SUM(M12,M69)</f>
        <v>-3094793.4569119322</v>
      </c>
      <c r="N76" s="187"/>
      <c r="O76" s="187"/>
    </row>
    <row r="77" spans="1:15" x14ac:dyDescent="0.25">
      <c r="A77" s="151">
        <f t="shared" si="10"/>
        <v>72</v>
      </c>
      <c r="B77" s="185"/>
      <c r="C77" s="151" t="s">
        <v>353</v>
      </c>
      <c r="D77" s="186"/>
      <c r="E77" s="187">
        <f>SUM(E73:E76)</f>
        <v>7378091822.5783062</v>
      </c>
      <c r="F77" s="187">
        <f t="shared" ref="F77:O77" si="11">SUM(F73:F76)</f>
        <v>4300371373.6731977</v>
      </c>
      <c r="G77" s="187">
        <f t="shared" si="11"/>
        <v>896298928.39911652</v>
      </c>
      <c r="H77" s="187">
        <f t="shared" si="11"/>
        <v>862212385.4333781</v>
      </c>
      <c r="I77" s="187">
        <f t="shared" si="11"/>
        <v>512367189.60346317</v>
      </c>
      <c r="J77" s="187">
        <f t="shared" si="11"/>
        <v>400730482.00110996</v>
      </c>
      <c r="K77" s="187">
        <f t="shared" si="11"/>
        <v>182181512.15497708</v>
      </c>
      <c r="L77" s="187">
        <f t="shared" si="11"/>
        <v>118613433.2227883</v>
      </c>
      <c r="M77" s="187">
        <f t="shared" si="11"/>
        <v>8616676.2544703893</v>
      </c>
      <c r="N77" s="187">
        <f t="shared" si="11"/>
        <v>86896433.930976748</v>
      </c>
      <c r="O77" s="187">
        <f t="shared" si="11"/>
        <v>9803407.9048292413</v>
      </c>
    </row>
  </sheetData>
  <mergeCells count="2">
    <mergeCell ref="B1:D1"/>
    <mergeCell ref="B2:D2"/>
  </mergeCells>
  <printOptions horizontalCentered="1"/>
  <pageMargins left="0.7" right="0.7" top="0.75" bottom="0.75" header="0.3" footer="0.3"/>
  <pageSetup scale="41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="90" zoomScaleNormal="90" workbookViewId="0">
      <pane xSplit="1" ySplit="4" topLeftCell="B5" activePane="bottomRight" state="frozen"/>
      <selection activeCell="E8" sqref="E8"/>
      <selection pane="topRight" activeCell="E8" sqref="E8"/>
      <selection pane="bottomLeft" activeCell="E8" sqref="E8"/>
      <selection pane="bottomRight" activeCell="H21" sqref="H21"/>
    </sheetView>
  </sheetViews>
  <sheetFormatPr defaultColWidth="5.5703125" defaultRowHeight="15" x14ac:dyDescent="0.25"/>
  <cols>
    <col min="1" max="1" width="6.42578125" style="65" customWidth="1"/>
    <col min="2" max="2" width="45.7109375" style="65" customWidth="1"/>
    <col min="3" max="3" width="9.42578125" style="65" bestFit="1" customWidth="1"/>
    <col min="4" max="6" width="13.28515625" style="65" bestFit="1" customWidth="1"/>
    <col min="7" max="7" width="5.5703125" style="65"/>
    <col min="8" max="10" width="13.28515625" style="65" bestFit="1" customWidth="1"/>
    <col min="11" max="16384" width="5.5703125" style="65"/>
  </cols>
  <sheetData>
    <row r="1" spans="1:10" ht="18.75" x14ac:dyDescent="0.3">
      <c r="A1" s="190" t="s">
        <v>392</v>
      </c>
      <c r="C1" s="188"/>
      <c r="E1" s="220"/>
      <c r="F1" s="221"/>
      <c r="G1" s="221"/>
      <c r="H1" s="221"/>
      <c r="I1" s="221"/>
      <c r="J1" s="221"/>
    </row>
    <row r="2" spans="1:10" ht="18.75" x14ac:dyDescent="0.3">
      <c r="A2" s="189"/>
      <c r="B2" s="190"/>
      <c r="C2" s="188"/>
    </row>
    <row r="3" spans="1:10" x14ac:dyDescent="0.25">
      <c r="A3" s="189"/>
      <c r="C3" s="191"/>
      <c r="D3" s="192" t="s">
        <v>110</v>
      </c>
      <c r="E3" s="193"/>
      <c r="F3" s="194"/>
      <c r="H3" s="192" t="s">
        <v>111</v>
      </c>
      <c r="I3" s="194"/>
      <c r="J3" s="194"/>
    </row>
    <row r="4" spans="1:10" x14ac:dyDescent="0.25">
      <c r="A4" s="189"/>
      <c r="C4" s="191"/>
      <c r="D4" s="195" t="s">
        <v>112</v>
      </c>
      <c r="E4" s="195" t="s">
        <v>113</v>
      </c>
      <c r="F4" s="195" t="s">
        <v>38</v>
      </c>
      <c r="H4" s="195" t="s">
        <v>112</v>
      </c>
      <c r="I4" s="195" t="s">
        <v>113</v>
      </c>
      <c r="J4" s="195" t="s">
        <v>38</v>
      </c>
    </row>
    <row r="5" spans="1:10" x14ac:dyDescent="0.25">
      <c r="A5" s="189"/>
      <c r="C5" s="191"/>
      <c r="H5" s="65">
        <v>0.95238599999999995</v>
      </c>
      <c r="I5" s="65">
        <v>0.954538</v>
      </c>
    </row>
    <row r="6" spans="1:10" x14ac:dyDescent="0.25">
      <c r="A6" s="189">
        <v>1</v>
      </c>
      <c r="B6" s="65" t="s">
        <v>354</v>
      </c>
      <c r="C6" s="191"/>
      <c r="D6" s="196">
        <v>60951385.482407756</v>
      </c>
      <c r="E6" s="196">
        <v>24091323.588776078</v>
      </c>
      <c r="F6" s="196">
        <v>85042709.07118383</v>
      </c>
      <c r="H6" s="196">
        <v>63998615.563865662</v>
      </c>
      <c r="I6" s="196">
        <v>25238726.576392014</v>
      </c>
      <c r="J6" s="196">
        <v>89237342.140257671</v>
      </c>
    </row>
    <row r="7" spans="1:10" x14ac:dyDescent="0.25">
      <c r="A7" s="189"/>
      <c r="C7" s="191"/>
    </row>
    <row r="8" spans="1:10" x14ac:dyDescent="0.25">
      <c r="A8" s="189">
        <v>2</v>
      </c>
      <c r="B8" s="65" t="s">
        <v>114</v>
      </c>
      <c r="C8" s="191"/>
    </row>
    <row r="9" spans="1:10" x14ac:dyDescent="0.25">
      <c r="A9" s="189">
        <v>3</v>
      </c>
      <c r="B9" s="197" t="s">
        <v>355</v>
      </c>
      <c r="C9" s="191"/>
      <c r="D9" s="198">
        <v>61210374</v>
      </c>
      <c r="E9" s="198">
        <v>22280077</v>
      </c>
      <c r="F9" s="198">
        <v>83490451</v>
      </c>
      <c r="H9" s="198">
        <v>64270552.066074051</v>
      </c>
      <c r="I9" s="198">
        <v>23341215.33139592</v>
      </c>
      <c r="J9" s="198">
        <v>87611767.397469968</v>
      </c>
    </row>
    <row r="10" spans="1:10" x14ac:dyDescent="0.25">
      <c r="A10" s="189">
        <v>4</v>
      </c>
      <c r="B10" s="197" t="s">
        <v>354</v>
      </c>
      <c r="C10" s="219" t="s">
        <v>115</v>
      </c>
      <c r="D10" s="198">
        <v>60951385.482407756</v>
      </c>
      <c r="E10" s="198">
        <v>24091323.588776078</v>
      </c>
      <c r="F10" s="198">
        <v>85042709.07118383</v>
      </c>
      <c r="H10" s="198">
        <v>63998615.563865662</v>
      </c>
      <c r="I10" s="198">
        <v>25238726.576392014</v>
      </c>
      <c r="J10" s="198">
        <v>89237342.140257671</v>
      </c>
    </row>
    <row r="11" spans="1:10" x14ac:dyDescent="0.25">
      <c r="A11" s="189">
        <v>5</v>
      </c>
      <c r="B11" s="65" t="s">
        <v>356</v>
      </c>
      <c r="C11" s="191"/>
      <c r="D11" s="198">
        <v>-897059.75998074166</v>
      </c>
      <c r="E11" s="198">
        <v>-260998.14092877274</v>
      </c>
      <c r="F11" s="198">
        <v>-1158057.9009095144</v>
      </c>
      <c r="H11" s="198">
        <v>-941907.75586867263</v>
      </c>
      <c r="I11" s="198">
        <v>-273428.75917854789</v>
      </c>
      <c r="J11" s="198">
        <v>-1215336.5150472205</v>
      </c>
    </row>
    <row r="12" spans="1:10" x14ac:dyDescent="0.25">
      <c r="A12" s="189"/>
      <c r="C12" s="191"/>
      <c r="D12" s="199"/>
      <c r="E12" s="199"/>
      <c r="F12" s="199"/>
      <c r="H12" s="200">
        <v>0</v>
      </c>
      <c r="I12" s="200">
        <v>0</v>
      </c>
      <c r="J12" s="201" t="s">
        <v>357</v>
      </c>
    </row>
    <row r="13" spans="1:10" x14ac:dyDescent="0.25">
      <c r="A13" s="189">
        <v>6</v>
      </c>
      <c r="B13" s="65" t="s">
        <v>176</v>
      </c>
      <c r="C13" s="219" t="s">
        <v>116</v>
      </c>
      <c r="D13" s="198">
        <v>-638071.24238849781</v>
      </c>
      <c r="E13" s="198">
        <v>-2072244.7297048508</v>
      </c>
      <c r="F13" s="198">
        <v>-2710315.9720933484</v>
      </c>
      <c r="H13" s="198">
        <v>-669971.25366028328</v>
      </c>
      <c r="I13" s="198">
        <v>-2170940.0041746413</v>
      </c>
      <c r="J13" s="198">
        <v>-2840911.2578349244</v>
      </c>
    </row>
    <row r="14" spans="1:10" x14ac:dyDescent="0.25">
      <c r="A14" s="189"/>
      <c r="C14" s="191"/>
      <c r="D14" s="199"/>
      <c r="E14" s="199"/>
      <c r="F14" s="199"/>
      <c r="H14" s="199"/>
      <c r="I14" s="199"/>
      <c r="J14" s="199"/>
    </row>
    <row r="15" spans="1:10" ht="15.75" thickBot="1" x14ac:dyDescent="0.3">
      <c r="A15" s="189">
        <v>7</v>
      </c>
      <c r="B15" s="65" t="s">
        <v>117</v>
      </c>
      <c r="C15" s="219" t="s">
        <v>118</v>
      </c>
      <c r="D15" s="202">
        <v>60313314.240019262</v>
      </c>
      <c r="E15" s="202">
        <v>22019078.859071229</v>
      </c>
      <c r="F15" s="202">
        <v>82332393.099090487</v>
      </c>
      <c r="H15" s="202">
        <v>63328644.310205378</v>
      </c>
      <c r="I15" s="202">
        <v>23067786.572217371</v>
      </c>
      <c r="J15" s="202">
        <v>86396430.882422745</v>
      </c>
    </row>
    <row r="16" spans="1:10" ht="15.75" thickTop="1" x14ac:dyDescent="0.25">
      <c r="A16" s="189"/>
      <c r="C16" s="191"/>
    </row>
    <row r="17" spans="1:10" x14ac:dyDescent="0.25">
      <c r="A17" s="189"/>
      <c r="C17" s="191"/>
    </row>
    <row r="18" spans="1:10" x14ac:dyDescent="0.25">
      <c r="A18" s="189">
        <v>8</v>
      </c>
      <c r="B18" s="65" t="s">
        <v>119</v>
      </c>
      <c r="C18" s="219" t="s">
        <v>120</v>
      </c>
      <c r="D18" s="196">
        <v>38719213.927002817</v>
      </c>
      <c r="E18" s="196">
        <v>17497894.318171229</v>
      </c>
      <c r="F18" s="196">
        <v>56217108.24517405</v>
      </c>
      <c r="H18" s="196">
        <v>40654959.152069449</v>
      </c>
      <c r="I18" s="196">
        <v>18331270.539435022</v>
      </c>
      <c r="J18" s="196">
        <v>58986229.691504471</v>
      </c>
    </row>
    <row r="19" spans="1:10" x14ac:dyDescent="0.25">
      <c r="A19" s="189">
        <v>9</v>
      </c>
      <c r="B19" s="65" t="s">
        <v>121</v>
      </c>
      <c r="C19" s="191"/>
      <c r="D19" s="198">
        <v>21594100.313016444</v>
      </c>
      <c r="E19" s="198">
        <v>4521184.5408999994</v>
      </c>
      <c r="F19" s="198">
        <v>26115284.853916444</v>
      </c>
      <c r="H19" s="198">
        <v>22673685.158135928</v>
      </c>
      <c r="I19" s="198">
        <v>4736516.0327823507</v>
      </c>
      <c r="J19" s="198">
        <v>27410201.190918278</v>
      </c>
    </row>
    <row r="20" spans="1:10" x14ac:dyDescent="0.25">
      <c r="A20" s="189"/>
      <c r="C20" s="191"/>
      <c r="D20" s="199"/>
      <c r="E20" s="199"/>
      <c r="F20" s="199"/>
      <c r="H20" s="199"/>
      <c r="I20" s="199"/>
      <c r="J20" s="199"/>
    </row>
    <row r="21" spans="1:10" ht="15.75" thickBot="1" x14ac:dyDescent="0.3">
      <c r="A21" s="189">
        <v>10</v>
      </c>
      <c r="B21" s="65" t="s">
        <v>117</v>
      </c>
      <c r="C21" s="219" t="s">
        <v>122</v>
      </c>
      <c r="D21" s="202">
        <v>60313314.240019262</v>
      </c>
      <c r="E21" s="202">
        <v>22019078.859071229</v>
      </c>
      <c r="F21" s="202">
        <v>82332393.099090487</v>
      </c>
      <c r="H21" s="202">
        <v>63328644.310205378</v>
      </c>
      <c r="I21" s="202">
        <v>23067786.572217371</v>
      </c>
      <c r="J21" s="202">
        <v>86396430.882422745</v>
      </c>
    </row>
    <row r="22" spans="1:10" ht="15.75" thickTop="1" x14ac:dyDescent="0.25">
      <c r="A22" s="189"/>
      <c r="C22" s="191"/>
    </row>
    <row r="23" spans="1:10" x14ac:dyDescent="0.25">
      <c r="A23" s="189"/>
      <c r="C23" s="191"/>
      <c r="D23" s="196"/>
      <c r="E23" s="196"/>
      <c r="F23" s="196"/>
    </row>
    <row r="24" spans="1:10" x14ac:dyDescent="0.25">
      <c r="A24" s="189">
        <v>11</v>
      </c>
      <c r="B24" s="65" t="s">
        <v>123</v>
      </c>
      <c r="C24" s="191"/>
    </row>
    <row r="25" spans="1:10" x14ac:dyDescent="0.25">
      <c r="A25" s="189">
        <v>12</v>
      </c>
      <c r="B25" s="197" t="s">
        <v>124</v>
      </c>
      <c r="C25" s="191"/>
      <c r="D25" s="198">
        <v>3251292</v>
      </c>
      <c r="E25" s="198">
        <v>1673589</v>
      </c>
      <c r="F25" s="198">
        <v>4924881</v>
      </c>
      <c r="H25" s="198">
        <v>3413838.5066559147</v>
      </c>
      <c r="I25" s="198">
        <v>1753297.4067035571</v>
      </c>
      <c r="J25" s="198">
        <v>5167135.9133594716</v>
      </c>
    </row>
    <row r="26" spans="1:10" x14ac:dyDescent="0.25">
      <c r="A26" s="189">
        <v>13</v>
      </c>
      <c r="B26" s="197" t="s">
        <v>125</v>
      </c>
      <c r="C26" s="191"/>
      <c r="D26" s="198">
        <v>-3889363.2423884971</v>
      </c>
      <c r="E26" s="198">
        <v>-3745833.7297048504</v>
      </c>
      <c r="F26" s="198">
        <v>-7635196.9720933475</v>
      </c>
      <c r="H26" s="198">
        <v>-4083809.7603161926</v>
      </c>
      <c r="I26" s="198">
        <v>-3924237.410878195</v>
      </c>
      <c r="J26" s="198">
        <v>-8008047.1711943876</v>
      </c>
    </row>
    <row r="27" spans="1:10" ht="15.75" thickBot="1" x14ac:dyDescent="0.3">
      <c r="A27" s="189">
        <v>14</v>
      </c>
      <c r="B27" s="65" t="s">
        <v>126</v>
      </c>
      <c r="C27" s="191"/>
      <c r="D27" s="203">
        <v>-638071.24238849711</v>
      </c>
      <c r="E27" s="203">
        <v>-2072244.7297048504</v>
      </c>
      <c r="F27" s="203">
        <v>-2710315.9720933475</v>
      </c>
      <c r="H27" s="203">
        <v>-669971.25366027793</v>
      </c>
      <c r="I27" s="203">
        <v>-2170940.0041746376</v>
      </c>
      <c r="J27" s="203">
        <v>-2840911.2578349155</v>
      </c>
    </row>
    <row r="28" spans="1:10" ht="15.75" thickTop="1" x14ac:dyDescent="0.25">
      <c r="A28" s="189"/>
      <c r="C28" s="191"/>
      <c r="D28" s="204">
        <v>0</v>
      </c>
      <c r="E28" s="204">
        <v>0</v>
      </c>
      <c r="F28" s="204">
        <v>0</v>
      </c>
      <c r="G28" s="205"/>
      <c r="H28" s="206">
        <v>5.3551048040390015E-9</v>
      </c>
      <c r="I28" s="206">
        <v>3.7252902984619141E-9</v>
      </c>
      <c r="J28" s="204">
        <v>8.8475644588470459E-9</v>
      </c>
    </row>
    <row r="29" spans="1:10" x14ac:dyDescent="0.25">
      <c r="A29" s="189"/>
      <c r="C29" s="191"/>
      <c r="H29" s="196"/>
      <c r="I29" s="196"/>
      <c r="J29" s="196"/>
    </row>
    <row r="30" spans="1:10" x14ac:dyDescent="0.25">
      <c r="A30" s="189">
        <v>15</v>
      </c>
      <c r="B30" s="222" t="s">
        <v>393</v>
      </c>
      <c r="C30" s="219"/>
      <c r="H30" s="223">
        <v>-1.0468527291683341E-2</v>
      </c>
      <c r="I30" s="223">
        <v>-8.6016225802981183E-2</v>
      </c>
    </row>
    <row r="31" spans="1:10" x14ac:dyDescent="0.25">
      <c r="A31" s="189">
        <v>16</v>
      </c>
      <c r="B31" s="222" t="s">
        <v>394</v>
      </c>
      <c r="C31" s="191"/>
      <c r="H31" s="189" t="s">
        <v>395</v>
      </c>
      <c r="I31" s="189" t="s">
        <v>395</v>
      </c>
    </row>
    <row r="32" spans="1:10" x14ac:dyDescent="0.25">
      <c r="A32" s="189">
        <v>17</v>
      </c>
      <c r="B32" s="224" t="s">
        <v>396</v>
      </c>
      <c r="C32" s="191"/>
    </row>
    <row r="33" spans="1:3" x14ac:dyDescent="0.25">
      <c r="A33" s="189">
        <v>18</v>
      </c>
      <c r="B33" s="224" t="s">
        <v>397</v>
      </c>
      <c r="C33" s="191"/>
    </row>
  </sheetData>
  <printOptions horizontalCentered="1"/>
  <pageMargins left="0.7" right="0.7" top="0.75" bottom="0.75" header="0.3" footer="0.3"/>
  <pageSetup scale="83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79" activePane="bottomRight" state="frozen"/>
      <selection activeCell="E8" sqref="E8"/>
      <selection pane="topRight" activeCell="E8" sqref="E8"/>
      <selection pane="bottomLeft" activeCell="E8" sqref="E8"/>
      <selection pane="bottomRight" activeCell="E191" sqref="E191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18.7109375" bestFit="1" customWidth="1"/>
    <col min="4" max="4" width="12.28515625" bestFit="1" customWidth="1"/>
    <col min="5" max="7" width="12.85546875" customWidth="1"/>
    <col min="8" max="8" width="10.28515625" bestFit="1" customWidth="1"/>
    <col min="9" max="10" width="10.28515625" customWidth="1"/>
    <col min="11" max="11" width="9.7109375" bestFit="1" customWidth="1"/>
  </cols>
  <sheetData>
    <row r="1" spans="1:11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1" t="s">
        <v>198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32" t="s">
        <v>250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199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25">
      <c r="A5" s="153"/>
      <c r="B5" s="225"/>
      <c r="C5" s="225"/>
      <c r="D5" s="225"/>
      <c r="E5" s="225"/>
      <c r="F5" s="225"/>
      <c r="G5" s="225"/>
      <c r="H5" s="154"/>
      <c r="I5" s="154"/>
      <c r="J5" s="154"/>
      <c r="K5" s="154"/>
    </row>
    <row r="6" spans="1:11" ht="64.5" x14ac:dyDescent="0.25">
      <c r="A6" s="29" t="s">
        <v>1</v>
      </c>
      <c r="B6" s="29" t="s">
        <v>3</v>
      </c>
      <c r="C6" s="29" t="s">
        <v>86</v>
      </c>
      <c r="D6" s="29" t="s">
        <v>200</v>
      </c>
      <c r="E6" s="28" t="s">
        <v>251</v>
      </c>
      <c r="F6" s="28" t="s">
        <v>257</v>
      </c>
      <c r="G6" s="28" t="s">
        <v>252</v>
      </c>
      <c r="H6" s="29" t="s">
        <v>201</v>
      </c>
      <c r="I6" s="28" t="s">
        <v>258</v>
      </c>
      <c r="J6" s="28" t="s">
        <v>259</v>
      </c>
      <c r="K6" s="29" t="s">
        <v>202</v>
      </c>
    </row>
    <row r="7" spans="1:11" x14ac:dyDescent="0.25">
      <c r="A7" s="153"/>
      <c r="B7" s="155"/>
      <c r="C7" s="155"/>
      <c r="D7" s="156"/>
      <c r="E7" s="155" t="s">
        <v>33</v>
      </c>
      <c r="F7" s="155" t="s">
        <v>32</v>
      </c>
      <c r="G7" s="156" t="s">
        <v>31</v>
      </c>
      <c r="H7" s="177" t="s">
        <v>35</v>
      </c>
      <c r="I7" s="177" t="s">
        <v>34</v>
      </c>
      <c r="J7" s="177" t="s">
        <v>30</v>
      </c>
      <c r="K7" s="177" t="s">
        <v>193</v>
      </c>
    </row>
    <row r="8" spans="1:11" ht="26.25" x14ac:dyDescent="0.25">
      <c r="A8" s="153"/>
      <c r="B8" s="155"/>
      <c r="C8" s="155"/>
      <c r="D8" s="156"/>
      <c r="E8" s="156"/>
      <c r="F8" s="156"/>
      <c r="G8" s="25" t="s">
        <v>253</v>
      </c>
      <c r="H8" s="154"/>
      <c r="I8" s="157" t="s">
        <v>254</v>
      </c>
      <c r="J8" s="157" t="s">
        <v>255</v>
      </c>
      <c r="K8" s="25" t="s">
        <v>256</v>
      </c>
    </row>
    <row r="9" spans="1:11" x14ac:dyDescent="0.25">
      <c r="A9" s="153">
        <v>1</v>
      </c>
      <c r="B9" s="158" t="s">
        <v>203</v>
      </c>
      <c r="C9" s="158"/>
      <c r="D9" s="158"/>
      <c r="E9" s="158"/>
      <c r="F9" s="158"/>
      <c r="G9" s="159"/>
      <c r="H9" s="154"/>
      <c r="I9" s="154"/>
      <c r="J9" s="154"/>
      <c r="K9" s="154"/>
    </row>
    <row r="10" spans="1:11" x14ac:dyDescent="0.25">
      <c r="A10" s="153">
        <f>A9+1</f>
        <v>2</v>
      </c>
      <c r="B10" s="160" t="s">
        <v>204</v>
      </c>
      <c r="C10" s="161" t="s">
        <v>205</v>
      </c>
      <c r="D10" s="162">
        <v>22</v>
      </c>
      <c r="E10" s="163">
        <f>+'[1]Sch 140 Combined Charges'!O10</f>
        <v>0.01</v>
      </c>
      <c r="F10" s="163">
        <f>+'[1]Sch 140 Combined Charges'!P10</f>
        <v>0</v>
      </c>
      <c r="G10" s="163">
        <f>SUM(E10:F10)</f>
        <v>0.01</v>
      </c>
      <c r="H10" s="164">
        <f>+'[1]Sch 140 Combined Charges'!L10</f>
        <v>59</v>
      </c>
      <c r="I10" s="165">
        <f>ROUND($H10*E10*12,0)</f>
        <v>7</v>
      </c>
      <c r="J10" s="165">
        <f>ROUND($H10*F10*12,0)</f>
        <v>0</v>
      </c>
      <c r="K10" s="165">
        <f>SUM(I10:J10)</f>
        <v>7</v>
      </c>
    </row>
    <row r="11" spans="1:11" x14ac:dyDescent="0.25">
      <c r="A11" s="153">
        <f t="shared" ref="A11:A74" si="0">A10+1</f>
        <v>3</v>
      </c>
      <c r="B11" s="26"/>
      <c r="C11" s="156"/>
      <c r="D11" s="25"/>
      <c r="E11" s="159"/>
      <c r="F11" s="159"/>
      <c r="G11" s="159"/>
      <c r="H11" s="164"/>
      <c r="I11" s="164"/>
      <c r="J11" s="164"/>
      <c r="K11" s="154"/>
    </row>
    <row r="12" spans="1:11" x14ac:dyDescent="0.25">
      <c r="A12" s="153">
        <f t="shared" si="0"/>
        <v>4</v>
      </c>
      <c r="B12" s="160" t="s">
        <v>206</v>
      </c>
      <c r="C12" s="166" t="s">
        <v>87</v>
      </c>
      <c r="D12" s="167">
        <v>100</v>
      </c>
      <c r="E12" s="163">
        <f>+'[1]Sch 140 Combined Charges'!O12</f>
        <v>0.04</v>
      </c>
      <c r="F12" s="163">
        <f>+'[1]Sch 140 Combined Charges'!P12</f>
        <v>0.02</v>
      </c>
      <c r="G12" s="163">
        <f t="shared" ref="G12:G18" si="1">SUM(E12:F12)</f>
        <v>0.06</v>
      </c>
      <c r="H12" s="164">
        <f>+'[1]Sch 140 Combined Charges'!L12</f>
        <v>3</v>
      </c>
      <c r="I12" s="165">
        <f t="shared" ref="I12:I18" si="2">ROUND($H12*E12*12,0)</f>
        <v>1</v>
      </c>
      <c r="J12" s="165">
        <f t="shared" ref="J12:J18" si="3">ROUND($H12*F12*12,0)</f>
        <v>1</v>
      </c>
      <c r="K12" s="165">
        <f t="shared" ref="K12:K18" si="4">SUM(I12:J12)</f>
        <v>2</v>
      </c>
    </row>
    <row r="13" spans="1:11" x14ac:dyDescent="0.25">
      <c r="A13" s="153">
        <f t="shared" si="0"/>
        <v>5</v>
      </c>
      <c r="B13" s="160" t="str">
        <f>+B12</f>
        <v>50E-A</v>
      </c>
      <c r="C13" s="166" t="str">
        <f>+C12</f>
        <v>Mercury Vapor</v>
      </c>
      <c r="D13" s="167">
        <v>175</v>
      </c>
      <c r="E13" s="163">
        <f>+'[1]Sch 140 Combined Charges'!O13</f>
        <v>7.0000000000000007E-2</v>
      </c>
      <c r="F13" s="163">
        <f>+'[1]Sch 140 Combined Charges'!P13</f>
        <v>0.04</v>
      </c>
      <c r="G13" s="163">
        <f t="shared" si="1"/>
        <v>0.11000000000000001</v>
      </c>
      <c r="H13" s="164">
        <f>+'[1]Sch 140 Combined Charges'!L13</f>
        <v>19</v>
      </c>
      <c r="I13" s="165">
        <f t="shared" si="2"/>
        <v>16</v>
      </c>
      <c r="J13" s="165">
        <f t="shared" si="3"/>
        <v>9</v>
      </c>
      <c r="K13" s="165">
        <f t="shared" si="4"/>
        <v>25</v>
      </c>
    </row>
    <row r="14" spans="1:11" x14ac:dyDescent="0.25">
      <c r="A14" s="153">
        <f t="shared" si="0"/>
        <v>6</v>
      </c>
      <c r="B14" s="160" t="str">
        <f>+B13</f>
        <v>50E-A</v>
      </c>
      <c r="C14" s="166" t="str">
        <f>+C13</f>
        <v>Mercury Vapor</v>
      </c>
      <c r="D14" s="167">
        <v>400</v>
      </c>
      <c r="E14" s="163">
        <f>+'[1]Sch 140 Combined Charges'!O14</f>
        <v>0.16</v>
      </c>
      <c r="F14" s="163">
        <f>+'[1]Sch 140 Combined Charges'!P14</f>
        <v>0.1</v>
      </c>
      <c r="G14" s="163">
        <f t="shared" si="1"/>
        <v>0.26</v>
      </c>
      <c r="H14" s="164">
        <f>+'[1]Sch 140 Combined Charges'!L14</f>
        <v>20</v>
      </c>
      <c r="I14" s="165">
        <f t="shared" si="2"/>
        <v>38</v>
      </c>
      <c r="J14" s="165">
        <f t="shared" si="3"/>
        <v>24</v>
      </c>
      <c r="K14" s="165">
        <f t="shared" si="4"/>
        <v>62</v>
      </c>
    </row>
    <row r="15" spans="1:11" x14ac:dyDescent="0.25">
      <c r="A15" s="153">
        <f t="shared" si="0"/>
        <v>7</v>
      </c>
      <c r="B15" s="160" t="s">
        <v>207</v>
      </c>
      <c r="C15" s="166" t="str">
        <f>+C14</f>
        <v>Mercury Vapor</v>
      </c>
      <c r="D15" s="167">
        <v>100</v>
      </c>
      <c r="E15" s="163">
        <f>+'[1]Sch 140 Combined Charges'!O15</f>
        <v>0.04</v>
      </c>
      <c r="F15" s="163">
        <f>+'[1]Sch 140 Combined Charges'!P15</f>
        <v>0.02</v>
      </c>
      <c r="G15" s="163">
        <f t="shared" si="1"/>
        <v>0.06</v>
      </c>
      <c r="H15" s="164">
        <f>+'[1]Sch 140 Combined Charges'!L15</f>
        <v>0</v>
      </c>
      <c r="I15" s="165">
        <f t="shared" si="2"/>
        <v>0</v>
      </c>
      <c r="J15" s="165">
        <f t="shared" si="3"/>
        <v>0</v>
      </c>
      <c r="K15" s="165">
        <f t="shared" si="4"/>
        <v>0</v>
      </c>
    </row>
    <row r="16" spans="1:11" x14ac:dyDescent="0.25">
      <c r="A16" s="153">
        <f t="shared" si="0"/>
        <v>8</v>
      </c>
      <c r="B16" s="160" t="str">
        <f t="shared" ref="B16:C18" si="5">+B15</f>
        <v>50E-B</v>
      </c>
      <c r="C16" s="166" t="str">
        <f t="shared" si="5"/>
        <v>Mercury Vapor</v>
      </c>
      <c r="D16" s="167">
        <v>175</v>
      </c>
      <c r="E16" s="163">
        <f>+'[1]Sch 140 Combined Charges'!O16</f>
        <v>7.0000000000000007E-2</v>
      </c>
      <c r="F16" s="163">
        <f>+'[1]Sch 140 Combined Charges'!P16</f>
        <v>0.04</v>
      </c>
      <c r="G16" s="163">
        <f t="shared" si="1"/>
        <v>0.11000000000000001</v>
      </c>
      <c r="H16" s="164">
        <f>+'[1]Sch 140 Combined Charges'!L16</f>
        <v>1</v>
      </c>
      <c r="I16" s="165">
        <f t="shared" si="2"/>
        <v>1</v>
      </c>
      <c r="J16" s="165">
        <f t="shared" si="3"/>
        <v>0</v>
      </c>
      <c r="K16" s="165">
        <f t="shared" si="4"/>
        <v>1</v>
      </c>
    </row>
    <row r="17" spans="1:11" x14ac:dyDescent="0.25">
      <c r="A17" s="153">
        <f t="shared" si="0"/>
        <v>9</v>
      </c>
      <c r="B17" s="160" t="str">
        <f t="shared" si="5"/>
        <v>50E-B</v>
      </c>
      <c r="C17" s="166" t="str">
        <f t="shared" si="5"/>
        <v>Mercury Vapor</v>
      </c>
      <c r="D17" s="167">
        <v>400</v>
      </c>
      <c r="E17" s="163">
        <f>+'[1]Sch 140 Combined Charges'!O17</f>
        <v>0.16</v>
      </c>
      <c r="F17" s="163">
        <f>+'[1]Sch 140 Combined Charges'!P17</f>
        <v>0.1</v>
      </c>
      <c r="G17" s="163">
        <f t="shared" si="1"/>
        <v>0.26</v>
      </c>
      <c r="H17" s="164">
        <f>+'[1]Sch 140 Combined Charges'!L17</f>
        <v>0</v>
      </c>
      <c r="I17" s="165">
        <f t="shared" si="2"/>
        <v>0</v>
      </c>
      <c r="J17" s="165">
        <f t="shared" si="3"/>
        <v>0</v>
      </c>
      <c r="K17" s="165">
        <f t="shared" si="4"/>
        <v>0</v>
      </c>
    </row>
    <row r="18" spans="1:11" x14ac:dyDescent="0.25">
      <c r="A18" s="153">
        <f t="shared" si="0"/>
        <v>10</v>
      </c>
      <c r="B18" s="160" t="str">
        <f t="shared" si="5"/>
        <v>50E-B</v>
      </c>
      <c r="C18" s="166" t="str">
        <f t="shared" si="5"/>
        <v>Mercury Vapor</v>
      </c>
      <c r="D18" s="167">
        <v>700</v>
      </c>
      <c r="E18" s="163">
        <f>+'[1]Sch 140 Combined Charges'!O18</f>
        <v>0.28000000000000003</v>
      </c>
      <c r="F18" s="163">
        <f>+'[1]Sch 140 Combined Charges'!P18</f>
        <v>0.17</v>
      </c>
      <c r="G18" s="163">
        <f t="shared" si="1"/>
        <v>0.45000000000000007</v>
      </c>
      <c r="H18" s="164">
        <f>+'[1]Sch 140 Combined Charges'!L18</f>
        <v>0</v>
      </c>
      <c r="I18" s="165">
        <f t="shared" si="2"/>
        <v>0</v>
      </c>
      <c r="J18" s="165">
        <f t="shared" si="3"/>
        <v>0</v>
      </c>
      <c r="K18" s="165">
        <f t="shared" si="4"/>
        <v>0</v>
      </c>
    </row>
    <row r="19" spans="1:11" x14ac:dyDescent="0.25">
      <c r="A19" s="153">
        <f t="shared" si="0"/>
        <v>11</v>
      </c>
      <c r="B19" s="168"/>
      <c r="C19" s="169"/>
      <c r="D19" s="158"/>
      <c r="E19" s="159"/>
      <c r="F19" s="159"/>
      <c r="G19" s="159"/>
      <c r="H19" s="164"/>
      <c r="I19" s="164"/>
      <c r="J19" s="164"/>
      <c r="K19" s="154"/>
    </row>
    <row r="20" spans="1:11" x14ac:dyDescent="0.25">
      <c r="A20" s="153">
        <f t="shared" si="0"/>
        <v>12</v>
      </c>
      <c r="B20" s="168" t="s">
        <v>208</v>
      </c>
      <c r="C20" s="169"/>
      <c r="D20" s="158"/>
      <c r="E20" s="159"/>
      <c r="F20" s="159"/>
      <c r="G20" s="159"/>
      <c r="H20" s="164"/>
      <c r="I20" s="164"/>
      <c r="J20" s="164"/>
      <c r="K20" s="154"/>
    </row>
    <row r="21" spans="1:11" x14ac:dyDescent="0.25">
      <c r="A21" s="153">
        <f t="shared" si="0"/>
        <v>13</v>
      </c>
      <c r="B21" s="160" t="s">
        <v>209</v>
      </c>
      <c r="C21" s="166" t="s">
        <v>210</v>
      </c>
      <c r="D21" s="167" t="s">
        <v>211</v>
      </c>
      <c r="E21" s="163">
        <f>+'[1]Sch 140 Combined Charges'!O21</f>
        <v>0.02</v>
      </c>
      <c r="F21" s="163">
        <f>+'[1]Sch 140 Combined Charges'!P21</f>
        <v>0.01</v>
      </c>
      <c r="G21" s="163">
        <f t="shared" ref="G21:G29" si="6">SUM(E21:F21)</f>
        <v>0.03</v>
      </c>
      <c r="H21" s="164">
        <f>+'[1]Sch 140 Combined Charges'!L21</f>
        <v>1604</v>
      </c>
      <c r="I21" s="165">
        <f t="shared" ref="I21:I29" si="7">ROUND($H21*E21*12,0)</f>
        <v>385</v>
      </c>
      <c r="J21" s="165">
        <f t="shared" ref="J21:J29" si="8">ROUND($H21*F21*12,0)</f>
        <v>192</v>
      </c>
      <c r="K21" s="165">
        <f t="shared" ref="K21:K29" si="9">SUM(I21:J21)</f>
        <v>577</v>
      </c>
    </row>
    <row r="22" spans="1:11" x14ac:dyDescent="0.25">
      <c r="A22" s="153">
        <f t="shared" si="0"/>
        <v>14</v>
      </c>
      <c r="B22" s="160" t="s">
        <v>209</v>
      </c>
      <c r="C22" s="166" t="s">
        <v>210</v>
      </c>
      <c r="D22" s="167" t="s">
        <v>212</v>
      </c>
      <c r="E22" s="163">
        <f>+'[1]Sch 140 Combined Charges'!O22</f>
        <v>0.03</v>
      </c>
      <c r="F22" s="163">
        <f>+'[1]Sch 140 Combined Charges'!P22</f>
        <v>0.02</v>
      </c>
      <c r="G22" s="163">
        <f t="shared" si="6"/>
        <v>0.05</v>
      </c>
      <c r="H22" s="164">
        <f>+'[1]Sch 140 Combined Charges'!L22</f>
        <v>818</v>
      </c>
      <c r="I22" s="165">
        <f t="shared" si="7"/>
        <v>294</v>
      </c>
      <c r="J22" s="165">
        <f t="shared" si="8"/>
        <v>196</v>
      </c>
      <c r="K22" s="165">
        <f t="shared" si="9"/>
        <v>490</v>
      </c>
    </row>
    <row r="23" spans="1:11" x14ac:dyDescent="0.25">
      <c r="A23" s="153">
        <f t="shared" si="0"/>
        <v>15</v>
      </c>
      <c r="B23" s="160" t="s">
        <v>209</v>
      </c>
      <c r="C23" s="166" t="s">
        <v>210</v>
      </c>
      <c r="D23" s="167" t="s">
        <v>213</v>
      </c>
      <c r="E23" s="163">
        <f>+'[1]Sch 140 Combined Charges'!O23</f>
        <v>0.04</v>
      </c>
      <c r="F23" s="163">
        <f>+'[1]Sch 140 Combined Charges'!P23</f>
        <v>0.03</v>
      </c>
      <c r="G23" s="163">
        <f t="shared" si="6"/>
        <v>7.0000000000000007E-2</v>
      </c>
      <c r="H23" s="164">
        <f>+'[1]Sch 140 Combined Charges'!L23</f>
        <v>551</v>
      </c>
      <c r="I23" s="165">
        <f t="shared" si="7"/>
        <v>264</v>
      </c>
      <c r="J23" s="165">
        <f t="shared" si="8"/>
        <v>198</v>
      </c>
      <c r="K23" s="165">
        <f t="shared" si="9"/>
        <v>462</v>
      </c>
    </row>
    <row r="24" spans="1:11" x14ac:dyDescent="0.25">
      <c r="A24" s="153">
        <f t="shared" si="0"/>
        <v>16</v>
      </c>
      <c r="B24" s="160" t="s">
        <v>209</v>
      </c>
      <c r="C24" s="166" t="s">
        <v>210</v>
      </c>
      <c r="D24" s="167" t="s">
        <v>214</v>
      </c>
      <c r="E24" s="163">
        <f>+'[1]Sch 140 Combined Charges'!O24</f>
        <v>0.06</v>
      </c>
      <c r="F24" s="163">
        <f>+'[1]Sch 140 Combined Charges'!P24</f>
        <v>0.03</v>
      </c>
      <c r="G24" s="163">
        <f t="shared" si="6"/>
        <v>0.09</v>
      </c>
      <c r="H24" s="164">
        <f>+'[1]Sch 140 Combined Charges'!L24</f>
        <v>240</v>
      </c>
      <c r="I24" s="165">
        <f t="shared" si="7"/>
        <v>173</v>
      </c>
      <c r="J24" s="165">
        <f t="shared" si="8"/>
        <v>86</v>
      </c>
      <c r="K24" s="165">
        <f t="shared" si="9"/>
        <v>259</v>
      </c>
    </row>
    <row r="25" spans="1:11" x14ac:dyDescent="0.25">
      <c r="A25" s="153">
        <f t="shared" si="0"/>
        <v>17</v>
      </c>
      <c r="B25" s="160" t="s">
        <v>209</v>
      </c>
      <c r="C25" s="166" t="s">
        <v>210</v>
      </c>
      <c r="D25" s="167" t="s">
        <v>215</v>
      </c>
      <c r="E25" s="163">
        <f>+'[1]Sch 140 Combined Charges'!O25</f>
        <v>7.0000000000000007E-2</v>
      </c>
      <c r="F25" s="163">
        <f>+'[1]Sch 140 Combined Charges'!P25</f>
        <v>0.04</v>
      </c>
      <c r="G25" s="163">
        <f t="shared" si="6"/>
        <v>0.11000000000000001</v>
      </c>
      <c r="H25" s="164">
        <f>+'[1]Sch 140 Combined Charges'!L25</f>
        <v>49</v>
      </c>
      <c r="I25" s="165">
        <f t="shared" si="7"/>
        <v>41</v>
      </c>
      <c r="J25" s="165">
        <f t="shared" si="8"/>
        <v>24</v>
      </c>
      <c r="K25" s="165">
        <f t="shared" si="9"/>
        <v>65</v>
      </c>
    </row>
    <row r="26" spans="1:11" x14ac:dyDescent="0.25">
      <c r="A26" s="153">
        <f t="shared" si="0"/>
        <v>18</v>
      </c>
      <c r="B26" s="160" t="s">
        <v>209</v>
      </c>
      <c r="C26" s="166" t="s">
        <v>210</v>
      </c>
      <c r="D26" s="167" t="s">
        <v>216</v>
      </c>
      <c r="E26" s="163">
        <f>+'[1]Sch 140 Combined Charges'!O26</f>
        <v>0.08</v>
      </c>
      <c r="F26" s="163">
        <f>+'[1]Sch 140 Combined Charges'!P26</f>
        <v>0.05</v>
      </c>
      <c r="G26" s="163">
        <f t="shared" si="6"/>
        <v>0.13</v>
      </c>
      <c r="H26" s="164">
        <f>+'[1]Sch 140 Combined Charges'!L26</f>
        <v>169</v>
      </c>
      <c r="I26" s="165">
        <f t="shared" si="7"/>
        <v>162</v>
      </c>
      <c r="J26" s="165">
        <f t="shared" si="8"/>
        <v>101</v>
      </c>
      <c r="K26" s="165">
        <f t="shared" si="9"/>
        <v>263</v>
      </c>
    </row>
    <row r="27" spans="1:11" x14ac:dyDescent="0.25">
      <c r="A27" s="153">
        <f t="shared" si="0"/>
        <v>19</v>
      </c>
      <c r="B27" s="160" t="s">
        <v>209</v>
      </c>
      <c r="C27" s="166" t="s">
        <v>210</v>
      </c>
      <c r="D27" s="167" t="s">
        <v>217</v>
      </c>
      <c r="E27" s="163">
        <f>+'[1]Sch 140 Combined Charges'!O27</f>
        <v>0.09</v>
      </c>
      <c r="F27" s="163">
        <f>+'[1]Sch 140 Combined Charges'!P27</f>
        <v>0.06</v>
      </c>
      <c r="G27" s="163">
        <f t="shared" si="6"/>
        <v>0.15</v>
      </c>
      <c r="H27" s="164">
        <f>+'[1]Sch 140 Combined Charges'!L27</f>
        <v>0</v>
      </c>
      <c r="I27" s="165">
        <f t="shared" si="7"/>
        <v>0</v>
      </c>
      <c r="J27" s="165">
        <f t="shared" si="8"/>
        <v>0</v>
      </c>
      <c r="K27" s="165">
        <f t="shared" si="9"/>
        <v>0</v>
      </c>
    </row>
    <row r="28" spans="1:11" x14ac:dyDescent="0.25">
      <c r="A28" s="153">
        <f t="shared" si="0"/>
        <v>20</v>
      </c>
      <c r="B28" s="160" t="s">
        <v>209</v>
      </c>
      <c r="C28" s="166" t="s">
        <v>210</v>
      </c>
      <c r="D28" s="167" t="s">
        <v>218</v>
      </c>
      <c r="E28" s="163">
        <f>+'[1]Sch 140 Combined Charges'!O28</f>
        <v>0.1</v>
      </c>
      <c r="F28" s="163">
        <f>+'[1]Sch 140 Combined Charges'!P28</f>
        <v>0.06</v>
      </c>
      <c r="G28" s="163">
        <f t="shared" si="6"/>
        <v>0.16</v>
      </c>
      <c r="H28" s="164">
        <f>+'[1]Sch 140 Combined Charges'!L28</f>
        <v>10</v>
      </c>
      <c r="I28" s="165">
        <f t="shared" si="7"/>
        <v>12</v>
      </c>
      <c r="J28" s="165">
        <f t="shared" si="8"/>
        <v>7</v>
      </c>
      <c r="K28" s="165">
        <f t="shared" si="9"/>
        <v>19</v>
      </c>
    </row>
    <row r="29" spans="1:11" x14ac:dyDescent="0.25">
      <c r="A29" s="153">
        <f t="shared" si="0"/>
        <v>21</v>
      </c>
      <c r="B29" s="160" t="s">
        <v>209</v>
      </c>
      <c r="C29" s="166" t="s">
        <v>210</v>
      </c>
      <c r="D29" s="167" t="s">
        <v>219</v>
      </c>
      <c r="E29" s="163">
        <f>+'[1]Sch 140 Combined Charges'!O29</f>
        <v>0.11</v>
      </c>
      <c r="F29" s="163">
        <f>+'[1]Sch 140 Combined Charges'!P29</f>
        <v>7.0000000000000007E-2</v>
      </c>
      <c r="G29" s="163">
        <f t="shared" si="6"/>
        <v>0.18</v>
      </c>
      <c r="H29" s="164">
        <f>+'[1]Sch 140 Combined Charges'!L29</f>
        <v>49</v>
      </c>
      <c r="I29" s="165">
        <f t="shared" si="7"/>
        <v>65</v>
      </c>
      <c r="J29" s="165">
        <f t="shared" si="8"/>
        <v>41</v>
      </c>
      <c r="K29" s="165">
        <f t="shared" si="9"/>
        <v>106</v>
      </c>
    </row>
    <row r="30" spans="1:11" x14ac:dyDescent="0.25">
      <c r="A30" s="153">
        <f t="shared" si="0"/>
        <v>22</v>
      </c>
      <c r="B30" s="168"/>
      <c r="C30" s="158"/>
      <c r="D30" s="158"/>
      <c r="E30" s="159"/>
      <c r="F30" s="159"/>
      <c r="G30" s="159"/>
      <c r="H30" s="164"/>
      <c r="I30" s="164"/>
      <c r="J30" s="164"/>
      <c r="K30" s="154"/>
    </row>
    <row r="31" spans="1:11" x14ac:dyDescent="0.25">
      <c r="A31" s="153">
        <f t="shared" si="0"/>
        <v>23</v>
      </c>
      <c r="B31" s="168" t="s">
        <v>220</v>
      </c>
      <c r="C31" s="158"/>
      <c r="D31" s="158"/>
      <c r="E31" s="159"/>
      <c r="F31" s="159"/>
      <c r="G31" s="159"/>
      <c r="H31" s="164"/>
      <c r="I31" s="164"/>
      <c r="J31" s="164"/>
      <c r="K31" s="154"/>
    </row>
    <row r="32" spans="1:11" x14ac:dyDescent="0.25">
      <c r="A32" s="153">
        <f t="shared" si="0"/>
        <v>24</v>
      </c>
      <c r="B32" s="160" t="s">
        <v>221</v>
      </c>
      <c r="C32" s="8" t="s">
        <v>88</v>
      </c>
      <c r="D32" s="8">
        <v>50</v>
      </c>
      <c r="E32" s="163">
        <f>+'[1]Sch 140 Combined Charges'!O32</f>
        <v>0.02</v>
      </c>
      <c r="F32" s="163">
        <f>+'[1]Sch 140 Combined Charges'!P32</f>
        <v>0.01</v>
      </c>
      <c r="G32" s="163">
        <f t="shared" ref="G32:G39" si="10">SUM(E32:F32)</f>
        <v>0.03</v>
      </c>
      <c r="H32" s="164">
        <f>+'[1]Sch 140 Combined Charges'!L32</f>
        <v>0</v>
      </c>
      <c r="I32" s="165">
        <f t="shared" ref="I32:I39" si="11">ROUND($H32*E32*12,0)</f>
        <v>0</v>
      </c>
      <c r="J32" s="165">
        <f t="shared" ref="J32:J39" si="12">ROUND($H32*F32*12,0)</f>
        <v>0</v>
      </c>
      <c r="K32" s="165">
        <f t="shared" ref="K32:K39" si="13">SUM(I32:J32)</f>
        <v>0</v>
      </c>
    </row>
    <row r="33" spans="1:11" x14ac:dyDescent="0.25">
      <c r="A33" s="153">
        <f t="shared" si="0"/>
        <v>25</v>
      </c>
      <c r="B33" s="160" t="str">
        <f t="shared" ref="B33:B39" si="14">+B32</f>
        <v xml:space="preserve">52E </v>
      </c>
      <c r="C33" s="8" t="s">
        <v>88</v>
      </c>
      <c r="D33" s="8">
        <v>70</v>
      </c>
      <c r="E33" s="163">
        <f>+'[1]Sch 140 Combined Charges'!O33</f>
        <v>0.03</v>
      </c>
      <c r="F33" s="163">
        <f>+'[1]Sch 140 Combined Charges'!P33</f>
        <v>0.02</v>
      </c>
      <c r="G33" s="163">
        <f t="shared" si="10"/>
        <v>0.05</v>
      </c>
      <c r="H33" s="164">
        <f>+'[1]Sch 140 Combined Charges'!L33</f>
        <v>710</v>
      </c>
      <c r="I33" s="165">
        <f t="shared" si="11"/>
        <v>256</v>
      </c>
      <c r="J33" s="165">
        <f t="shared" si="12"/>
        <v>170</v>
      </c>
      <c r="K33" s="165">
        <f t="shared" si="13"/>
        <v>426</v>
      </c>
    </row>
    <row r="34" spans="1:11" x14ac:dyDescent="0.25">
      <c r="A34" s="153">
        <f t="shared" si="0"/>
        <v>26</v>
      </c>
      <c r="B34" s="160" t="str">
        <f t="shared" si="14"/>
        <v xml:space="preserve">52E </v>
      </c>
      <c r="C34" s="8" t="s">
        <v>88</v>
      </c>
      <c r="D34" s="8">
        <v>100</v>
      </c>
      <c r="E34" s="163">
        <f>+'[1]Sch 140 Combined Charges'!O34</f>
        <v>0.04</v>
      </c>
      <c r="F34" s="163">
        <f>+'[1]Sch 140 Combined Charges'!P34</f>
        <v>0.02</v>
      </c>
      <c r="G34" s="163">
        <f t="shared" si="10"/>
        <v>0.06</v>
      </c>
      <c r="H34" s="164">
        <f>+'[1]Sch 140 Combined Charges'!L34</f>
        <v>10440</v>
      </c>
      <c r="I34" s="165">
        <f t="shared" si="11"/>
        <v>5011</v>
      </c>
      <c r="J34" s="165">
        <f t="shared" si="12"/>
        <v>2506</v>
      </c>
      <c r="K34" s="165">
        <f t="shared" si="13"/>
        <v>7517</v>
      </c>
    </row>
    <row r="35" spans="1:11" x14ac:dyDescent="0.25">
      <c r="A35" s="153">
        <f t="shared" si="0"/>
        <v>27</v>
      </c>
      <c r="B35" s="160" t="str">
        <f t="shared" si="14"/>
        <v xml:space="preserve">52E </v>
      </c>
      <c r="C35" s="8" t="s">
        <v>88</v>
      </c>
      <c r="D35" s="8">
        <v>150</v>
      </c>
      <c r="E35" s="163">
        <f>+'[1]Sch 140 Combined Charges'!O35</f>
        <v>0.06</v>
      </c>
      <c r="F35" s="163">
        <f>+'[1]Sch 140 Combined Charges'!P35</f>
        <v>0.04</v>
      </c>
      <c r="G35" s="163">
        <f t="shared" si="10"/>
        <v>0.1</v>
      </c>
      <c r="H35" s="164">
        <f>+'[1]Sch 140 Combined Charges'!L35</f>
        <v>4649</v>
      </c>
      <c r="I35" s="165">
        <f t="shared" si="11"/>
        <v>3347</v>
      </c>
      <c r="J35" s="165">
        <f t="shared" si="12"/>
        <v>2232</v>
      </c>
      <c r="K35" s="165">
        <f t="shared" si="13"/>
        <v>5579</v>
      </c>
    </row>
    <row r="36" spans="1:11" x14ac:dyDescent="0.25">
      <c r="A36" s="153">
        <f t="shared" si="0"/>
        <v>28</v>
      </c>
      <c r="B36" s="160" t="str">
        <f t="shared" si="14"/>
        <v xml:space="preserve">52E </v>
      </c>
      <c r="C36" s="8" t="s">
        <v>88</v>
      </c>
      <c r="D36" s="8">
        <v>200</v>
      </c>
      <c r="E36" s="163">
        <f>+'[1]Sch 140 Combined Charges'!O36</f>
        <v>0.08</v>
      </c>
      <c r="F36" s="163">
        <f>+'[1]Sch 140 Combined Charges'!P36</f>
        <v>0.05</v>
      </c>
      <c r="G36" s="163">
        <f t="shared" si="10"/>
        <v>0.13</v>
      </c>
      <c r="H36" s="164">
        <f>+'[1]Sch 140 Combined Charges'!L36</f>
        <v>1013</v>
      </c>
      <c r="I36" s="165">
        <f t="shared" si="11"/>
        <v>972</v>
      </c>
      <c r="J36" s="165">
        <f t="shared" si="12"/>
        <v>608</v>
      </c>
      <c r="K36" s="165">
        <f t="shared" si="13"/>
        <v>1580</v>
      </c>
    </row>
    <row r="37" spans="1:11" x14ac:dyDescent="0.25">
      <c r="A37" s="153">
        <f t="shared" si="0"/>
        <v>29</v>
      </c>
      <c r="B37" s="160" t="str">
        <f t="shared" si="14"/>
        <v xml:space="preserve">52E </v>
      </c>
      <c r="C37" s="8" t="s">
        <v>88</v>
      </c>
      <c r="D37" s="8">
        <v>250</v>
      </c>
      <c r="E37" s="163">
        <f>+'[1]Sch 140 Combined Charges'!O37</f>
        <v>0.1</v>
      </c>
      <c r="F37" s="163">
        <f>+'[1]Sch 140 Combined Charges'!P37</f>
        <v>0.06</v>
      </c>
      <c r="G37" s="163">
        <f t="shared" si="10"/>
        <v>0.16</v>
      </c>
      <c r="H37" s="164">
        <f>+'[1]Sch 140 Combined Charges'!L37</f>
        <v>1491</v>
      </c>
      <c r="I37" s="165">
        <f t="shared" si="11"/>
        <v>1789</v>
      </c>
      <c r="J37" s="165">
        <f t="shared" si="12"/>
        <v>1074</v>
      </c>
      <c r="K37" s="165">
        <f t="shared" si="13"/>
        <v>2863</v>
      </c>
    </row>
    <row r="38" spans="1:11" x14ac:dyDescent="0.25">
      <c r="A38" s="153">
        <f t="shared" si="0"/>
        <v>30</v>
      </c>
      <c r="B38" s="160" t="str">
        <f t="shared" si="14"/>
        <v xml:space="preserve">52E </v>
      </c>
      <c r="C38" s="8" t="s">
        <v>88</v>
      </c>
      <c r="D38" s="8">
        <v>310</v>
      </c>
      <c r="E38" s="163">
        <f>+'[1]Sch 140 Combined Charges'!O38</f>
        <v>0.12</v>
      </c>
      <c r="F38" s="163">
        <f>+'[1]Sch 140 Combined Charges'!P38</f>
        <v>0.08</v>
      </c>
      <c r="G38" s="163">
        <f t="shared" si="10"/>
        <v>0.2</v>
      </c>
      <c r="H38" s="164">
        <f>+'[1]Sch 140 Combined Charges'!L38</f>
        <v>149</v>
      </c>
      <c r="I38" s="165">
        <f t="shared" si="11"/>
        <v>215</v>
      </c>
      <c r="J38" s="165">
        <f t="shared" si="12"/>
        <v>143</v>
      </c>
      <c r="K38" s="165">
        <f t="shared" si="13"/>
        <v>358</v>
      </c>
    </row>
    <row r="39" spans="1:11" x14ac:dyDescent="0.25">
      <c r="A39" s="153">
        <f t="shared" si="0"/>
        <v>31</v>
      </c>
      <c r="B39" s="160" t="str">
        <f t="shared" si="14"/>
        <v xml:space="preserve">52E </v>
      </c>
      <c r="C39" s="8" t="s">
        <v>88</v>
      </c>
      <c r="D39" s="8">
        <v>400</v>
      </c>
      <c r="E39" s="163">
        <f>+'[1]Sch 140 Combined Charges'!O39</f>
        <v>0.16</v>
      </c>
      <c r="F39" s="163">
        <f>+'[1]Sch 140 Combined Charges'!P39</f>
        <v>0.1</v>
      </c>
      <c r="G39" s="163">
        <f t="shared" si="10"/>
        <v>0.26</v>
      </c>
      <c r="H39" s="164">
        <f>+'[1]Sch 140 Combined Charges'!L39</f>
        <v>607</v>
      </c>
      <c r="I39" s="165">
        <f t="shared" si="11"/>
        <v>1165</v>
      </c>
      <c r="J39" s="165">
        <f t="shared" si="12"/>
        <v>728</v>
      </c>
      <c r="K39" s="165">
        <f t="shared" si="13"/>
        <v>1893</v>
      </c>
    </row>
    <row r="40" spans="1:11" x14ac:dyDescent="0.25">
      <c r="A40" s="153">
        <f t="shared" si="0"/>
        <v>32</v>
      </c>
      <c r="B40" s="170"/>
      <c r="C40" s="8"/>
      <c r="D40" s="8"/>
      <c r="E40" s="159"/>
      <c r="F40" s="159"/>
      <c r="G40" s="159"/>
      <c r="H40" s="164"/>
      <c r="I40" s="164"/>
      <c r="J40" s="164"/>
      <c r="K40" s="154"/>
    </row>
    <row r="41" spans="1:11" x14ac:dyDescent="0.25">
      <c r="A41" s="153">
        <f t="shared" si="0"/>
        <v>33</v>
      </c>
      <c r="B41" s="160" t="str">
        <f>+B36</f>
        <v xml:space="preserve">52E </v>
      </c>
      <c r="C41" s="8" t="s">
        <v>222</v>
      </c>
      <c r="D41" s="8">
        <v>70</v>
      </c>
      <c r="E41" s="163">
        <f>+'[1]Sch 140 Combined Charges'!O41</f>
        <v>0.03</v>
      </c>
      <c r="F41" s="163">
        <f>+'[1]Sch 140 Combined Charges'!P41</f>
        <v>0.02</v>
      </c>
      <c r="G41" s="163">
        <f t="shared" ref="G41:G47" si="15">SUM(E41:F41)</f>
        <v>0.05</v>
      </c>
      <c r="H41" s="164">
        <f>+'[1]Sch 140 Combined Charges'!L41</f>
        <v>68</v>
      </c>
      <c r="I41" s="165">
        <f t="shared" ref="I41:I47" si="16">ROUND($H41*E41*12,0)</f>
        <v>24</v>
      </c>
      <c r="J41" s="165">
        <f t="shared" ref="J41:J47" si="17">ROUND($H41*F41*12,0)</f>
        <v>16</v>
      </c>
      <c r="K41" s="165">
        <f t="shared" ref="K41:K47" si="18">SUM(I41:J41)</f>
        <v>40</v>
      </c>
    </row>
    <row r="42" spans="1:11" x14ac:dyDescent="0.25">
      <c r="A42" s="153">
        <f t="shared" si="0"/>
        <v>34</v>
      </c>
      <c r="B42" s="160" t="str">
        <f>+B37</f>
        <v xml:space="preserve">52E </v>
      </c>
      <c r="C42" s="8" t="s">
        <v>222</v>
      </c>
      <c r="D42" s="8">
        <v>100</v>
      </c>
      <c r="E42" s="163">
        <f>+'[1]Sch 140 Combined Charges'!O42</f>
        <v>0.04</v>
      </c>
      <c r="F42" s="163">
        <f>+'[1]Sch 140 Combined Charges'!P42</f>
        <v>0.02</v>
      </c>
      <c r="G42" s="163">
        <f t="shared" si="15"/>
        <v>0.06</v>
      </c>
      <c r="H42" s="164">
        <f>+'[1]Sch 140 Combined Charges'!L42</f>
        <v>4</v>
      </c>
      <c r="I42" s="165">
        <f t="shared" si="16"/>
        <v>2</v>
      </c>
      <c r="J42" s="165">
        <f t="shared" si="17"/>
        <v>1</v>
      </c>
      <c r="K42" s="165">
        <f t="shared" si="18"/>
        <v>3</v>
      </c>
    </row>
    <row r="43" spans="1:11" x14ac:dyDescent="0.25">
      <c r="A43" s="153">
        <f t="shared" si="0"/>
        <v>35</v>
      </c>
      <c r="B43" s="160" t="str">
        <f>+B38</f>
        <v xml:space="preserve">52E </v>
      </c>
      <c r="C43" s="8" t="s">
        <v>222</v>
      </c>
      <c r="D43" s="8">
        <v>150</v>
      </c>
      <c r="E43" s="163">
        <f>+'[1]Sch 140 Combined Charges'!O43</f>
        <v>0.06</v>
      </c>
      <c r="F43" s="163">
        <f>+'[1]Sch 140 Combined Charges'!P43</f>
        <v>0.04</v>
      </c>
      <c r="G43" s="163">
        <f t="shared" si="15"/>
        <v>0.1</v>
      </c>
      <c r="H43" s="164">
        <f>+'[1]Sch 140 Combined Charges'!L43</f>
        <v>205</v>
      </c>
      <c r="I43" s="165">
        <f t="shared" si="16"/>
        <v>148</v>
      </c>
      <c r="J43" s="165">
        <f t="shared" si="17"/>
        <v>98</v>
      </c>
      <c r="K43" s="165">
        <f t="shared" si="18"/>
        <v>246</v>
      </c>
    </row>
    <row r="44" spans="1:11" x14ac:dyDescent="0.25">
      <c r="A44" s="153">
        <f t="shared" si="0"/>
        <v>36</v>
      </c>
      <c r="B44" s="160" t="str">
        <f>+B39</f>
        <v xml:space="preserve">52E </v>
      </c>
      <c r="C44" s="8" t="s">
        <v>222</v>
      </c>
      <c r="D44" s="8">
        <v>175</v>
      </c>
      <c r="E44" s="163">
        <f>+'[1]Sch 140 Combined Charges'!O44</f>
        <v>7.0000000000000007E-2</v>
      </c>
      <c r="F44" s="163">
        <f>+'[1]Sch 140 Combined Charges'!P44</f>
        <v>0.04</v>
      </c>
      <c r="G44" s="163">
        <f t="shared" si="15"/>
        <v>0.11000000000000001</v>
      </c>
      <c r="H44" s="164">
        <f>+'[1]Sch 140 Combined Charges'!L44</f>
        <v>222</v>
      </c>
      <c r="I44" s="165">
        <f t="shared" si="16"/>
        <v>186</v>
      </c>
      <c r="J44" s="165">
        <f t="shared" si="17"/>
        <v>107</v>
      </c>
      <c r="K44" s="165">
        <f t="shared" si="18"/>
        <v>293</v>
      </c>
    </row>
    <row r="45" spans="1:11" x14ac:dyDescent="0.25">
      <c r="A45" s="153">
        <f t="shared" si="0"/>
        <v>37</v>
      </c>
      <c r="B45" s="160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63">
        <f>+'[1]Sch 140 Combined Charges'!O45</f>
        <v>0.1</v>
      </c>
      <c r="F45" s="163">
        <f>+'[1]Sch 140 Combined Charges'!P45</f>
        <v>0.06</v>
      </c>
      <c r="G45" s="163">
        <f t="shared" si="15"/>
        <v>0.16</v>
      </c>
      <c r="H45" s="164">
        <f>+'[1]Sch 140 Combined Charges'!L45</f>
        <v>61</v>
      </c>
      <c r="I45" s="165">
        <f t="shared" si="16"/>
        <v>73</v>
      </c>
      <c r="J45" s="165">
        <f t="shared" si="17"/>
        <v>44</v>
      </c>
      <c r="K45" s="165">
        <f t="shared" si="18"/>
        <v>117</v>
      </c>
    </row>
    <row r="46" spans="1:11" x14ac:dyDescent="0.25">
      <c r="A46" s="153">
        <f t="shared" si="0"/>
        <v>38</v>
      </c>
      <c r="B46" s="160" t="str">
        <f t="shared" si="19"/>
        <v xml:space="preserve">52E </v>
      </c>
      <c r="C46" s="8" t="str">
        <f t="shared" si="19"/>
        <v>Metal Halide</v>
      </c>
      <c r="D46" s="8">
        <v>400</v>
      </c>
      <c r="E46" s="163">
        <f>+'[1]Sch 140 Combined Charges'!O46</f>
        <v>0.16</v>
      </c>
      <c r="F46" s="163">
        <f>+'[1]Sch 140 Combined Charges'!P46</f>
        <v>0.1</v>
      </c>
      <c r="G46" s="163">
        <f t="shared" si="15"/>
        <v>0.26</v>
      </c>
      <c r="H46" s="164">
        <f>+'[1]Sch 140 Combined Charges'!L46</f>
        <v>57</v>
      </c>
      <c r="I46" s="165">
        <f t="shared" si="16"/>
        <v>109</v>
      </c>
      <c r="J46" s="165">
        <f t="shared" si="17"/>
        <v>68</v>
      </c>
      <c r="K46" s="165">
        <f t="shared" si="18"/>
        <v>177</v>
      </c>
    </row>
    <row r="47" spans="1:11" x14ac:dyDescent="0.25">
      <c r="A47" s="153">
        <f t="shared" si="0"/>
        <v>39</v>
      </c>
      <c r="B47" s="160" t="str">
        <f t="shared" si="19"/>
        <v xml:space="preserve">52E </v>
      </c>
      <c r="C47" s="8" t="str">
        <f t="shared" si="19"/>
        <v>Metal Halide</v>
      </c>
      <c r="D47" s="8">
        <v>1000</v>
      </c>
      <c r="E47" s="163">
        <f>+'[1]Sch 140 Combined Charges'!O47</f>
        <v>0.41</v>
      </c>
      <c r="F47" s="163">
        <f>+'[1]Sch 140 Combined Charges'!P47</f>
        <v>0.24</v>
      </c>
      <c r="G47" s="163">
        <f t="shared" si="15"/>
        <v>0.64999999999999991</v>
      </c>
      <c r="H47" s="164">
        <f>+'[1]Sch 140 Combined Charges'!L47</f>
        <v>18</v>
      </c>
      <c r="I47" s="165">
        <f t="shared" si="16"/>
        <v>89</v>
      </c>
      <c r="J47" s="165">
        <f t="shared" si="17"/>
        <v>52</v>
      </c>
      <c r="K47" s="165">
        <f t="shared" si="18"/>
        <v>141</v>
      </c>
    </row>
    <row r="48" spans="1:11" x14ac:dyDescent="0.25">
      <c r="A48" s="153">
        <f t="shared" si="0"/>
        <v>40</v>
      </c>
      <c r="B48" s="168"/>
      <c r="C48" s="158"/>
      <c r="D48" s="158"/>
      <c r="E48" s="159"/>
      <c r="F48" s="159"/>
      <c r="G48" s="159"/>
      <c r="H48" s="164"/>
      <c r="I48" s="164"/>
      <c r="J48" s="164"/>
      <c r="K48" s="154"/>
    </row>
    <row r="49" spans="1:11" x14ac:dyDescent="0.25">
      <c r="A49" s="153">
        <f t="shared" si="0"/>
        <v>41</v>
      </c>
      <c r="B49" s="168" t="s">
        <v>223</v>
      </c>
      <c r="C49" s="158"/>
      <c r="D49" s="158"/>
      <c r="E49" s="159"/>
      <c r="F49" s="159"/>
      <c r="G49" s="159"/>
      <c r="H49" s="164"/>
      <c r="I49" s="164"/>
      <c r="J49" s="164"/>
      <c r="K49" s="154"/>
    </row>
    <row r="50" spans="1:11" x14ac:dyDescent="0.25">
      <c r="A50" s="153">
        <f t="shared" si="0"/>
        <v>42</v>
      </c>
      <c r="B50" s="160" t="s">
        <v>224</v>
      </c>
      <c r="C50" s="8" t="s">
        <v>88</v>
      </c>
      <c r="D50" s="8">
        <v>50</v>
      </c>
      <c r="E50" s="163">
        <f>+'[1]Sch 140 Combined Charges'!O50</f>
        <v>0.32</v>
      </c>
      <c r="F50" s="163">
        <f>+'[1]Sch 140 Combined Charges'!P50</f>
        <v>0.19</v>
      </c>
      <c r="G50" s="163">
        <f t="shared" ref="G50:G58" si="20">SUM(E50:F50)</f>
        <v>0.51</v>
      </c>
      <c r="H50" s="164">
        <f>+'[1]Sch 140 Combined Charges'!L50</f>
        <v>0</v>
      </c>
      <c r="I50" s="165">
        <f t="shared" ref="I50:I58" si="21">ROUND($H50*E50*12,0)</f>
        <v>0</v>
      </c>
      <c r="J50" s="165">
        <f t="shared" ref="J50:J58" si="22">ROUND($H50*F50*12,0)</f>
        <v>0</v>
      </c>
      <c r="K50" s="165">
        <f t="shared" ref="K50:K58" si="23">SUM(I50:J50)</f>
        <v>0</v>
      </c>
    </row>
    <row r="51" spans="1:11" x14ac:dyDescent="0.25">
      <c r="A51" s="153">
        <f t="shared" si="0"/>
        <v>43</v>
      </c>
      <c r="B51" s="160" t="str">
        <f t="shared" ref="B51:B58" si="24">+B50</f>
        <v>53E - Company Owned</v>
      </c>
      <c r="C51" s="8" t="s">
        <v>88</v>
      </c>
      <c r="D51" s="8">
        <v>70</v>
      </c>
      <c r="E51" s="163">
        <f>+'[1]Sch 140 Combined Charges'!O51</f>
        <v>0.34</v>
      </c>
      <c r="F51" s="163">
        <f>+'[1]Sch 140 Combined Charges'!P51</f>
        <v>0.2</v>
      </c>
      <c r="G51" s="163">
        <f t="shared" si="20"/>
        <v>0.54</v>
      </c>
      <c r="H51" s="164">
        <f>+'[1]Sch 140 Combined Charges'!L51</f>
        <v>4920</v>
      </c>
      <c r="I51" s="165">
        <f t="shared" si="21"/>
        <v>20074</v>
      </c>
      <c r="J51" s="165">
        <f t="shared" si="22"/>
        <v>11808</v>
      </c>
      <c r="K51" s="165">
        <f t="shared" si="23"/>
        <v>31882</v>
      </c>
    </row>
    <row r="52" spans="1:11" x14ac:dyDescent="0.25">
      <c r="A52" s="153">
        <f t="shared" si="0"/>
        <v>44</v>
      </c>
      <c r="B52" s="160" t="str">
        <f t="shared" si="24"/>
        <v>53E - Company Owned</v>
      </c>
      <c r="C52" s="8" t="s">
        <v>88</v>
      </c>
      <c r="D52" s="8">
        <v>100</v>
      </c>
      <c r="E52" s="163">
        <f>+'[1]Sch 140 Combined Charges'!O52</f>
        <v>0.36</v>
      </c>
      <c r="F52" s="163">
        <f>+'[1]Sch 140 Combined Charges'!P52</f>
        <v>0.22</v>
      </c>
      <c r="G52" s="163">
        <f t="shared" si="20"/>
        <v>0.57999999999999996</v>
      </c>
      <c r="H52" s="164">
        <f>+'[1]Sch 140 Combined Charges'!L52</f>
        <v>35437</v>
      </c>
      <c r="I52" s="165">
        <f t="shared" si="21"/>
        <v>153088</v>
      </c>
      <c r="J52" s="165">
        <f t="shared" si="22"/>
        <v>93554</v>
      </c>
      <c r="K52" s="165">
        <f t="shared" si="23"/>
        <v>246642</v>
      </c>
    </row>
    <row r="53" spans="1:11" x14ac:dyDescent="0.25">
      <c r="A53" s="153">
        <f t="shared" si="0"/>
        <v>45</v>
      </c>
      <c r="B53" s="160" t="str">
        <f t="shared" si="24"/>
        <v>53E - Company Owned</v>
      </c>
      <c r="C53" s="8" t="s">
        <v>88</v>
      </c>
      <c r="D53" s="8">
        <v>150</v>
      </c>
      <c r="E53" s="163">
        <f>+'[1]Sch 140 Combined Charges'!O53</f>
        <v>0.4</v>
      </c>
      <c r="F53" s="163">
        <f>+'[1]Sch 140 Combined Charges'!P53</f>
        <v>0.24</v>
      </c>
      <c r="G53" s="163">
        <f t="shared" si="20"/>
        <v>0.64</v>
      </c>
      <c r="H53" s="164">
        <f>+'[1]Sch 140 Combined Charges'!L53</f>
        <v>4240</v>
      </c>
      <c r="I53" s="165">
        <f t="shared" si="21"/>
        <v>20352</v>
      </c>
      <c r="J53" s="165">
        <f t="shared" si="22"/>
        <v>12211</v>
      </c>
      <c r="K53" s="165">
        <f t="shared" si="23"/>
        <v>32563</v>
      </c>
    </row>
    <row r="54" spans="1:11" x14ac:dyDescent="0.25">
      <c r="A54" s="153">
        <f t="shared" si="0"/>
        <v>46</v>
      </c>
      <c r="B54" s="160" t="str">
        <f t="shared" si="24"/>
        <v>53E - Company Owned</v>
      </c>
      <c r="C54" s="8" t="s">
        <v>88</v>
      </c>
      <c r="D54" s="8">
        <v>200</v>
      </c>
      <c r="E54" s="163">
        <f>+'[1]Sch 140 Combined Charges'!O54</f>
        <v>0.44</v>
      </c>
      <c r="F54" s="163">
        <f>+'[1]Sch 140 Combined Charges'!P54</f>
        <v>0.26</v>
      </c>
      <c r="G54" s="163">
        <f t="shared" si="20"/>
        <v>0.7</v>
      </c>
      <c r="H54" s="164">
        <f>+'[1]Sch 140 Combined Charges'!L54</f>
        <v>5668</v>
      </c>
      <c r="I54" s="165">
        <f t="shared" si="21"/>
        <v>29927</v>
      </c>
      <c r="J54" s="165">
        <f t="shared" si="22"/>
        <v>17684</v>
      </c>
      <c r="K54" s="165">
        <f t="shared" si="23"/>
        <v>47611</v>
      </c>
    </row>
    <row r="55" spans="1:11" x14ac:dyDescent="0.25">
      <c r="A55" s="153">
        <f t="shared" si="0"/>
        <v>47</v>
      </c>
      <c r="B55" s="160" t="str">
        <f t="shared" si="24"/>
        <v>53E - Company Owned</v>
      </c>
      <c r="C55" s="8" t="s">
        <v>88</v>
      </c>
      <c r="D55" s="8">
        <v>250</v>
      </c>
      <c r="E55" s="163">
        <f>+'[1]Sch 140 Combined Charges'!O55</f>
        <v>0.47</v>
      </c>
      <c r="F55" s="163">
        <f>+'[1]Sch 140 Combined Charges'!P55</f>
        <v>0.28999999999999998</v>
      </c>
      <c r="G55" s="163">
        <f t="shared" si="20"/>
        <v>0.76</v>
      </c>
      <c r="H55" s="164">
        <f>+'[1]Sch 140 Combined Charges'!L55</f>
        <v>1798</v>
      </c>
      <c r="I55" s="165">
        <f t="shared" si="21"/>
        <v>10141</v>
      </c>
      <c r="J55" s="165">
        <f t="shared" si="22"/>
        <v>6257</v>
      </c>
      <c r="K55" s="165">
        <f t="shared" si="23"/>
        <v>16398</v>
      </c>
    </row>
    <row r="56" spans="1:11" x14ac:dyDescent="0.25">
      <c r="A56" s="153">
        <f t="shared" si="0"/>
        <v>48</v>
      </c>
      <c r="B56" s="160" t="str">
        <f t="shared" si="24"/>
        <v>53E - Company Owned</v>
      </c>
      <c r="C56" s="8" t="s">
        <v>88</v>
      </c>
      <c r="D56" s="8">
        <v>310</v>
      </c>
      <c r="E56" s="163">
        <f>+'[1]Sch 140 Combined Charges'!O56</f>
        <v>0.52</v>
      </c>
      <c r="F56" s="163">
        <f>+'[1]Sch 140 Combined Charges'!P56</f>
        <v>0.31</v>
      </c>
      <c r="G56" s="163">
        <f t="shared" si="20"/>
        <v>0.83000000000000007</v>
      </c>
      <c r="H56" s="164">
        <f>+'[1]Sch 140 Combined Charges'!L56</f>
        <v>18</v>
      </c>
      <c r="I56" s="165">
        <f t="shared" si="21"/>
        <v>112</v>
      </c>
      <c r="J56" s="165">
        <f t="shared" si="22"/>
        <v>67</v>
      </c>
      <c r="K56" s="165">
        <f t="shared" si="23"/>
        <v>179</v>
      </c>
    </row>
    <row r="57" spans="1:11" x14ac:dyDescent="0.25">
      <c r="A57" s="153">
        <f t="shared" si="0"/>
        <v>49</v>
      </c>
      <c r="B57" s="160" t="str">
        <f t="shared" si="24"/>
        <v>53E - Company Owned</v>
      </c>
      <c r="C57" s="8" t="s">
        <v>88</v>
      </c>
      <c r="D57" s="8">
        <v>400</v>
      </c>
      <c r="E57" s="163">
        <f>+'[1]Sch 140 Combined Charges'!O57</f>
        <v>0.59</v>
      </c>
      <c r="F57" s="163">
        <f>+'[1]Sch 140 Combined Charges'!P57</f>
        <v>0.35</v>
      </c>
      <c r="G57" s="163">
        <f t="shared" si="20"/>
        <v>0.94</v>
      </c>
      <c r="H57" s="164">
        <f>+'[1]Sch 140 Combined Charges'!L57</f>
        <v>1097</v>
      </c>
      <c r="I57" s="165">
        <f t="shared" si="21"/>
        <v>7767</v>
      </c>
      <c r="J57" s="165">
        <f t="shared" si="22"/>
        <v>4607</v>
      </c>
      <c r="K57" s="165">
        <f t="shared" si="23"/>
        <v>12374</v>
      </c>
    </row>
    <row r="58" spans="1:11" x14ac:dyDescent="0.25">
      <c r="A58" s="153">
        <f t="shared" si="0"/>
        <v>50</v>
      </c>
      <c r="B58" s="160" t="str">
        <f t="shared" si="24"/>
        <v>53E - Company Owned</v>
      </c>
      <c r="C58" s="8" t="s">
        <v>88</v>
      </c>
      <c r="D58" s="8">
        <v>1000</v>
      </c>
      <c r="E58" s="163">
        <f>+'[1]Sch 140 Combined Charges'!O58</f>
        <v>1.04</v>
      </c>
      <c r="F58" s="163">
        <f>+'[1]Sch 140 Combined Charges'!P58</f>
        <v>0.63</v>
      </c>
      <c r="G58" s="163">
        <f t="shared" si="20"/>
        <v>1.67</v>
      </c>
      <c r="H58" s="164">
        <f>+'[1]Sch 140 Combined Charges'!L58</f>
        <v>0</v>
      </c>
      <c r="I58" s="165">
        <f t="shared" si="21"/>
        <v>0</v>
      </c>
      <c r="J58" s="165">
        <f t="shared" si="22"/>
        <v>0</v>
      </c>
      <c r="K58" s="165">
        <f t="shared" si="23"/>
        <v>0</v>
      </c>
    </row>
    <row r="59" spans="1:11" x14ac:dyDescent="0.25">
      <c r="A59" s="153">
        <f t="shared" si="0"/>
        <v>51</v>
      </c>
      <c r="B59" s="160"/>
      <c r="C59" s="8"/>
      <c r="D59" s="8"/>
      <c r="E59" s="159"/>
      <c r="F59" s="159"/>
      <c r="G59" s="159"/>
      <c r="H59" s="164"/>
      <c r="I59" s="164"/>
      <c r="J59" s="164"/>
      <c r="K59" s="154"/>
    </row>
    <row r="60" spans="1:11" x14ac:dyDescent="0.25">
      <c r="A60" s="153">
        <f t="shared" si="0"/>
        <v>52</v>
      </c>
      <c r="B60" s="160" t="str">
        <f>+B58</f>
        <v>53E - Company Owned</v>
      </c>
      <c r="C60" s="8" t="s">
        <v>222</v>
      </c>
      <c r="D60" s="8">
        <v>70</v>
      </c>
      <c r="E60" s="163">
        <f>+'[1]Sch 140 Combined Charges'!O60</f>
        <v>0.36</v>
      </c>
      <c r="F60" s="163">
        <f>+'[1]Sch 140 Combined Charges'!P60</f>
        <v>0.22</v>
      </c>
      <c r="G60" s="163">
        <f t="shared" ref="G60:G64" si="25">SUM(E60:F60)</f>
        <v>0.57999999999999996</v>
      </c>
      <c r="H60" s="164">
        <f>+'[1]Sch 140 Combined Charges'!L60</f>
        <v>0</v>
      </c>
      <c r="I60" s="165">
        <f t="shared" ref="I60:I64" si="26">ROUND($H60*E60*12,0)</f>
        <v>0</v>
      </c>
      <c r="J60" s="165">
        <f t="shared" ref="J60:J64" si="27">ROUND($H60*F60*12,0)</f>
        <v>0</v>
      </c>
      <c r="K60" s="165">
        <f t="shared" ref="K60:K64" si="28">SUM(I60:J60)</f>
        <v>0</v>
      </c>
    </row>
    <row r="61" spans="1:11" x14ac:dyDescent="0.25">
      <c r="A61" s="153">
        <f t="shared" si="0"/>
        <v>53</v>
      </c>
      <c r="B61" s="160" t="str">
        <f>+B60</f>
        <v>53E - Company Owned</v>
      </c>
      <c r="C61" s="8" t="s">
        <v>222</v>
      </c>
      <c r="D61" s="8">
        <v>100</v>
      </c>
      <c r="E61" s="163">
        <f>+'[1]Sch 140 Combined Charges'!O61</f>
        <v>0.39</v>
      </c>
      <c r="F61" s="163">
        <f>+'[1]Sch 140 Combined Charges'!P61</f>
        <v>0.23</v>
      </c>
      <c r="G61" s="163">
        <f t="shared" si="25"/>
        <v>0.62</v>
      </c>
      <c r="H61" s="164">
        <f>+'[1]Sch 140 Combined Charges'!L61</f>
        <v>0</v>
      </c>
      <c r="I61" s="165">
        <f t="shared" si="26"/>
        <v>0</v>
      </c>
      <c r="J61" s="165">
        <f t="shared" si="27"/>
        <v>0</v>
      </c>
      <c r="K61" s="165">
        <f t="shared" si="28"/>
        <v>0</v>
      </c>
    </row>
    <row r="62" spans="1:11" x14ac:dyDescent="0.25">
      <c r="A62" s="153">
        <f t="shared" si="0"/>
        <v>54</v>
      </c>
      <c r="B62" s="160" t="str">
        <f>+B61</f>
        <v>53E - Company Owned</v>
      </c>
      <c r="C62" s="8" t="s">
        <v>222</v>
      </c>
      <c r="D62" s="8">
        <v>150</v>
      </c>
      <c r="E62" s="163">
        <f>+'[1]Sch 140 Combined Charges'!O62</f>
        <v>0.43</v>
      </c>
      <c r="F62" s="163">
        <f>+'[1]Sch 140 Combined Charges'!P62</f>
        <v>0.26</v>
      </c>
      <c r="G62" s="163">
        <f t="shared" si="25"/>
        <v>0.69</v>
      </c>
      <c r="H62" s="164">
        <f>+'[1]Sch 140 Combined Charges'!L62</f>
        <v>0</v>
      </c>
      <c r="I62" s="165">
        <f t="shared" si="26"/>
        <v>0</v>
      </c>
      <c r="J62" s="165">
        <f t="shared" si="27"/>
        <v>0</v>
      </c>
      <c r="K62" s="165">
        <f t="shared" si="28"/>
        <v>0</v>
      </c>
    </row>
    <row r="63" spans="1:11" x14ac:dyDescent="0.25">
      <c r="A63" s="153">
        <f t="shared" si="0"/>
        <v>55</v>
      </c>
      <c r="B63" s="160" t="str">
        <f>B62</f>
        <v>53E - Company Owned</v>
      </c>
      <c r="C63" s="8" t="s">
        <v>222</v>
      </c>
      <c r="D63" s="8">
        <v>250</v>
      </c>
      <c r="E63" s="163">
        <f>+'[1]Sch 140 Combined Charges'!O63</f>
        <v>0.52</v>
      </c>
      <c r="F63" s="163">
        <f>+'[1]Sch 140 Combined Charges'!P63</f>
        <v>0.31</v>
      </c>
      <c r="G63" s="163">
        <f t="shared" si="25"/>
        <v>0.83000000000000007</v>
      </c>
      <c r="H63" s="164">
        <f>+'[1]Sch 140 Combined Charges'!L63</f>
        <v>0</v>
      </c>
      <c r="I63" s="165">
        <f t="shared" si="26"/>
        <v>0</v>
      </c>
      <c r="J63" s="165">
        <f t="shared" si="27"/>
        <v>0</v>
      </c>
      <c r="K63" s="165">
        <f t="shared" si="28"/>
        <v>0</v>
      </c>
    </row>
    <row r="64" spans="1:11" x14ac:dyDescent="0.25">
      <c r="A64" s="153">
        <f t="shared" si="0"/>
        <v>56</v>
      </c>
      <c r="B64" s="160" t="str">
        <f>B63</f>
        <v>53E - Company Owned</v>
      </c>
      <c r="C64" s="8" t="s">
        <v>222</v>
      </c>
      <c r="D64" s="8">
        <v>400</v>
      </c>
      <c r="E64" s="163">
        <f>+'[1]Sch 140 Combined Charges'!O64</f>
        <v>0.65</v>
      </c>
      <c r="F64" s="163">
        <f>+'[1]Sch 140 Combined Charges'!P64</f>
        <v>0.39</v>
      </c>
      <c r="G64" s="163">
        <f t="shared" si="25"/>
        <v>1.04</v>
      </c>
      <c r="H64" s="164">
        <f>+'[1]Sch 140 Combined Charges'!L64</f>
        <v>0</v>
      </c>
      <c r="I64" s="165">
        <f t="shared" si="26"/>
        <v>0</v>
      </c>
      <c r="J64" s="165">
        <f t="shared" si="27"/>
        <v>0</v>
      </c>
      <c r="K64" s="165">
        <f t="shared" si="28"/>
        <v>0</v>
      </c>
    </row>
    <row r="65" spans="1:11" x14ac:dyDescent="0.25">
      <c r="A65" s="153">
        <f t="shared" si="0"/>
        <v>57</v>
      </c>
      <c r="B65" s="160"/>
      <c r="C65" s="8"/>
      <c r="D65" s="8"/>
      <c r="E65" s="159"/>
      <c r="F65" s="159"/>
      <c r="G65" s="159"/>
      <c r="H65" s="164"/>
      <c r="I65" s="164"/>
      <c r="J65" s="164"/>
      <c r="K65" s="154"/>
    </row>
    <row r="66" spans="1:11" x14ac:dyDescent="0.25">
      <c r="A66" s="153">
        <f t="shared" si="0"/>
        <v>58</v>
      </c>
      <c r="B66" s="160" t="str">
        <f>+B64</f>
        <v>53E - Company Owned</v>
      </c>
      <c r="C66" s="8" t="s">
        <v>210</v>
      </c>
      <c r="D66" s="167" t="s">
        <v>211</v>
      </c>
      <c r="E66" s="163">
        <f>+'[1]Sch 140 Combined Charges'!O66</f>
        <v>0.46</v>
      </c>
      <c r="F66" s="163">
        <f>+'[1]Sch 140 Combined Charges'!P66</f>
        <v>0.28000000000000003</v>
      </c>
      <c r="G66" s="163">
        <f t="shared" ref="G66:G74" si="29">SUM(E66:F66)</f>
        <v>0.74</v>
      </c>
      <c r="H66" s="164">
        <f>+'[1]Sch 140 Combined Charges'!L66</f>
        <v>16838</v>
      </c>
      <c r="I66" s="165">
        <f t="shared" ref="I66:I74" si="30">ROUND($H66*E66*12,0)</f>
        <v>92946</v>
      </c>
      <c r="J66" s="165">
        <f t="shared" ref="J66:J74" si="31">ROUND($H66*F66*12,0)</f>
        <v>56576</v>
      </c>
      <c r="K66" s="165">
        <f t="shared" ref="K66:K74" si="32">SUM(I66:J66)</f>
        <v>149522</v>
      </c>
    </row>
    <row r="67" spans="1:11" x14ac:dyDescent="0.25">
      <c r="A67" s="153">
        <f t="shared" si="0"/>
        <v>59</v>
      </c>
      <c r="B67" s="160" t="str">
        <f>B66</f>
        <v>53E - Company Owned</v>
      </c>
      <c r="C67" s="8" t="s">
        <v>210</v>
      </c>
      <c r="D67" s="167" t="s">
        <v>212</v>
      </c>
      <c r="E67" s="163">
        <f>+'[1]Sch 140 Combined Charges'!O67</f>
        <v>0.48</v>
      </c>
      <c r="F67" s="163">
        <f>+'[1]Sch 140 Combined Charges'!P67</f>
        <v>0.28999999999999998</v>
      </c>
      <c r="G67" s="163">
        <f t="shared" si="29"/>
        <v>0.77</v>
      </c>
      <c r="H67" s="164">
        <f>+'[1]Sch 140 Combined Charges'!L67</f>
        <v>10</v>
      </c>
      <c r="I67" s="165">
        <f t="shared" si="30"/>
        <v>58</v>
      </c>
      <c r="J67" s="165">
        <f t="shared" si="31"/>
        <v>35</v>
      </c>
      <c r="K67" s="165">
        <f t="shared" si="32"/>
        <v>93</v>
      </c>
    </row>
    <row r="68" spans="1:11" x14ac:dyDescent="0.25">
      <c r="A68" s="153">
        <f t="shared" si="0"/>
        <v>60</v>
      </c>
      <c r="B68" s="160" t="str">
        <f t="shared" ref="B68:B74" si="33">B67</f>
        <v>53E - Company Owned</v>
      </c>
      <c r="C68" s="8" t="s">
        <v>210</v>
      </c>
      <c r="D68" s="167" t="s">
        <v>213</v>
      </c>
      <c r="E68" s="163">
        <f>+'[1]Sch 140 Combined Charges'!O68</f>
        <v>0.51</v>
      </c>
      <c r="F68" s="163">
        <f>+'[1]Sch 140 Combined Charges'!P68</f>
        <v>0.3</v>
      </c>
      <c r="G68" s="163">
        <f t="shared" si="29"/>
        <v>0.81</v>
      </c>
      <c r="H68" s="164">
        <f>+'[1]Sch 140 Combined Charges'!L68</f>
        <v>1841</v>
      </c>
      <c r="I68" s="165">
        <f t="shared" si="30"/>
        <v>11267</v>
      </c>
      <c r="J68" s="165">
        <f t="shared" si="31"/>
        <v>6628</v>
      </c>
      <c r="K68" s="165">
        <f t="shared" si="32"/>
        <v>17895</v>
      </c>
    </row>
    <row r="69" spans="1:11" x14ac:dyDescent="0.25">
      <c r="A69" s="153">
        <f t="shared" si="0"/>
        <v>61</v>
      </c>
      <c r="B69" s="160" t="str">
        <f t="shared" si="33"/>
        <v>53E - Company Owned</v>
      </c>
      <c r="C69" s="8" t="s">
        <v>210</v>
      </c>
      <c r="D69" s="167" t="s">
        <v>214</v>
      </c>
      <c r="E69" s="163">
        <f>+'[1]Sch 140 Combined Charges'!O69</f>
        <v>0.52</v>
      </c>
      <c r="F69" s="163">
        <f>+'[1]Sch 140 Combined Charges'!P69</f>
        <v>0.32</v>
      </c>
      <c r="G69" s="163">
        <f t="shared" si="29"/>
        <v>0.84000000000000008</v>
      </c>
      <c r="H69" s="164">
        <f>+'[1]Sch 140 Combined Charges'!L69</f>
        <v>1674</v>
      </c>
      <c r="I69" s="165">
        <f t="shared" si="30"/>
        <v>10446</v>
      </c>
      <c r="J69" s="165">
        <f t="shared" si="31"/>
        <v>6428</v>
      </c>
      <c r="K69" s="165">
        <f t="shared" si="32"/>
        <v>16874</v>
      </c>
    </row>
    <row r="70" spans="1:11" x14ac:dyDescent="0.25">
      <c r="A70" s="153">
        <f t="shared" si="0"/>
        <v>62</v>
      </c>
      <c r="B70" s="160" t="str">
        <f t="shared" si="33"/>
        <v>53E - Company Owned</v>
      </c>
      <c r="C70" s="8" t="s">
        <v>210</v>
      </c>
      <c r="D70" s="167" t="s">
        <v>215</v>
      </c>
      <c r="E70" s="163">
        <f>+'[1]Sch 140 Combined Charges'!O70</f>
        <v>0.54</v>
      </c>
      <c r="F70" s="163">
        <f>+'[1]Sch 140 Combined Charges'!P70</f>
        <v>0.33</v>
      </c>
      <c r="G70" s="163">
        <f t="shared" si="29"/>
        <v>0.87000000000000011</v>
      </c>
      <c r="H70" s="164">
        <f>+'[1]Sch 140 Combined Charges'!L70</f>
        <v>71</v>
      </c>
      <c r="I70" s="165">
        <f t="shared" si="30"/>
        <v>460</v>
      </c>
      <c r="J70" s="165">
        <f t="shared" si="31"/>
        <v>281</v>
      </c>
      <c r="K70" s="165">
        <f t="shared" si="32"/>
        <v>741</v>
      </c>
    </row>
    <row r="71" spans="1:11" x14ac:dyDescent="0.25">
      <c r="A71" s="153">
        <f t="shared" si="0"/>
        <v>63</v>
      </c>
      <c r="B71" s="160" t="str">
        <f t="shared" si="33"/>
        <v>53E - Company Owned</v>
      </c>
      <c r="C71" s="8" t="s">
        <v>210</v>
      </c>
      <c r="D71" s="167" t="s">
        <v>216</v>
      </c>
      <c r="E71" s="163">
        <f>+'[1]Sch 140 Combined Charges'!O71</f>
        <v>0.56000000000000005</v>
      </c>
      <c r="F71" s="163">
        <f>+'[1]Sch 140 Combined Charges'!P71</f>
        <v>0.34</v>
      </c>
      <c r="G71" s="163">
        <f t="shared" si="29"/>
        <v>0.90000000000000013</v>
      </c>
      <c r="H71" s="164">
        <f>+'[1]Sch 140 Combined Charges'!L71</f>
        <v>360</v>
      </c>
      <c r="I71" s="165">
        <f t="shared" si="30"/>
        <v>2419</v>
      </c>
      <c r="J71" s="165">
        <f t="shared" si="31"/>
        <v>1469</v>
      </c>
      <c r="K71" s="165">
        <f t="shared" si="32"/>
        <v>3888</v>
      </c>
    </row>
    <row r="72" spans="1:11" x14ac:dyDescent="0.25">
      <c r="A72" s="153">
        <f t="shared" si="0"/>
        <v>64</v>
      </c>
      <c r="B72" s="160" t="str">
        <f t="shared" si="33"/>
        <v>53E - Company Owned</v>
      </c>
      <c r="C72" s="8" t="s">
        <v>210</v>
      </c>
      <c r="D72" s="167" t="s">
        <v>217</v>
      </c>
      <c r="E72" s="163">
        <f>+'[1]Sch 140 Combined Charges'!O72</f>
        <v>0.57999999999999996</v>
      </c>
      <c r="F72" s="163">
        <f>+'[1]Sch 140 Combined Charges'!P72</f>
        <v>0.35</v>
      </c>
      <c r="G72" s="163">
        <f t="shared" si="29"/>
        <v>0.92999999999999994</v>
      </c>
      <c r="H72" s="164">
        <f>+'[1]Sch 140 Combined Charges'!L72</f>
        <v>0</v>
      </c>
      <c r="I72" s="165">
        <f t="shared" si="30"/>
        <v>0</v>
      </c>
      <c r="J72" s="165">
        <f t="shared" si="31"/>
        <v>0</v>
      </c>
      <c r="K72" s="165">
        <f t="shared" si="32"/>
        <v>0</v>
      </c>
    </row>
    <row r="73" spans="1:11" x14ac:dyDescent="0.25">
      <c r="A73" s="153">
        <f t="shared" si="0"/>
        <v>65</v>
      </c>
      <c r="B73" s="160" t="str">
        <f t="shared" si="33"/>
        <v>53E - Company Owned</v>
      </c>
      <c r="C73" s="8" t="s">
        <v>210</v>
      </c>
      <c r="D73" s="167" t="s">
        <v>218</v>
      </c>
      <c r="E73" s="163">
        <f>+'[1]Sch 140 Combined Charges'!O73</f>
        <v>0.6</v>
      </c>
      <c r="F73" s="163">
        <f>+'[1]Sch 140 Combined Charges'!P73</f>
        <v>0.36</v>
      </c>
      <c r="G73" s="163">
        <f t="shared" si="29"/>
        <v>0.96</v>
      </c>
      <c r="H73" s="164">
        <f>+'[1]Sch 140 Combined Charges'!L73</f>
        <v>24</v>
      </c>
      <c r="I73" s="165">
        <f t="shared" si="30"/>
        <v>173</v>
      </c>
      <c r="J73" s="165">
        <f t="shared" si="31"/>
        <v>104</v>
      </c>
      <c r="K73" s="165">
        <f t="shared" si="32"/>
        <v>277</v>
      </c>
    </row>
    <row r="74" spans="1:11" x14ac:dyDescent="0.25">
      <c r="A74" s="153">
        <f t="shared" si="0"/>
        <v>66</v>
      </c>
      <c r="B74" s="160" t="str">
        <f t="shared" si="33"/>
        <v>53E - Company Owned</v>
      </c>
      <c r="C74" s="8" t="s">
        <v>210</v>
      </c>
      <c r="D74" s="167" t="s">
        <v>219</v>
      </c>
      <c r="E74" s="163">
        <f>+'[1]Sch 140 Combined Charges'!O74</f>
        <v>0.62</v>
      </c>
      <c r="F74" s="163">
        <f>+'[1]Sch 140 Combined Charges'!P74</f>
        <v>0.37</v>
      </c>
      <c r="G74" s="163">
        <f t="shared" si="29"/>
        <v>0.99</v>
      </c>
      <c r="H74" s="164">
        <f>+'[1]Sch 140 Combined Charges'!L74</f>
        <v>97</v>
      </c>
      <c r="I74" s="165">
        <f t="shared" si="30"/>
        <v>722</v>
      </c>
      <c r="J74" s="165">
        <f t="shared" si="31"/>
        <v>431</v>
      </c>
      <c r="K74" s="165">
        <f t="shared" si="32"/>
        <v>1153</v>
      </c>
    </row>
    <row r="75" spans="1:11" x14ac:dyDescent="0.25">
      <c r="A75" s="153">
        <f t="shared" ref="A75:A138" si="34">A74+1</f>
        <v>67</v>
      </c>
      <c r="B75" s="160"/>
      <c r="C75" s="8"/>
      <c r="D75" s="8"/>
      <c r="E75" s="159"/>
      <c r="F75" s="159"/>
      <c r="G75" s="159"/>
      <c r="H75" s="164"/>
      <c r="I75" s="164"/>
      <c r="J75" s="164"/>
      <c r="K75" s="154"/>
    </row>
    <row r="76" spans="1:11" x14ac:dyDescent="0.25">
      <c r="A76" s="153">
        <f t="shared" si="34"/>
        <v>68</v>
      </c>
      <c r="B76" s="160" t="s">
        <v>225</v>
      </c>
      <c r="C76" s="8" t="s">
        <v>88</v>
      </c>
      <c r="D76" s="8">
        <v>50</v>
      </c>
      <c r="E76" s="163">
        <f>+'[1]Sch 140 Combined Charges'!O76</f>
        <v>0.02</v>
      </c>
      <c r="F76" s="163">
        <f>+'[1]Sch 140 Combined Charges'!P76</f>
        <v>0.01</v>
      </c>
      <c r="G76" s="163">
        <f t="shared" ref="G76:G84" si="35">SUM(E76:F76)</f>
        <v>0.03</v>
      </c>
      <c r="H76" s="164">
        <f>+'[1]Sch 140 Combined Charges'!L76</f>
        <v>0</v>
      </c>
      <c r="I76" s="165">
        <f t="shared" ref="I76:I84" si="36">ROUND($H76*E76*12,0)</f>
        <v>0</v>
      </c>
      <c r="J76" s="165">
        <f t="shared" ref="J76:J84" si="37">ROUND($H76*F76*12,0)</f>
        <v>0</v>
      </c>
      <c r="K76" s="165">
        <f t="shared" ref="K76:K84" si="38">SUM(I76:J76)</f>
        <v>0</v>
      </c>
    </row>
    <row r="77" spans="1:11" x14ac:dyDescent="0.25">
      <c r="A77" s="153">
        <f t="shared" si="34"/>
        <v>69</v>
      </c>
      <c r="B77" s="160" t="str">
        <f t="shared" ref="B77:B84" si="39">+B76</f>
        <v>53E - Customer Owned</v>
      </c>
      <c r="C77" s="8" t="s">
        <v>88</v>
      </c>
      <c r="D77" s="8">
        <v>70</v>
      </c>
      <c r="E77" s="163">
        <f>+'[1]Sch 140 Combined Charges'!O77</f>
        <v>0.03</v>
      </c>
      <c r="F77" s="163">
        <f>+'[1]Sch 140 Combined Charges'!P77</f>
        <v>0.02</v>
      </c>
      <c r="G77" s="163">
        <f t="shared" si="35"/>
        <v>0.05</v>
      </c>
      <c r="H77" s="164">
        <f>+'[1]Sch 140 Combined Charges'!L77</f>
        <v>57</v>
      </c>
      <c r="I77" s="165">
        <f t="shared" si="36"/>
        <v>21</v>
      </c>
      <c r="J77" s="165">
        <f t="shared" si="37"/>
        <v>14</v>
      </c>
      <c r="K77" s="165">
        <f t="shared" si="38"/>
        <v>35</v>
      </c>
    </row>
    <row r="78" spans="1:11" x14ac:dyDescent="0.25">
      <c r="A78" s="153">
        <f t="shared" si="34"/>
        <v>70</v>
      </c>
      <c r="B78" s="160" t="str">
        <f t="shared" si="39"/>
        <v>53E - Customer Owned</v>
      </c>
      <c r="C78" s="8" t="s">
        <v>88</v>
      </c>
      <c r="D78" s="8">
        <v>100</v>
      </c>
      <c r="E78" s="163">
        <f>+'[1]Sch 140 Combined Charges'!O78</f>
        <v>0.04</v>
      </c>
      <c r="F78" s="163">
        <f>+'[1]Sch 140 Combined Charges'!P78</f>
        <v>0.02</v>
      </c>
      <c r="G78" s="163">
        <f t="shared" si="35"/>
        <v>0.06</v>
      </c>
      <c r="H78" s="164">
        <f>+'[1]Sch 140 Combined Charges'!L78</f>
        <v>284</v>
      </c>
      <c r="I78" s="165">
        <f t="shared" si="36"/>
        <v>136</v>
      </c>
      <c r="J78" s="165">
        <f t="shared" si="37"/>
        <v>68</v>
      </c>
      <c r="K78" s="165">
        <f t="shared" si="38"/>
        <v>204</v>
      </c>
    </row>
    <row r="79" spans="1:11" x14ac:dyDescent="0.25">
      <c r="A79" s="153">
        <f t="shared" si="34"/>
        <v>71</v>
      </c>
      <c r="B79" s="160" t="str">
        <f t="shared" si="39"/>
        <v>53E - Customer Owned</v>
      </c>
      <c r="C79" s="8" t="s">
        <v>88</v>
      </c>
      <c r="D79" s="8">
        <v>150</v>
      </c>
      <c r="E79" s="163">
        <f>+'[1]Sch 140 Combined Charges'!O79</f>
        <v>0.06</v>
      </c>
      <c r="F79" s="163">
        <f>+'[1]Sch 140 Combined Charges'!P79</f>
        <v>0.04</v>
      </c>
      <c r="G79" s="163">
        <f t="shared" si="35"/>
        <v>0.1</v>
      </c>
      <c r="H79" s="164">
        <f>+'[1]Sch 140 Combined Charges'!L79</f>
        <v>156</v>
      </c>
      <c r="I79" s="165">
        <f t="shared" si="36"/>
        <v>112</v>
      </c>
      <c r="J79" s="165">
        <f t="shared" si="37"/>
        <v>75</v>
      </c>
      <c r="K79" s="165">
        <f t="shared" si="38"/>
        <v>187</v>
      </c>
    </row>
    <row r="80" spans="1:11" x14ac:dyDescent="0.25">
      <c r="A80" s="153">
        <f t="shared" si="34"/>
        <v>72</v>
      </c>
      <c r="B80" s="160" t="str">
        <f t="shared" si="39"/>
        <v>53E - Customer Owned</v>
      </c>
      <c r="C80" s="8" t="s">
        <v>88</v>
      </c>
      <c r="D80" s="8">
        <v>200</v>
      </c>
      <c r="E80" s="163">
        <f>+'[1]Sch 140 Combined Charges'!O80</f>
        <v>0.08</v>
      </c>
      <c r="F80" s="163">
        <f>+'[1]Sch 140 Combined Charges'!P80</f>
        <v>0.05</v>
      </c>
      <c r="G80" s="163">
        <f t="shared" si="35"/>
        <v>0.13</v>
      </c>
      <c r="H80" s="164">
        <f>+'[1]Sch 140 Combined Charges'!L80</f>
        <v>438</v>
      </c>
      <c r="I80" s="165">
        <f t="shared" si="36"/>
        <v>420</v>
      </c>
      <c r="J80" s="165">
        <f t="shared" si="37"/>
        <v>263</v>
      </c>
      <c r="K80" s="165">
        <f t="shared" si="38"/>
        <v>683</v>
      </c>
    </row>
    <row r="81" spans="1:11" x14ac:dyDescent="0.25">
      <c r="A81" s="153">
        <f t="shared" si="34"/>
        <v>73</v>
      </c>
      <c r="B81" s="160" t="str">
        <f t="shared" si="39"/>
        <v>53E - Customer Owned</v>
      </c>
      <c r="C81" s="8" t="s">
        <v>88</v>
      </c>
      <c r="D81" s="8">
        <v>250</v>
      </c>
      <c r="E81" s="163">
        <f>+'[1]Sch 140 Combined Charges'!O81</f>
        <v>0.1</v>
      </c>
      <c r="F81" s="163">
        <f>+'[1]Sch 140 Combined Charges'!P81</f>
        <v>0.06</v>
      </c>
      <c r="G81" s="163">
        <f t="shared" si="35"/>
        <v>0.16</v>
      </c>
      <c r="H81" s="164">
        <f>+'[1]Sch 140 Combined Charges'!L81</f>
        <v>353</v>
      </c>
      <c r="I81" s="165">
        <f t="shared" si="36"/>
        <v>424</v>
      </c>
      <c r="J81" s="165">
        <f t="shared" si="37"/>
        <v>254</v>
      </c>
      <c r="K81" s="165">
        <f t="shared" si="38"/>
        <v>678</v>
      </c>
    </row>
    <row r="82" spans="1:11" x14ac:dyDescent="0.25">
      <c r="A82" s="153">
        <f t="shared" si="34"/>
        <v>74</v>
      </c>
      <c r="B82" s="160" t="str">
        <f t="shared" si="39"/>
        <v>53E - Customer Owned</v>
      </c>
      <c r="C82" s="8" t="s">
        <v>88</v>
      </c>
      <c r="D82" s="8">
        <v>310</v>
      </c>
      <c r="E82" s="163">
        <f>+'[1]Sch 140 Combined Charges'!O82</f>
        <v>0.12</v>
      </c>
      <c r="F82" s="163">
        <f>+'[1]Sch 140 Combined Charges'!P82</f>
        <v>0.08</v>
      </c>
      <c r="G82" s="163">
        <f t="shared" si="35"/>
        <v>0.2</v>
      </c>
      <c r="H82" s="164">
        <f>+'[1]Sch 140 Combined Charges'!L82</f>
        <v>7</v>
      </c>
      <c r="I82" s="165">
        <f t="shared" si="36"/>
        <v>10</v>
      </c>
      <c r="J82" s="165">
        <f t="shared" si="37"/>
        <v>7</v>
      </c>
      <c r="K82" s="165">
        <f t="shared" si="38"/>
        <v>17</v>
      </c>
    </row>
    <row r="83" spans="1:11" x14ac:dyDescent="0.25">
      <c r="A83" s="153">
        <f t="shared" si="34"/>
        <v>75</v>
      </c>
      <c r="B83" s="160" t="str">
        <f t="shared" si="39"/>
        <v>53E - Customer Owned</v>
      </c>
      <c r="C83" s="8" t="s">
        <v>88</v>
      </c>
      <c r="D83" s="8">
        <v>400</v>
      </c>
      <c r="E83" s="163">
        <f>+'[1]Sch 140 Combined Charges'!O83</f>
        <v>0.16</v>
      </c>
      <c r="F83" s="163">
        <f>+'[1]Sch 140 Combined Charges'!P83</f>
        <v>0.1</v>
      </c>
      <c r="G83" s="163">
        <f t="shared" si="35"/>
        <v>0.26</v>
      </c>
      <c r="H83" s="164">
        <f>+'[1]Sch 140 Combined Charges'!L83</f>
        <v>537</v>
      </c>
      <c r="I83" s="165">
        <f t="shared" si="36"/>
        <v>1031</v>
      </c>
      <c r="J83" s="165">
        <f t="shared" si="37"/>
        <v>644</v>
      </c>
      <c r="K83" s="165">
        <f t="shared" si="38"/>
        <v>1675</v>
      </c>
    </row>
    <row r="84" spans="1:11" x14ac:dyDescent="0.25">
      <c r="A84" s="153">
        <f t="shared" si="34"/>
        <v>76</v>
      </c>
      <c r="B84" s="160" t="str">
        <f t="shared" si="39"/>
        <v>53E - Customer Owned</v>
      </c>
      <c r="C84" s="8" t="s">
        <v>88</v>
      </c>
      <c r="D84" s="8">
        <v>1000</v>
      </c>
      <c r="E84" s="163">
        <f>+'[1]Sch 140 Combined Charges'!O84</f>
        <v>0.41</v>
      </c>
      <c r="F84" s="163">
        <f>+'[1]Sch 140 Combined Charges'!P84</f>
        <v>0.24</v>
      </c>
      <c r="G84" s="163">
        <f t="shared" si="35"/>
        <v>0.64999999999999991</v>
      </c>
      <c r="H84" s="164">
        <f>+'[1]Sch 140 Combined Charges'!L84</f>
        <v>0</v>
      </c>
      <c r="I84" s="165">
        <f t="shared" si="36"/>
        <v>0</v>
      </c>
      <c r="J84" s="165">
        <f t="shared" si="37"/>
        <v>0</v>
      </c>
      <c r="K84" s="165">
        <f t="shared" si="38"/>
        <v>0</v>
      </c>
    </row>
    <row r="85" spans="1:11" x14ac:dyDescent="0.25">
      <c r="A85" s="153">
        <f t="shared" si="34"/>
        <v>77</v>
      </c>
      <c r="B85" s="160"/>
      <c r="C85" s="8"/>
      <c r="D85" s="8"/>
      <c r="E85" s="159"/>
      <c r="F85" s="159"/>
      <c r="G85" s="159"/>
      <c r="H85" s="164"/>
      <c r="I85" s="164"/>
      <c r="J85" s="164"/>
      <c r="K85" s="154"/>
    </row>
    <row r="86" spans="1:11" x14ac:dyDescent="0.25">
      <c r="A86" s="153">
        <f t="shared" si="34"/>
        <v>78</v>
      </c>
      <c r="B86" s="160" t="str">
        <f>+B84</f>
        <v>53E - Customer Owned</v>
      </c>
      <c r="C86" s="8" t="s">
        <v>222</v>
      </c>
      <c r="D86" s="8">
        <v>70</v>
      </c>
      <c r="E86" s="163">
        <f>+'[1]Sch 140 Combined Charges'!O86</f>
        <v>0.03</v>
      </c>
      <c r="F86" s="163">
        <f>+'[1]Sch 140 Combined Charges'!P86</f>
        <v>0.02</v>
      </c>
      <c r="G86" s="163">
        <f t="shared" ref="G86:G91" si="40">SUM(E86:F86)</f>
        <v>0.05</v>
      </c>
      <c r="H86" s="164">
        <f>+'[1]Sch 140 Combined Charges'!L86</f>
        <v>0</v>
      </c>
      <c r="I86" s="165">
        <f t="shared" ref="I86:I91" si="41">ROUND($H86*E86*12,0)</f>
        <v>0</v>
      </c>
      <c r="J86" s="165">
        <f t="shared" ref="J86:J91" si="42">ROUND($H86*F86*12,0)</f>
        <v>0</v>
      </c>
      <c r="K86" s="165">
        <f t="shared" ref="K86:K91" si="43">SUM(I86:J86)</f>
        <v>0</v>
      </c>
    </row>
    <row r="87" spans="1:11" x14ac:dyDescent="0.25">
      <c r="A87" s="153">
        <f t="shared" si="34"/>
        <v>79</v>
      </c>
      <c r="B87" s="160" t="str">
        <f>+B86</f>
        <v>53E - Customer Owned</v>
      </c>
      <c r="C87" s="8" t="s">
        <v>222</v>
      </c>
      <c r="D87" s="8">
        <v>100</v>
      </c>
      <c r="E87" s="163">
        <f>+'[1]Sch 140 Combined Charges'!O87</f>
        <v>0.04</v>
      </c>
      <c r="F87" s="163">
        <f>+'[1]Sch 140 Combined Charges'!P87</f>
        <v>0.02</v>
      </c>
      <c r="G87" s="163">
        <f t="shared" si="40"/>
        <v>0.06</v>
      </c>
      <c r="H87" s="164">
        <f>+'[1]Sch 140 Combined Charges'!L87</f>
        <v>0</v>
      </c>
      <c r="I87" s="165">
        <f t="shared" si="41"/>
        <v>0</v>
      </c>
      <c r="J87" s="165">
        <f t="shared" si="42"/>
        <v>0</v>
      </c>
      <c r="K87" s="165">
        <f t="shared" si="43"/>
        <v>0</v>
      </c>
    </row>
    <row r="88" spans="1:11" x14ac:dyDescent="0.25">
      <c r="A88" s="153">
        <f t="shared" si="34"/>
        <v>80</v>
      </c>
      <c r="B88" s="160" t="str">
        <f>+B87</f>
        <v>53E - Customer Owned</v>
      </c>
      <c r="C88" s="8" t="s">
        <v>222</v>
      </c>
      <c r="D88" s="8">
        <v>150</v>
      </c>
      <c r="E88" s="163">
        <f>+'[1]Sch 140 Combined Charges'!O88</f>
        <v>0.06</v>
      </c>
      <c r="F88" s="163">
        <f>+'[1]Sch 140 Combined Charges'!P88</f>
        <v>0.04</v>
      </c>
      <c r="G88" s="163">
        <f t="shared" si="40"/>
        <v>0.1</v>
      </c>
      <c r="H88" s="164">
        <f>+'[1]Sch 140 Combined Charges'!L88</f>
        <v>0</v>
      </c>
      <c r="I88" s="165">
        <f t="shared" si="41"/>
        <v>0</v>
      </c>
      <c r="J88" s="165">
        <f t="shared" si="42"/>
        <v>0</v>
      </c>
      <c r="K88" s="165">
        <f t="shared" si="43"/>
        <v>0</v>
      </c>
    </row>
    <row r="89" spans="1:11" x14ac:dyDescent="0.25">
      <c r="A89" s="153">
        <f t="shared" si="34"/>
        <v>81</v>
      </c>
      <c r="B89" s="160" t="str">
        <f>+B88</f>
        <v>53E - Customer Owned</v>
      </c>
      <c r="C89" s="8" t="s">
        <v>222</v>
      </c>
      <c r="D89" s="8">
        <v>175</v>
      </c>
      <c r="E89" s="163">
        <f>+'[1]Sch 140 Combined Charges'!O89</f>
        <v>7.0000000000000007E-2</v>
      </c>
      <c r="F89" s="163">
        <f>+'[1]Sch 140 Combined Charges'!P89</f>
        <v>0.04</v>
      </c>
      <c r="G89" s="163">
        <f t="shared" si="40"/>
        <v>0.11000000000000001</v>
      </c>
      <c r="H89" s="164">
        <f>+'[1]Sch 140 Combined Charges'!L89</f>
        <v>4</v>
      </c>
      <c r="I89" s="165">
        <f t="shared" si="41"/>
        <v>3</v>
      </c>
      <c r="J89" s="165">
        <f t="shared" si="42"/>
        <v>2</v>
      </c>
      <c r="K89" s="165">
        <f t="shared" si="43"/>
        <v>5</v>
      </c>
    </row>
    <row r="90" spans="1:11" x14ac:dyDescent="0.25">
      <c r="A90" s="153">
        <f t="shared" si="34"/>
        <v>82</v>
      </c>
      <c r="B90" s="160" t="str">
        <f>+B89</f>
        <v>53E - Customer Owned</v>
      </c>
      <c r="C90" s="8" t="s">
        <v>222</v>
      </c>
      <c r="D90" s="8">
        <v>250</v>
      </c>
      <c r="E90" s="163">
        <f>+'[1]Sch 140 Combined Charges'!O90</f>
        <v>0.1</v>
      </c>
      <c r="F90" s="163">
        <f>+'[1]Sch 140 Combined Charges'!P90</f>
        <v>0.06</v>
      </c>
      <c r="G90" s="163">
        <f t="shared" si="40"/>
        <v>0.16</v>
      </c>
      <c r="H90" s="164">
        <f>+'[1]Sch 140 Combined Charges'!L90</f>
        <v>0</v>
      </c>
      <c r="I90" s="165">
        <f t="shared" si="41"/>
        <v>0</v>
      </c>
      <c r="J90" s="165">
        <f t="shared" si="42"/>
        <v>0</v>
      </c>
      <c r="K90" s="165">
        <f t="shared" si="43"/>
        <v>0</v>
      </c>
    </row>
    <row r="91" spans="1:11" x14ac:dyDescent="0.25">
      <c r="A91" s="153">
        <f t="shared" si="34"/>
        <v>83</v>
      </c>
      <c r="B91" s="160" t="str">
        <f>+B90</f>
        <v>53E - Customer Owned</v>
      </c>
      <c r="C91" s="8" t="s">
        <v>222</v>
      </c>
      <c r="D91" s="8">
        <v>400</v>
      </c>
      <c r="E91" s="163">
        <f>+'[1]Sch 140 Combined Charges'!O91</f>
        <v>0.16</v>
      </c>
      <c r="F91" s="163">
        <f>+'[1]Sch 140 Combined Charges'!P91</f>
        <v>0.1</v>
      </c>
      <c r="G91" s="163">
        <f t="shared" si="40"/>
        <v>0.26</v>
      </c>
      <c r="H91" s="164">
        <f>+'[1]Sch 140 Combined Charges'!L91</f>
        <v>0</v>
      </c>
      <c r="I91" s="165">
        <f t="shared" si="41"/>
        <v>0</v>
      </c>
      <c r="J91" s="165">
        <f t="shared" si="42"/>
        <v>0</v>
      </c>
      <c r="K91" s="165">
        <f t="shared" si="43"/>
        <v>0</v>
      </c>
    </row>
    <row r="92" spans="1:11" x14ac:dyDescent="0.25">
      <c r="A92" s="153">
        <f t="shared" si="34"/>
        <v>84</v>
      </c>
      <c r="B92" s="160"/>
      <c r="C92" s="8"/>
      <c r="D92" s="8"/>
      <c r="E92" s="159"/>
      <c r="F92" s="159"/>
      <c r="G92" s="159"/>
      <c r="H92" s="164"/>
      <c r="I92" s="164"/>
      <c r="J92" s="164"/>
      <c r="K92" s="154"/>
    </row>
    <row r="93" spans="1:11" x14ac:dyDescent="0.25">
      <c r="A93" s="153">
        <f t="shared" si="34"/>
        <v>85</v>
      </c>
      <c r="B93" s="160" t="str">
        <f>+B91</f>
        <v>53E - Customer Owned</v>
      </c>
      <c r="C93" s="8" t="s">
        <v>210</v>
      </c>
      <c r="D93" s="167" t="s">
        <v>211</v>
      </c>
      <c r="E93" s="163">
        <f>+'[1]Sch 140 Combined Charges'!O93</f>
        <v>0.02</v>
      </c>
      <c r="F93" s="163">
        <f>+'[1]Sch 140 Combined Charges'!P93</f>
        <v>0.01</v>
      </c>
      <c r="G93" s="163">
        <f t="shared" ref="G93:G101" si="44">SUM(E93:F93)</f>
        <v>0.03</v>
      </c>
      <c r="H93" s="164">
        <f>+'[1]Sch 140 Combined Charges'!L93</f>
        <v>630</v>
      </c>
      <c r="I93" s="165">
        <f t="shared" ref="I93:I101" si="45">ROUND($H93*E93*12,0)</f>
        <v>151</v>
      </c>
      <c r="J93" s="165">
        <f t="shared" ref="J93:J101" si="46">ROUND($H93*F93*12,0)</f>
        <v>76</v>
      </c>
      <c r="K93" s="165">
        <f t="shared" ref="K93:K101" si="47">SUM(I93:J93)</f>
        <v>227</v>
      </c>
    </row>
    <row r="94" spans="1:11" x14ac:dyDescent="0.25">
      <c r="A94" s="153">
        <f t="shared" si="34"/>
        <v>86</v>
      </c>
      <c r="B94" s="160" t="str">
        <f>B93</f>
        <v>53E - Customer Owned</v>
      </c>
      <c r="C94" s="8" t="s">
        <v>210</v>
      </c>
      <c r="D94" s="167" t="s">
        <v>212</v>
      </c>
      <c r="E94" s="163">
        <f>+'[1]Sch 140 Combined Charges'!O94</f>
        <v>0.03</v>
      </c>
      <c r="F94" s="163">
        <f>+'[1]Sch 140 Combined Charges'!P94</f>
        <v>0.02</v>
      </c>
      <c r="G94" s="163">
        <f t="shared" si="44"/>
        <v>0.05</v>
      </c>
      <c r="H94" s="164">
        <f>+'[1]Sch 140 Combined Charges'!L94</f>
        <v>612</v>
      </c>
      <c r="I94" s="165">
        <f t="shared" si="45"/>
        <v>220</v>
      </c>
      <c r="J94" s="165">
        <f t="shared" si="46"/>
        <v>147</v>
      </c>
      <c r="K94" s="165">
        <f t="shared" si="47"/>
        <v>367</v>
      </c>
    </row>
    <row r="95" spans="1:11" x14ac:dyDescent="0.25">
      <c r="A95" s="153">
        <f t="shared" si="34"/>
        <v>87</v>
      </c>
      <c r="B95" s="160" t="str">
        <f t="shared" ref="B95:B101" si="48">B94</f>
        <v>53E - Customer Owned</v>
      </c>
      <c r="C95" s="8" t="s">
        <v>210</v>
      </c>
      <c r="D95" s="167" t="s">
        <v>213</v>
      </c>
      <c r="E95" s="163">
        <f>+'[1]Sch 140 Combined Charges'!O95</f>
        <v>0.04</v>
      </c>
      <c r="F95" s="163">
        <f>+'[1]Sch 140 Combined Charges'!P95</f>
        <v>0.03</v>
      </c>
      <c r="G95" s="163">
        <f t="shared" si="44"/>
        <v>7.0000000000000007E-2</v>
      </c>
      <c r="H95" s="164">
        <f>+'[1]Sch 140 Combined Charges'!L95</f>
        <v>863</v>
      </c>
      <c r="I95" s="165">
        <f t="shared" si="45"/>
        <v>414</v>
      </c>
      <c r="J95" s="165">
        <f t="shared" si="46"/>
        <v>311</v>
      </c>
      <c r="K95" s="165">
        <f t="shared" si="47"/>
        <v>725</v>
      </c>
    </row>
    <row r="96" spans="1:11" x14ac:dyDescent="0.25">
      <c r="A96" s="153">
        <f t="shared" si="34"/>
        <v>88</v>
      </c>
      <c r="B96" s="160" t="str">
        <f t="shared" si="48"/>
        <v>53E - Customer Owned</v>
      </c>
      <c r="C96" s="8" t="s">
        <v>210</v>
      </c>
      <c r="D96" s="167" t="s">
        <v>214</v>
      </c>
      <c r="E96" s="163">
        <f>+'[1]Sch 140 Combined Charges'!O96</f>
        <v>0.06</v>
      </c>
      <c r="F96" s="163">
        <f>+'[1]Sch 140 Combined Charges'!P96</f>
        <v>0.03</v>
      </c>
      <c r="G96" s="163">
        <f t="shared" si="44"/>
        <v>0.09</v>
      </c>
      <c r="H96" s="164">
        <f>+'[1]Sch 140 Combined Charges'!L96</f>
        <v>64</v>
      </c>
      <c r="I96" s="165">
        <f t="shared" si="45"/>
        <v>46</v>
      </c>
      <c r="J96" s="165">
        <f t="shared" si="46"/>
        <v>23</v>
      </c>
      <c r="K96" s="165">
        <f t="shared" si="47"/>
        <v>69</v>
      </c>
    </row>
    <row r="97" spans="1:11" x14ac:dyDescent="0.25">
      <c r="A97" s="153">
        <f t="shared" si="34"/>
        <v>89</v>
      </c>
      <c r="B97" s="160" t="str">
        <f t="shared" si="48"/>
        <v>53E - Customer Owned</v>
      </c>
      <c r="C97" s="8" t="s">
        <v>210</v>
      </c>
      <c r="D97" s="167" t="s">
        <v>215</v>
      </c>
      <c r="E97" s="163">
        <f>+'[1]Sch 140 Combined Charges'!O97</f>
        <v>7.0000000000000007E-2</v>
      </c>
      <c r="F97" s="163">
        <f>+'[1]Sch 140 Combined Charges'!P97</f>
        <v>0.04</v>
      </c>
      <c r="G97" s="163">
        <f t="shared" si="44"/>
        <v>0.11000000000000001</v>
      </c>
      <c r="H97" s="164">
        <f>+'[1]Sch 140 Combined Charges'!L97</f>
        <v>1315</v>
      </c>
      <c r="I97" s="165">
        <f t="shared" si="45"/>
        <v>1105</v>
      </c>
      <c r="J97" s="165">
        <f t="shared" si="46"/>
        <v>631</v>
      </c>
      <c r="K97" s="165">
        <f t="shared" si="47"/>
        <v>1736</v>
      </c>
    </row>
    <row r="98" spans="1:11" x14ac:dyDescent="0.25">
      <c r="A98" s="153">
        <f t="shared" si="34"/>
        <v>90</v>
      </c>
      <c r="B98" s="160" t="str">
        <f t="shared" si="48"/>
        <v>53E - Customer Owned</v>
      </c>
      <c r="C98" s="8" t="s">
        <v>210</v>
      </c>
      <c r="D98" s="167" t="s">
        <v>216</v>
      </c>
      <c r="E98" s="163">
        <f>+'[1]Sch 140 Combined Charges'!O98</f>
        <v>0.08</v>
      </c>
      <c r="F98" s="163">
        <f>+'[1]Sch 140 Combined Charges'!P98</f>
        <v>0.05</v>
      </c>
      <c r="G98" s="163">
        <f t="shared" si="44"/>
        <v>0.13</v>
      </c>
      <c r="H98" s="164">
        <f>+'[1]Sch 140 Combined Charges'!L98</f>
        <v>90</v>
      </c>
      <c r="I98" s="165">
        <f t="shared" si="45"/>
        <v>86</v>
      </c>
      <c r="J98" s="165">
        <f t="shared" si="46"/>
        <v>54</v>
      </c>
      <c r="K98" s="165">
        <f t="shared" si="47"/>
        <v>140</v>
      </c>
    </row>
    <row r="99" spans="1:11" x14ac:dyDescent="0.25">
      <c r="A99" s="153">
        <f t="shared" si="34"/>
        <v>91</v>
      </c>
      <c r="B99" s="160" t="str">
        <f t="shared" si="48"/>
        <v>53E - Customer Owned</v>
      </c>
      <c r="C99" s="8" t="s">
        <v>210</v>
      </c>
      <c r="D99" s="167" t="s">
        <v>217</v>
      </c>
      <c r="E99" s="163">
        <f>+'[1]Sch 140 Combined Charges'!O99</f>
        <v>0.09</v>
      </c>
      <c r="F99" s="163">
        <f>+'[1]Sch 140 Combined Charges'!P99</f>
        <v>0.06</v>
      </c>
      <c r="G99" s="163">
        <f t="shared" si="44"/>
        <v>0.15</v>
      </c>
      <c r="H99" s="164">
        <f>+'[1]Sch 140 Combined Charges'!L99</f>
        <v>0</v>
      </c>
      <c r="I99" s="165">
        <f t="shared" si="45"/>
        <v>0</v>
      </c>
      <c r="J99" s="165">
        <f t="shared" si="46"/>
        <v>0</v>
      </c>
      <c r="K99" s="165">
        <f t="shared" si="47"/>
        <v>0</v>
      </c>
    </row>
    <row r="100" spans="1:11" x14ac:dyDescent="0.25">
      <c r="A100" s="153">
        <f t="shared" si="34"/>
        <v>92</v>
      </c>
      <c r="B100" s="160" t="str">
        <f t="shared" si="48"/>
        <v>53E - Customer Owned</v>
      </c>
      <c r="C100" s="8" t="s">
        <v>210</v>
      </c>
      <c r="D100" s="167" t="s">
        <v>218</v>
      </c>
      <c r="E100" s="163">
        <f>+'[1]Sch 140 Combined Charges'!O100</f>
        <v>0.1</v>
      </c>
      <c r="F100" s="163">
        <f>+'[1]Sch 140 Combined Charges'!P100</f>
        <v>0.06</v>
      </c>
      <c r="G100" s="163">
        <f t="shared" si="44"/>
        <v>0.16</v>
      </c>
      <c r="H100" s="164">
        <f>+'[1]Sch 140 Combined Charges'!L100</f>
        <v>0</v>
      </c>
      <c r="I100" s="165">
        <f t="shared" si="45"/>
        <v>0</v>
      </c>
      <c r="J100" s="165">
        <f t="shared" si="46"/>
        <v>0</v>
      </c>
      <c r="K100" s="165">
        <f t="shared" si="47"/>
        <v>0</v>
      </c>
    </row>
    <row r="101" spans="1:11" x14ac:dyDescent="0.25">
      <c r="A101" s="153">
        <f t="shared" si="34"/>
        <v>93</v>
      </c>
      <c r="B101" s="160" t="str">
        <f t="shared" si="48"/>
        <v>53E - Customer Owned</v>
      </c>
      <c r="C101" s="8" t="s">
        <v>210</v>
      </c>
      <c r="D101" s="167" t="s">
        <v>219</v>
      </c>
      <c r="E101" s="163">
        <f>+'[1]Sch 140 Combined Charges'!O101</f>
        <v>0.11</v>
      </c>
      <c r="F101" s="163">
        <f>+'[1]Sch 140 Combined Charges'!P101</f>
        <v>7.0000000000000007E-2</v>
      </c>
      <c r="G101" s="163">
        <f t="shared" si="44"/>
        <v>0.18</v>
      </c>
      <c r="H101" s="164">
        <f>+'[1]Sch 140 Combined Charges'!L101</f>
        <v>0</v>
      </c>
      <c r="I101" s="165">
        <f t="shared" si="45"/>
        <v>0</v>
      </c>
      <c r="J101" s="165">
        <f t="shared" si="46"/>
        <v>0</v>
      </c>
      <c r="K101" s="165">
        <f t="shared" si="47"/>
        <v>0</v>
      </c>
    </row>
    <row r="102" spans="1:11" x14ac:dyDescent="0.25">
      <c r="A102" s="153">
        <f t="shared" si="34"/>
        <v>94</v>
      </c>
      <c r="B102" s="171"/>
      <c r="C102" s="8"/>
      <c r="D102" s="8"/>
      <c r="E102" s="159"/>
      <c r="F102" s="159"/>
      <c r="G102" s="159"/>
      <c r="H102" s="164"/>
      <c r="I102" s="164"/>
      <c r="J102" s="164"/>
      <c r="K102" s="154"/>
    </row>
    <row r="103" spans="1:11" x14ac:dyDescent="0.25">
      <c r="A103" s="153">
        <f t="shared" si="34"/>
        <v>95</v>
      </c>
      <c r="B103" s="158" t="s">
        <v>226</v>
      </c>
      <c r="C103" s="158"/>
      <c r="D103" s="158"/>
      <c r="E103" s="159"/>
      <c r="F103" s="159"/>
      <c r="G103" s="159"/>
      <c r="H103" s="164"/>
      <c r="I103" s="164"/>
      <c r="J103" s="164"/>
      <c r="K103" s="154"/>
    </row>
    <row r="104" spans="1:11" x14ac:dyDescent="0.25">
      <c r="A104" s="153">
        <f t="shared" si="34"/>
        <v>96</v>
      </c>
      <c r="B104" s="160" t="s">
        <v>227</v>
      </c>
      <c r="C104" s="8" t="s">
        <v>88</v>
      </c>
      <c r="D104" s="8">
        <v>50</v>
      </c>
      <c r="E104" s="163">
        <f>+'[1]Sch 140 Combined Charges'!O104</f>
        <v>0.02</v>
      </c>
      <c r="F104" s="163">
        <f>+'[1]Sch 140 Combined Charges'!P104</f>
        <v>0.01</v>
      </c>
      <c r="G104" s="163">
        <f t="shared" ref="G104:G112" si="49">SUM(E104:F104)</f>
        <v>0.03</v>
      </c>
      <c r="H104" s="164">
        <f>+'[1]Sch 140 Combined Charges'!L104</f>
        <v>38</v>
      </c>
      <c r="I104" s="165">
        <f t="shared" ref="I104:I112" si="50">ROUND($H104*E104*12,0)</f>
        <v>9</v>
      </c>
      <c r="J104" s="165">
        <f t="shared" ref="J104:J112" si="51">ROUND($H104*F104*12,0)</f>
        <v>5</v>
      </c>
      <c r="K104" s="165">
        <f t="shared" ref="K104:K112" si="52">SUM(I104:J104)</f>
        <v>14</v>
      </c>
    </row>
    <row r="105" spans="1:11" x14ac:dyDescent="0.25">
      <c r="A105" s="153">
        <f t="shared" si="34"/>
        <v>97</v>
      </c>
      <c r="B105" s="160" t="str">
        <f t="shared" ref="B105:B112" si="53">+B104</f>
        <v>54E</v>
      </c>
      <c r="C105" s="8" t="s">
        <v>88</v>
      </c>
      <c r="D105" s="8">
        <v>70</v>
      </c>
      <c r="E105" s="163">
        <f>+'[1]Sch 140 Combined Charges'!O105</f>
        <v>0.03</v>
      </c>
      <c r="F105" s="163">
        <f>+'[1]Sch 140 Combined Charges'!P105</f>
        <v>0.02</v>
      </c>
      <c r="G105" s="163">
        <f t="shared" si="49"/>
        <v>0.05</v>
      </c>
      <c r="H105" s="164">
        <f>+'[1]Sch 140 Combined Charges'!L105</f>
        <v>761</v>
      </c>
      <c r="I105" s="165">
        <f t="shared" si="50"/>
        <v>274</v>
      </c>
      <c r="J105" s="165">
        <f t="shared" si="51"/>
        <v>183</v>
      </c>
      <c r="K105" s="165">
        <f t="shared" si="52"/>
        <v>457</v>
      </c>
    </row>
    <row r="106" spans="1:11" x14ac:dyDescent="0.25">
      <c r="A106" s="153">
        <f t="shared" si="34"/>
        <v>98</v>
      </c>
      <c r="B106" s="160" t="str">
        <f t="shared" si="53"/>
        <v>54E</v>
      </c>
      <c r="C106" s="8" t="s">
        <v>88</v>
      </c>
      <c r="D106" s="8">
        <v>100</v>
      </c>
      <c r="E106" s="163">
        <f>+'[1]Sch 140 Combined Charges'!O106</f>
        <v>0.04</v>
      </c>
      <c r="F106" s="163">
        <f>+'[1]Sch 140 Combined Charges'!P106</f>
        <v>0.02</v>
      </c>
      <c r="G106" s="163">
        <f t="shared" si="49"/>
        <v>0.06</v>
      </c>
      <c r="H106" s="164">
        <f>+'[1]Sch 140 Combined Charges'!L106</f>
        <v>1718</v>
      </c>
      <c r="I106" s="165">
        <f t="shared" si="50"/>
        <v>825</v>
      </c>
      <c r="J106" s="165">
        <f t="shared" si="51"/>
        <v>412</v>
      </c>
      <c r="K106" s="165">
        <f t="shared" si="52"/>
        <v>1237</v>
      </c>
    </row>
    <row r="107" spans="1:11" x14ac:dyDescent="0.25">
      <c r="A107" s="153">
        <f t="shared" si="34"/>
        <v>99</v>
      </c>
      <c r="B107" s="160" t="str">
        <f t="shared" si="53"/>
        <v>54E</v>
      </c>
      <c r="C107" s="8" t="s">
        <v>88</v>
      </c>
      <c r="D107" s="8">
        <v>150</v>
      </c>
      <c r="E107" s="163">
        <f>+'[1]Sch 140 Combined Charges'!O107</f>
        <v>0.06</v>
      </c>
      <c r="F107" s="163">
        <f>+'[1]Sch 140 Combined Charges'!P107</f>
        <v>0.04</v>
      </c>
      <c r="G107" s="163">
        <f t="shared" si="49"/>
        <v>0.1</v>
      </c>
      <c r="H107" s="164">
        <f>+'[1]Sch 140 Combined Charges'!L107</f>
        <v>516</v>
      </c>
      <c r="I107" s="165">
        <f t="shared" si="50"/>
        <v>372</v>
      </c>
      <c r="J107" s="165">
        <f t="shared" si="51"/>
        <v>248</v>
      </c>
      <c r="K107" s="165">
        <f t="shared" si="52"/>
        <v>620</v>
      </c>
    </row>
    <row r="108" spans="1:11" x14ac:dyDescent="0.25">
      <c r="A108" s="153">
        <f t="shared" si="34"/>
        <v>100</v>
      </c>
      <c r="B108" s="160" t="str">
        <f t="shared" si="53"/>
        <v>54E</v>
      </c>
      <c r="C108" s="8" t="s">
        <v>88</v>
      </c>
      <c r="D108" s="8">
        <v>200</v>
      </c>
      <c r="E108" s="163">
        <f>+'[1]Sch 140 Combined Charges'!O108</f>
        <v>0.08</v>
      </c>
      <c r="F108" s="163">
        <f>+'[1]Sch 140 Combined Charges'!P108</f>
        <v>0.05</v>
      </c>
      <c r="G108" s="163">
        <f t="shared" si="49"/>
        <v>0.13</v>
      </c>
      <c r="H108" s="164">
        <f>+'[1]Sch 140 Combined Charges'!L108</f>
        <v>680</v>
      </c>
      <c r="I108" s="165">
        <f t="shared" si="50"/>
        <v>653</v>
      </c>
      <c r="J108" s="165">
        <f t="shared" si="51"/>
        <v>408</v>
      </c>
      <c r="K108" s="165">
        <f t="shared" si="52"/>
        <v>1061</v>
      </c>
    </row>
    <row r="109" spans="1:11" x14ac:dyDescent="0.25">
      <c r="A109" s="153">
        <f t="shared" si="34"/>
        <v>101</v>
      </c>
      <c r="B109" s="160" t="str">
        <f t="shared" si="53"/>
        <v>54E</v>
      </c>
      <c r="C109" s="8" t="s">
        <v>88</v>
      </c>
      <c r="D109" s="8">
        <v>250</v>
      </c>
      <c r="E109" s="163">
        <f>+'[1]Sch 140 Combined Charges'!O109</f>
        <v>0.1</v>
      </c>
      <c r="F109" s="163">
        <f>+'[1]Sch 140 Combined Charges'!P109</f>
        <v>0.06</v>
      </c>
      <c r="G109" s="163">
        <f t="shared" si="49"/>
        <v>0.16</v>
      </c>
      <c r="H109" s="164">
        <f>+'[1]Sch 140 Combined Charges'!L109</f>
        <v>1535</v>
      </c>
      <c r="I109" s="165">
        <f t="shared" si="50"/>
        <v>1842</v>
      </c>
      <c r="J109" s="165">
        <f t="shared" si="51"/>
        <v>1105</v>
      </c>
      <c r="K109" s="165">
        <f t="shared" si="52"/>
        <v>2947</v>
      </c>
    </row>
    <row r="110" spans="1:11" x14ac:dyDescent="0.25">
      <c r="A110" s="153">
        <f t="shared" si="34"/>
        <v>102</v>
      </c>
      <c r="B110" s="160" t="str">
        <f t="shared" si="53"/>
        <v>54E</v>
      </c>
      <c r="C110" s="8" t="s">
        <v>88</v>
      </c>
      <c r="D110" s="8">
        <v>310</v>
      </c>
      <c r="E110" s="163">
        <f>+'[1]Sch 140 Combined Charges'!O110</f>
        <v>0.12</v>
      </c>
      <c r="F110" s="163">
        <f>+'[1]Sch 140 Combined Charges'!P110</f>
        <v>0.08</v>
      </c>
      <c r="G110" s="163">
        <f t="shared" si="49"/>
        <v>0.2</v>
      </c>
      <c r="H110" s="164">
        <f>+'[1]Sch 140 Combined Charges'!L110</f>
        <v>77</v>
      </c>
      <c r="I110" s="165">
        <f t="shared" si="50"/>
        <v>111</v>
      </c>
      <c r="J110" s="165">
        <f t="shared" si="51"/>
        <v>74</v>
      </c>
      <c r="K110" s="165">
        <f t="shared" si="52"/>
        <v>185</v>
      </c>
    </row>
    <row r="111" spans="1:11" x14ac:dyDescent="0.25">
      <c r="A111" s="153">
        <f t="shared" si="34"/>
        <v>103</v>
      </c>
      <c r="B111" s="160" t="str">
        <f t="shared" si="53"/>
        <v>54E</v>
      </c>
      <c r="C111" s="8" t="s">
        <v>88</v>
      </c>
      <c r="D111" s="8">
        <v>400</v>
      </c>
      <c r="E111" s="163">
        <f>+'[1]Sch 140 Combined Charges'!O111</f>
        <v>0.16</v>
      </c>
      <c r="F111" s="163">
        <f>+'[1]Sch 140 Combined Charges'!P111</f>
        <v>0.1</v>
      </c>
      <c r="G111" s="163">
        <f t="shared" si="49"/>
        <v>0.26</v>
      </c>
      <c r="H111" s="164">
        <f>+'[1]Sch 140 Combined Charges'!L111</f>
        <v>755</v>
      </c>
      <c r="I111" s="165">
        <f t="shared" si="50"/>
        <v>1450</v>
      </c>
      <c r="J111" s="165">
        <f t="shared" si="51"/>
        <v>906</v>
      </c>
      <c r="K111" s="165">
        <f t="shared" si="52"/>
        <v>2356</v>
      </c>
    </row>
    <row r="112" spans="1:11" x14ac:dyDescent="0.25">
      <c r="A112" s="153">
        <f t="shared" si="34"/>
        <v>104</v>
      </c>
      <c r="B112" s="160" t="str">
        <f t="shared" si="53"/>
        <v>54E</v>
      </c>
      <c r="C112" s="8" t="s">
        <v>88</v>
      </c>
      <c r="D112" s="8">
        <v>1000</v>
      </c>
      <c r="E112" s="163">
        <f>+'[1]Sch 140 Combined Charges'!O112</f>
        <v>0.41</v>
      </c>
      <c r="F112" s="163">
        <f>+'[1]Sch 140 Combined Charges'!P112</f>
        <v>0.24</v>
      </c>
      <c r="G112" s="163">
        <f t="shared" si="49"/>
        <v>0.64999999999999991</v>
      </c>
      <c r="H112" s="164">
        <f>+'[1]Sch 140 Combined Charges'!L112</f>
        <v>11</v>
      </c>
      <c r="I112" s="165">
        <f t="shared" si="50"/>
        <v>54</v>
      </c>
      <c r="J112" s="165">
        <f t="shared" si="51"/>
        <v>32</v>
      </c>
      <c r="K112" s="165">
        <f t="shared" si="52"/>
        <v>86</v>
      </c>
    </row>
    <row r="113" spans="1:11" x14ac:dyDescent="0.25">
      <c r="A113" s="153">
        <f t="shared" si="34"/>
        <v>105</v>
      </c>
      <c r="B113" s="171"/>
      <c r="C113" s="8"/>
      <c r="D113" s="8"/>
      <c r="E113" s="159"/>
      <c r="F113" s="159"/>
      <c r="G113" s="159"/>
      <c r="H113" s="164"/>
      <c r="I113" s="164"/>
      <c r="J113" s="164"/>
      <c r="K113" s="154"/>
    </row>
    <row r="114" spans="1:11" x14ac:dyDescent="0.25">
      <c r="A114" s="153">
        <f t="shared" si="34"/>
        <v>106</v>
      </c>
      <c r="B114" s="171"/>
      <c r="C114" s="8"/>
      <c r="D114" s="8"/>
      <c r="E114" s="159"/>
      <c r="F114" s="159"/>
      <c r="G114" s="159"/>
      <c r="H114" s="164"/>
      <c r="I114" s="164"/>
      <c r="J114" s="164"/>
      <c r="K114" s="154"/>
    </row>
    <row r="115" spans="1:11" x14ac:dyDescent="0.25">
      <c r="A115" s="153">
        <f t="shared" si="34"/>
        <v>107</v>
      </c>
      <c r="B115" s="160" t="str">
        <f>+B112</f>
        <v>54E</v>
      </c>
      <c r="C115" s="8" t="s">
        <v>210</v>
      </c>
      <c r="D115" s="167" t="s">
        <v>211</v>
      </c>
      <c r="E115" s="163">
        <f>+'[1]Sch 140 Combined Charges'!O115</f>
        <v>0.02</v>
      </c>
      <c r="F115" s="163">
        <f>+'[1]Sch 140 Combined Charges'!P115</f>
        <v>0.01</v>
      </c>
      <c r="G115" s="163">
        <f t="shared" ref="G115:G123" si="54">SUM(E115:F115)</f>
        <v>0.03</v>
      </c>
      <c r="H115" s="164">
        <f>+'[1]Sch 140 Combined Charges'!L115</f>
        <v>1451</v>
      </c>
      <c r="I115" s="165">
        <f t="shared" ref="I115:I123" si="55">ROUND($H115*E115*12,0)</f>
        <v>348</v>
      </c>
      <c r="J115" s="165">
        <f t="shared" ref="J115:J123" si="56">ROUND($H115*F115*12,0)</f>
        <v>174</v>
      </c>
      <c r="K115" s="165">
        <f t="shared" ref="K115:K123" si="57">SUM(I115:J115)</f>
        <v>522</v>
      </c>
    </row>
    <row r="116" spans="1:11" x14ac:dyDescent="0.25">
      <c r="A116" s="153">
        <f t="shared" si="34"/>
        <v>108</v>
      </c>
      <c r="B116" s="160" t="str">
        <f t="shared" ref="B116:B123" si="58">+B115</f>
        <v>54E</v>
      </c>
      <c r="C116" s="8" t="s">
        <v>210</v>
      </c>
      <c r="D116" s="167" t="s">
        <v>212</v>
      </c>
      <c r="E116" s="163">
        <f>+'[1]Sch 140 Combined Charges'!O116</f>
        <v>0.03</v>
      </c>
      <c r="F116" s="163">
        <f>+'[1]Sch 140 Combined Charges'!P116</f>
        <v>0.02</v>
      </c>
      <c r="G116" s="163">
        <f t="shared" si="54"/>
        <v>0.05</v>
      </c>
      <c r="H116" s="164">
        <f>+'[1]Sch 140 Combined Charges'!L116</f>
        <v>0</v>
      </c>
      <c r="I116" s="165">
        <f t="shared" si="55"/>
        <v>0</v>
      </c>
      <c r="J116" s="165">
        <f t="shared" si="56"/>
        <v>0</v>
      </c>
      <c r="K116" s="165">
        <f t="shared" si="57"/>
        <v>0</v>
      </c>
    </row>
    <row r="117" spans="1:11" x14ac:dyDescent="0.25">
      <c r="A117" s="153">
        <f t="shared" si="34"/>
        <v>109</v>
      </c>
      <c r="B117" s="160" t="str">
        <f t="shared" si="58"/>
        <v>54E</v>
      </c>
      <c r="C117" s="8" t="s">
        <v>210</v>
      </c>
      <c r="D117" s="167" t="s">
        <v>213</v>
      </c>
      <c r="E117" s="163">
        <f>+'[1]Sch 140 Combined Charges'!O117</f>
        <v>0.04</v>
      </c>
      <c r="F117" s="163">
        <f>+'[1]Sch 140 Combined Charges'!P117</f>
        <v>0.03</v>
      </c>
      <c r="G117" s="163">
        <f t="shared" si="54"/>
        <v>7.0000000000000007E-2</v>
      </c>
      <c r="H117" s="164">
        <f>+'[1]Sch 140 Combined Charges'!L117</f>
        <v>1702</v>
      </c>
      <c r="I117" s="165">
        <f t="shared" si="55"/>
        <v>817</v>
      </c>
      <c r="J117" s="165">
        <f t="shared" si="56"/>
        <v>613</v>
      </c>
      <c r="K117" s="165">
        <f t="shared" si="57"/>
        <v>1430</v>
      </c>
    </row>
    <row r="118" spans="1:11" x14ac:dyDescent="0.25">
      <c r="A118" s="153">
        <f t="shared" si="34"/>
        <v>110</v>
      </c>
      <c r="B118" s="160" t="str">
        <f t="shared" si="58"/>
        <v>54E</v>
      </c>
      <c r="C118" s="8" t="s">
        <v>210</v>
      </c>
      <c r="D118" s="167" t="s">
        <v>214</v>
      </c>
      <c r="E118" s="163">
        <f>+'[1]Sch 140 Combined Charges'!O118</f>
        <v>0.06</v>
      </c>
      <c r="F118" s="163">
        <f>+'[1]Sch 140 Combined Charges'!P118</f>
        <v>0.03</v>
      </c>
      <c r="G118" s="163">
        <f t="shared" si="54"/>
        <v>0.09</v>
      </c>
      <c r="H118" s="164">
        <f>+'[1]Sch 140 Combined Charges'!L118</f>
        <v>796</v>
      </c>
      <c r="I118" s="165">
        <f t="shared" si="55"/>
        <v>573</v>
      </c>
      <c r="J118" s="165">
        <f t="shared" si="56"/>
        <v>287</v>
      </c>
      <c r="K118" s="165">
        <f t="shared" si="57"/>
        <v>860</v>
      </c>
    </row>
    <row r="119" spans="1:11" x14ac:dyDescent="0.25">
      <c r="A119" s="153">
        <f t="shared" si="34"/>
        <v>111</v>
      </c>
      <c r="B119" s="160" t="str">
        <f t="shared" si="58"/>
        <v>54E</v>
      </c>
      <c r="C119" s="8" t="s">
        <v>210</v>
      </c>
      <c r="D119" s="167" t="s">
        <v>215</v>
      </c>
      <c r="E119" s="163">
        <f>+'[1]Sch 140 Combined Charges'!O119</f>
        <v>7.0000000000000007E-2</v>
      </c>
      <c r="F119" s="163">
        <f>+'[1]Sch 140 Combined Charges'!P119</f>
        <v>0.04</v>
      </c>
      <c r="G119" s="163">
        <f t="shared" si="54"/>
        <v>0.11000000000000001</v>
      </c>
      <c r="H119" s="164">
        <f>+'[1]Sch 140 Combined Charges'!L119</f>
        <v>316</v>
      </c>
      <c r="I119" s="165">
        <f t="shared" si="55"/>
        <v>265</v>
      </c>
      <c r="J119" s="165">
        <f t="shared" si="56"/>
        <v>152</v>
      </c>
      <c r="K119" s="165">
        <f t="shared" si="57"/>
        <v>417</v>
      </c>
    </row>
    <row r="120" spans="1:11" x14ac:dyDescent="0.25">
      <c r="A120" s="153">
        <f t="shared" si="34"/>
        <v>112</v>
      </c>
      <c r="B120" s="160" t="str">
        <f t="shared" si="58"/>
        <v>54E</v>
      </c>
      <c r="C120" s="8" t="s">
        <v>210</v>
      </c>
      <c r="D120" s="167" t="s">
        <v>216</v>
      </c>
      <c r="E120" s="163">
        <f>+'[1]Sch 140 Combined Charges'!O120</f>
        <v>0.08</v>
      </c>
      <c r="F120" s="163">
        <f>+'[1]Sch 140 Combined Charges'!P120</f>
        <v>0.05</v>
      </c>
      <c r="G120" s="163">
        <f t="shared" si="54"/>
        <v>0.13</v>
      </c>
      <c r="H120" s="164">
        <f>+'[1]Sch 140 Combined Charges'!L120</f>
        <v>4</v>
      </c>
      <c r="I120" s="165">
        <f t="shared" si="55"/>
        <v>4</v>
      </c>
      <c r="J120" s="165">
        <f t="shared" si="56"/>
        <v>2</v>
      </c>
      <c r="K120" s="165">
        <f t="shared" si="57"/>
        <v>6</v>
      </c>
    </row>
    <row r="121" spans="1:11" x14ac:dyDescent="0.25">
      <c r="A121" s="153">
        <f t="shared" si="34"/>
        <v>113</v>
      </c>
      <c r="B121" s="160" t="str">
        <f t="shared" si="58"/>
        <v>54E</v>
      </c>
      <c r="C121" s="8" t="s">
        <v>210</v>
      </c>
      <c r="D121" s="167" t="s">
        <v>217</v>
      </c>
      <c r="E121" s="163">
        <f>+'[1]Sch 140 Combined Charges'!O121</f>
        <v>0.09</v>
      </c>
      <c r="F121" s="163">
        <f>+'[1]Sch 140 Combined Charges'!P121</f>
        <v>0.06</v>
      </c>
      <c r="G121" s="163">
        <f t="shared" si="54"/>
        <v>0.15</v>
      </c>
      <c r="H121" s="164">
        <f>+'[1]Sch 140 Combined Charges'!L121</f>
        <v>0</v>
      </c>
      <c r="I121" s="165">
        <f t="shared" si="55"/>
        <v>0</v>
      </c>
      <c r="J121" s="165">
        <f t="shared" si="56"/>
        <v>0</v>
      </c>
      <c r="K121" s="165">
        <f t="shared" si="57"/>
        <v>0</v>
      </c>
    </row>
    <row r="122" spans="1:11" x14ac:dyDescent="0.25">
      <c r="A122" s="153">
        <f t="shared" si="34"/>
        <v>114</v>
      </c>
      <c r="B122" s="160" t="str">
        <f t="shared" si="58"/>
        <v>54E</v>
      </c>
      <c r="C122" s="8" t="s">
        <v>210</v>
      </c>
      <c r="D122" s="167" t="s">
        <v>218</v>
      </c>
      <c r="E122" s="163">
        <f>+'[1]Sch 140 Combined Charges'!O122</f>
        <v>0.1</v>
      </c>
      <c r="F122" s="163">
        <f>+'[1]Sch 140 Combined Charges'!P122</f>
        <v>0.06</v>
      </c>
      <c r="G122" s="163">
        <f t="shared" si="54"/>
        <v>0.16</v>
      </c>
      <c r="H122" s="164">
        <f>+'[1]Sch 140 Combined Charges'!L122</f>
        <v>0</v>
      </c>
      <c r="I122" s="165">
        <f t="shared" si="55"/>
        <v>0</v>
      </c>
      <c r="J122" s="165">
        <f t="shared" si="56"/>
        <v>0</v>
      </c>
      <c r="K122" s="165">
        <f t="shared" si="57"/>
        <v>0</v>
      </c>
    </row>
    <row r="123" spans="1:11" x14ac:dyDescent="0.25">
      <c r="A123" s="153">
        <f t="shared" si="34"/>
        <v>115</v>
      </c>
      <c r="B123" s="160" t="str">
        <f t="shared" si="58"/>
        <v>54E</v>
      </c>
      <c r="C123" s="8" t="s">
        <v>210</v>
      </c>
      <c r="D123" s="167" t="s">
        <v>219</v>
      </c>
      <c r="E123" s="163">
        <f>+'[1]Sch 140 Combined Charges'!O123</f>
        <v>0.11</v>
      </c>
      <c r="F123" s="163">
        <f>+'[1]Sch 140 Combined Charges'!P123</f>
        <v>7.0000000000000007E-2</v>
      </c>
      <c r="G123" s="163">
        <f t="shared" si="54"/>
        <v>0.18</v>
      </c>
      <c r="H123" s="164">
        <f>+'[1]Sch 140 Combined Charges'!L123</f>
        <v>0</v>
      </c>
      <c r="I123" s="165">
        <f t="shared" si="55"/>
        <v>0</v>
      </c>
      <c r="J123" s="165">
        <f t="shared" si="56"/>
        <v>0</v>
      </c>
      <c r="K123" s="165">
        <f t="shared" si="57"/>
        <v>0</v>
      </c>
    </row>
    <row r="124" spans="1:11" x14ac:dyDescent="0.25">
      <c r="A124" s="153">
        <f t="shared" si="34"/>
        <v>116</v>
      </c>
      <c r="B124" s="171"/>
      <c r="C124" s="8"/>
      <c r="D124" s="8"/>
      <c r="E124" s="159"/>
      <c r="F124" s="159"/>
      <c r="G124" s="159"/>
      <c r="H124" s="164"/>
      <c r="I124" s="164"/>
      <c r="J124" s="164"/>
      <c r="K124" s="154"/>
    </row>
    <row r="125" spans="1:11" x14ac:dyDescent="0.25">
      <c r="A125" s="153">
        <f t="shared" si="34"/>
        <v>117</v>
      </c>
      <c r="B125" s="158" t="s">
        <v>228</v>
      </c>
      <c r="C125" s="8"/>
      <c r="D125" s="8"/>
      <c r="E125" s="159"/>
      <c r="F125" s="159"/>
      <c r="G125" s="159"/>
      <c r="H125" s="164"/>
      <c r="I125" s="164"/>
      <c r="J125" s="164"/>
      <c r="K125" s="154"/>
    </row>
    <row r="126" spans="1:11" x14ac:dyDescent="0.25">
      <c r="A126" s="153">
        <f t="shared" si="34"/>
        <v>118</v>
      </c>
      <c r="B126" s="160" t="s">
        <v>229</v>
      </c>
      <c r="C126" s="8" t="s">
        <v>88</v>
      </c>
      <c r="D126" s="8">
        <v>70</v>
      </c>
      <c r="E126" s="163">
        <f>+'[1]Sch 140 Combined Charges'!O126</f>
        <v>0.34</v>
      </c>
      <c r="F126" s="163">
        <f>+'[1]Sch 140 Combined Charges'!P126</f>
        <v>0.2</v>
      </c>
      <c r="G126" s="163">
        <f t="shared" ref="G126:G131" si="59">SUM(E126:F126)</f>
        <v>0.54</v>
      </c>
      <c r="H126" s="164">
        <f>+'[1]Sch 140 Combined Charges'!L126</f>
        <v>17</v>
      </c>
      <c r="I126" s="165">
        <f t="shared" ref="I126:I131" si="60">ROUND($H126*E126*12,0)</f>
        <v>69</v>
      </c>
      <c r="J126" s="165">
        <f t="shared" ref="J126:J131" si="61">ROUND($H126*F126*12,0)</f>
        <v>41</v>
      </c>
      <c r="K126" s="165">
        <f t="shared" ref="K126:K131" si="62">SUM(I126:J126)</f>
        <v>110</v>
      </c>
    </row>
    <row r="127" spans="1:11" x14ac:dyDescent="0.25">
      <c r="A127" s="153">
        <f t="shared" si="34"/>
        <v>119</v>
      </c>
      <c r="B127" s="171" t="str">
        <f>+B126</f>
        <v>55E &amp; 56E</v>
      </c>
      <c r="C127" s="8" t="s">
        <v>88</v>
      </c>
      <c r="D127" s="8">
        <v>100</v>
      </c>
      <c r="E127" s="163">
        <f>+'[1]Sch 140 Combined Charges'!O127</f>
        <v>0.36</v>
      </c>
      <c r="F127" s="163">
        <f>+'[1]Sch 140 Combined Charges'!P127</f>
        <v>0.22</v>
      </c>
      <c r="G127" s="163">
        <f t="shared" si="59"/>
        <v>0.57999999999999996</v>
      </c>
      <c r="H127" s="164">
        <f>+'[1]Sch 140 Combined Charges'!L127</f>
        <v>4030</v>
      </c>
      <c r="I127" s="165">
        <f t="shared" si="60"/>
        <v>17410</v>
      </c>
      <c r="J127" s="165">
        <f t="shared" si="61"/>
        <v>10639</v>
      </c>
      <c r="K127" s="165">
        <f t="shared" si="62"/>
        <v>28049</v>
      </c>
    </row>
    <row r="128" spans="1:11" x14ac:dyDescent="0.25">
      <c r="A128" s="153">
        <f t="shared" si="34"/>
        <v>120</v>
      </c>
      <c r="B128" s="171" t="str">
        <f>+B127</f>
        <v>55E &amp; 56E</v>
      </c>
      <c r="C128" s="8" t="s">
        <v>88</v>
      </c>
      <c r="D128" s="8">
        <v>150</v>
      </c>
      <c r="E128" s="163">
        <f>+'[1]Sch 140 Combined Charges'!O128</f>
        <v>0.4</v>
      </c>
      <c r="F128" s="163">
        <f>+'[1]Sch 140 Combined Charges'!P128</f>
        <v>0.24</v>
      </c>
      <c r="G128" s="163">
        <f t="shared" si="59"/>
        <v>0.64</v>
      </c>
      <c r="H128" s="164">
        <f>+'[1]Sch 140 Combined Charges'!L128</f>
        <v>532</v>
      </c>
      <c r="I128" s="165">
        <f t="shared" si="60"/>
        <v>2554</v>
      </c>
      <c r="J128" s="165">
        <f t="shared" si="61"/>
        <v>1532</v>
      </c>
      <c r="K128" s="165">
        <f t="shared" si="62"/>
        <v>4086</v>
      </c>
    </row>
    <row r="129" spans="1:11" x14ac:dyDescent="0.25">
      <c r="A129" s="153">
        <f t="shared" si="34"/>
        <v>121</v>
      </c>
      <c r="B129" s="171" t="str">
        <f>+B128</f>
        <v>55E &amp; 56E</v>
      </c>
      <c r="C129" s="8" t="s">
        <v>88</v>
      </c>
      <c r="D129" s="8">
        <v>200</v>
      </c>
      <c r="E129" s="163">
        <f>+'[1]Sch 140 Combined Charges'!O129</f>
        <v>0.44</v>
      </c>
      <c r="F129" s="163">
        <f>+'[1]Sch 140 Combined Charges'!P129</f>
        <v>0.26</v>
      </c>
      <c r="G129" s="163">
        <f t="shared" si="59"/>
        <v>0.7</v>
      </c>
      <c r="H129" s="164">
        <f>+'[1]Sch 140 Combined Charges'!L129</f>
        <v>1143</v>
      </c>
      <c r="I129" s="165">
        <f t="shared" si="60"/>
        <v>6035</v>
      </c>
      <c r="J129" s="165">
        <f t="shared" si="61"/>
        <v>3566</v>
      </c>
      <c r="K129" s="165">
        <f t="shared" si="62"/>
        <v>9601</v>
      </c>
    </row>
    <row r="130" spans="1:11" x14ac:dyDescent="0.25">
      <c r="A130" s="153">
        <f t="shared" si="34"/>
        <v>122</v>
      </c>
      <c r="B130" s="171" t="str">
        <f>+B129</f>
        <v>55E &amp; 56E</v>
      </c>
      <c r="C130" s="8" t="s">
        <v>88</v>
      </c>
      <c r="D130" s="8">
        <v>250</v>
      </c>
      <c r="E130" s="163">
        <f>+'[1]Sch 140 Combined Charges'!O130</f>
        <v>0.47</v>
      </c>
      <c r="F130" s="163">
        <f>+'[1]Sch 140 Combined Charges'!P130</f>
        <v>0.28999999999999998</v>
      </c>
      <c r="G130" s="163">
        <f t="shared" si="59"/>
        <v>0.76</v>
      </c>
      <c r="H130" s="164">
        <f>+'[1]Sch 140 Combined Charges'!L130</f>
        <v>120</v>
      </c>
      <c r="I130" s="165">
        <f t="shared" si="60"/>
        <v>677</v>
      </c>
      <c r="J130" s="165">
        <f t="shared" si="61"/>
        <v>418</v>
      </c>
      <c r="K130" s="165">
        <f t="shared" si="62"/>
        <v>1095</v>
      </c>
    </row>
    <row r="131" spans="1:11" x14ac:dyDescent="0.25">
      <c r="A131" s="153">
        <f t="shared" si="34"/>
        <v>123</v>
      </c>
      <c r="B131" s="171" t="str">
        <f>+B130</f>
        <v>55E &amp; 56E</v>
      </c>
      <c r="C131" s="8" t="s">
        <v>88</v>
      </c>
      <c r="D131" s="8">
        <v>400</v>
      </c>
      <c r="E131" s="163">
        <f>+'[1]Sch 140 Combined Charges'!O131</f>
        <v>0.59</v>
      </c>
      <c r="F131" s="163">
        <f>+'[1]Sch 140 Combined Charges'!P131</f>
        <v>0.35</v>
      </c>
      <c r="G131" s="163">
        <f t="shared" si="59"/>
        <v>0.94</v>
      </c>
      <c r="H131" s="164">
        <f>+'[1]Sch 140 Combined Charges'!L131</f>
        <v>50</v>
      </c>
      <c r="I131" s="165">
        <f t="shared" si="60"/>
        <v>354</v>
      </c>
      <c r="J131" s="165">
        <f t="shared" si="61"/>
        <v>210</v>
      </c>
      <c r="K131" s="165">
        <f t="shared" si="62"/>
        <v>564</v>
      </c>
    </row>
    <row r="132" spans="1:11" x14ac:dyDescent="0.25">
      <c r="A132" s="153">
        <f t="shared" si="34"/>
        <v>124</v>
      </c>
      <c r="B132" s="171"/>
      <c r="C132" s="8"/>
      <c r="D132" s="8"/>
      <c r="E132" s="159"/>
      <c r="F132" s="159"/>
      <c r="G132" s="159"/>
      <c r="H132" s="164"/>
      <c r="I132" s="164"/>
      <c r="J132" s="164"/>
      <c r="K132" s="154"/>
    </row>
    <row r="133" spans="1:11" x14ac:dyDescent="0.25">
      <c r="A133" s="153">
        <f t="shared" si="34"/>
        <v>125</v>
      </c>
      <c r="B133" s="171" t="str">
        <f>+B131</f>
        <v>55E &amp; 56E</v>
      </c>
      <c r="C133" s="8" t="s">
        <v>222</v>
      </c>
      <c r="D133" s="8">
        <v>250</v>
      </c>
      <c r="E133" s="163">
        <f>+'[1]Sch 140 Combined Charges'!O133</f>
        <v>0.52</v>
      </c>
      <c r="F133" s="163">
        <f>+'[1]Sch 140 Combined Charges'!P133</f>
        <v>0.31</v>
      </c>
      <c r="G133" s="163">
        <f>SUM(E133:F133)</f>
        <v>0.83000000000000007</v>
      </c>
      <c r="H133" s="164">
        <f>+'[1]Sch 140 Combined Charges'!L133</f>
        <v>6</v>
      </c>
      <c r="I133" s="165">
        <f t="shared" ref="I133" si="63">ROUND($H133*E133*12,0)</f>
        <v>37</v>
      </c>
      <c r="J133" s="165">
        <f t="shared" ref="J133" si="64">ROUND($H133*F133*12,0)</f>
        <v>22</v>
      </c>
      <c r="K133" s="165">
        <f t="shared" ref="K133" si="65">SUM(I133:J133)</f>
        <v>59</v>
      </c>
    </row>
    <row r="134" spans="1:11" x14ac:dyDescent="0.25">
      <c r="A134" s="153">
        <f t="shared" si="34"/>
        <v>126</v>
      </c>
      <c r="B134" s="171"/>
      <c r="C134" s="8"/>
      <c r="D134" s="8"/>
      <c r="E134" s="159"/>
      <c r="F134" s="159"/>
      <c r="G134" s="159"/>
      <c r="H134" s="164"/>
      <c r="I134" s="164"/>
      <c r="J134" s="164"/>
      <c r="K134" s="154"/>
    </row>
    <row r="135" spans="1:11" x14ac:dyDescent="0.25">
      <c r="A135" s="153">
        <f t="shared" si="34"/>
        <v>127</v>
      </c>
      <c r="B135" s="171" t="s">
        <v>229</v>
      </c>
      <c r="C135" s="8" t="s">
        <v>210</v>
      </c>
      <c r="D135" s="167" t="s">
        <v>211</v>
      </c>
      <c r="E135" s="163">
        <f>+'[1]Sch 140 Combined Charges'!O135</f>
        <v>0.46</v>
      </c>
      <c r="F135" s="163">
        <f>+'[1]Sch 140 Combined Charges'!P135</f>
        <v>0.28000000000000003</v>
      </c>
      <c r="G135" s="163">
        <f t="shared" ref="G135:G143" si="66">SUM(E135:F135)</f>
        <v>0.74</v>
      </c>
      <c r="H135" s="164">
        <f>+'[1]Sch 140 Combined Charges'!L135</f>
        <v>310</v>
      </c>
      <c r="I135" s="165">
        <f t="shared" ref="I135:I143" si="67">ROUND($H135*E135*12,0)</f>
        <v>1711</v>
      </c>
      <c r="J135" s="165">
        <f t="shared" ref="J135:J143" si="68">ROUND($H135*F135*12,0)</f>
        <v>1042</v>
      </c>
      <c r="K135" s="165">
        <f t="shared" ref="K135:K143" si="69">SUM(I135:J135)</f>
        <v>2753</v>
      </c>
    </row>
    <row r="136" spans="1:11" x14ac:dyDescent="0.25">
      <c r="A136" s="153">
        <f t="shared" si="34"/>
        <v>128</v>
      </c>
      <c r="B136" s="171" t="s">
        <v>229</v>
      </c>
      <c r="C136" s="8" t="s">
        <v>210</v>
      </c>
      <c r="D136" s="167" t="s">
        <v>212</v>
      </c>
      <c r="E136" s="163">
        <f>+'[1]Sch 140 Combined Charges'!O136</f>
        <v>0.48</v>
      </c>
      <c r="F136" s="163">
        <f>+'[1]Sch 140 Combined Charges'!P136</f>
        <v>0.28999999999999998</v>
      </c>
      <c r="G136" s="163">
        <f t="shared" si="66"/>
        <v>0.77</v>
      </c>
      <c r="H136" s="164">
        <f>+'[1]Sch 140 Combined Charges'!L136</f>
        <v>0</v>
      </c>
      <c r="I136" s="165">
        <f t="shared" si="67"/>
        <v>0</v>
      </c>
      <c r="J136" s="165">
        <f t="shared" si="68"/>
        <v>0</v>
      </c>
      <c r="K136" s="165">
        <f t="shared" si="69"/>
        <v>0</v>
      </c>
    </row>
    <row r="137" spans="1:11" x14ac:dyDescent="0.25">
      <c r="A137" s="153">
        <f t="shared" si="34"/>
        <v>129</v>
      </c>
      <c r="B137" s="171" t="s">
        <v>229</v>
      </c>
      <c r="C137" s="8" t="s">
        <v>210</v>
      </c>
      <c r="D137" s="167" t="s">
        <v>213</v>
      </c>
      <c r="E137" s="163">
        <f>+'[1]Sch 140 Combined Charges'!O137</f>
        <v>0.51</v>
      </c>
      <c r="F137" s="163">
        <f>+'[1]Sch 140 Combined Charges'!P137</f>
        <v>0.3</v>
      </c>
      <c r="G137" s="163">
        <f t="shared" si="66"/>
        <v>0.81</v>
      </c>
      <c r="H137" s="164">
        <f>+'[1]Sch 140 Combined Charges'!L137</f>
        <v>91</v>
      </c>
      <c r="I137" s="165">
        <f t="shared" si="67"/>
        <v>557</v>
      </c>
      <c r="J137" s="165">
        <f t="shared" si="68"/>
        <v>328</v>
      </c>
      <c r="K137" s="165">
        <f t="shared" si="69"/>
        <v>885</v>
      </c>
    </row>
    <row r="138" spans="1:11" x14ac:dyDescent="0.25">
      <c r="A138" s="153">
        <f t="shared" si="34"/>
        <v>130</v>
      </c>
      <c r="B138" s="171" t="s">
        <v>229</v>
      </c>
      <c r="C138" s="8" t="s">
        <v>210</v>
      </c>
      <c r="D138" s="167" t="s">
        <v>214</v>
      </c>
      <c r="E138" s="163">
        <f>+'[1]Sch 140 Combined Charges'!O138</f>
        <v>0.52</v>
      </c>
      <c r="F138" s="163">
        <f>+'[1]Sch 140 Combined Charges'!P138</f>
        <v>0.32</v>
      </c>
      <c r="G138" s="163">
        <f t="shared" si="66"/>
        <v>0.84000000000000008</v>
      </c>
      <c r="H138" s="164">
        <f>+'[1]Sch 140 Combined Charges'!L138</f>
        <v>0</v>
      </c>
      <c r="I138" s="165">
        <f t="shared" si="67"/>
        <v>0</v>
      </c>
      <c r="J138" s="165">
        <f t="shared" si="68"/>
        <v>0</v>
      </c>
      <c r="K138" s="165">
        <f t="shared" si="69"/>
        <v>0</v>
      </c>
    </row>
    <row r="139" spans="1:11" x14ac:dyDescent="0.25">
      <c r="A139" s="153">
        <f t="shared" ref="A139:A195" si="70">A138+1</f>
        <v>131</v>
      </c>
      <c r="B139" s="171" t="s">
        <v>229</v>
      </c>
      <c r="C139" s="8" t="s">
        <v>210</v>
      </c>
      <c r="D139" s="167" t="s">
        <v>215</v>
      </c>
      <c r="E139" s="163">
        <f>+'[1]Sch 140 Combined Charges'!O139</f>
        <v>0.54</v>
      </c>
      <c r="F139" s="163">
        <f>+'[1]Sch 140 Combined Charges'!P139</f>
        <v>0.33</v>
      </c>
      <c r="G139" s="163">
        <f t="shared" si="66"/>
        <v>0.87000000000000011</v>
      </c>
      <c r="H139" s="164">
        <f>+'[1]Sch 140 Combined Charges'!L139</f>
        <v>0</v>
      </c>
      <c r="I139" s="165">
        <f t="shared" si="67"/>
        <v>0</v>
      </c>
      <c r="J139" s="165">
        <f t="shared" si="68"/>
        <v>0</v>
      </c>
      <c r="K139" s="165">
        <f t="shared" si="69"/>
        <v>0</v>
      </c>
    </row>
    <row r="140" spans="1:11" x14ac:dyDescent="0.25">
      <c r="A140" s="153">
        <f t="shared" si="70"/>
        <v>132</v>
      </c>
      <c r="B140" s="171" t="s">
        <v>229</v>
      </c>
      <c r="C140" s="8" t="s">
        <v>210</v>
      </c>
      <c r="D140" s="167" t="s">
        <v>216</v>
      </c>
      <c r="E140" s="163">
        <f>+'[1]Sch 140 Combined Charges'!O140</f>
        <v>0.56000000000000005</v>
      </c>
      <c r="F140" s="163">
        <f>+'[1]Sch 140 Combined Charges'!P140</f>
        <v>0.34</v>
      </c>
      <c r="G140" s="163">
        <f t="shared" si="66"/>
        <v>0.90000000000000013</v>
      </c>
      <c r="H140" s="164">
        <f>+'[1]Sch 140 Combined Charges'!L140</f>
        <v>0</v>
      </c>
      <c r="I140" s="165">
        <f t="shared" si="67"/>
        <v>0</v>
      </c>
      <c r="J140" s="165">
        <f t="shared" si="68"/>
        <v>0</v>
      </c>
      <c r="K140" s="165">
        <f t="shared" si="69"/>
        <v>0</v>
      </c>
    </row>
    <row r="141" spans="1:11" x14ac:dyDescent="0.25">
      <c r="A141" s="153">
        <f t="shared" si="70"/>
        <v>133</v>
      </c>
      <c r="B141" s="171" t="s">
        <v>229</v>
      </c>
      <c r="C141" s="8" t="s">
        <v>210</v>
      </c>
      <c r="D141" s="167" t="s">
        <v>217</v>
      </c>
      <c r="E141" s="163">
        <f>+'[1]Sch 140 Combined Charges'!O141</f>
        <v>0.57999999999999996</v>
      </c>
      <c r="F141" s="163">
        <f>+'[1]Sch 140 Combined Charges'!P141</f>
        <v>0.35</v>
      </c>
      <c r="G141" s="163">
        <f t="shared" si="66"/>
        <v>0.92999999999999994</v>
      </c>
      <c r="H141" s="164">
        <f>+'[1]Sch 140 Combined Charges'!L141</f>
        <v>0</v>
      </c>
      <c r="I141" s="165">
        <f t="shared" si="67"/>
        <v>0</v>
      </c>
      <c r="J141" s="165">
        <f t="shared" si="68"/>
        <v>0</v>
      </c>
      <c r="K141" s="165">
        <f t="shared" si="69"/>
        <v>0</v>
      </c>
    </row>
    <row r="142" spans="1:11" x14ac:dyDescent="0.25">
      <c r="A142" s="153">
        <f t="shared" si="70"/>
        <v>134</v>
      </c>
      <c r="B142" s="171" t="s">
        <v>229</v>
      </c>
      <c r="C142" s="8" t="s">
        <v>210</v>
      </c>
      <c r="D142" s="167" t="s">
        <v>218</v>
      </c>
      <c r="E142" s="163">
        <f>+'[1]Sch 140 Combined Charges'!O142</f>
        <v>0.6</v>
      </c>
      <c r="F142" s="163">
        <f>+'[1]Sch 140 Combined Charges'!P142</f>
        <v>0.36</v>
      </c>
      <c r="G142" s="163">
        <f t="shared" si="66"/>
        <v>0.96</v>
      </c>
      <c r="H142" s="164">
        <f>+'[1]Sch 140 Combined Charges'!L142</f>
        <v>0</v>
      </c>
      <c r="I142" s="165">
        <f t="shared" si="67"/>
        <v>0</v>
      </c>
      <c r="J142" s="165">
        <f t="shared" si="68"/>
        <v>0</v>
      </c>
      <c r="K142" s="165">
        <f t="shared" si="69"/>
        <v>0</v>
      </c>
    </row>
    <row r="143" spans="1:11" x14ac:dyDescent="0.25">
      <c r="A143" s="153">
        <f t="shared" si="70"/>
        <v>135</v>
      </c>
      <c r="B143" s="171" t="s">
        <v>229</v>
      </c>
      <c r="C143" s="8" t="s">
        <v>210</v>
      </c>
      <c r="D143" s="167" t="s">
        <v>219</v>
      </c>
      <c r="E143" s="163">
        <f>+'[1]Sch 140 Combined Charges'!O143</f>
        <v>0.62</v>
      </c>
      <c r="F143" s="163">
        <f>+'[1]Sch 140 Combined Charges'!P143</f>
        <v>0.38</v>
      </c>
      <c r="G143" s="163">
        <f t="shared" si="66"/>
        <v>1</v>
      </c>
      <c r="H143" s="164">
        <f>+'[1]Sch 140 Combined Charges'!L143</f>
        <v>0</v>
      </c>
      <c r="I143" s="165">
        <f t="shared" si="67"/>
        <v>0</v>
      </c>
      <c r="J143" s="165">
        <f t="shared" si="68"/>
        <v>0</v>
      </c>
      <c r="K143" s="165">
        <f t="shared" si="69"/>
        <v>0</v>
      </c>
    </row>
    <row r="144" spans="1:11" x14ac:dyDescent="0.25">
      <c r="A144" s="153">
        <f t="shared" si="70"/>
        <v>136</v>
      </c>
      <c r="B144" s="171"/>
      <c r="C144" s="8"/>
      <c r="D144" s="8"/>
      <c r="E144" s="159"/>
      <c r="F144" s="159"/>
      <c r="G144" s="159"/>
      <c r="H144" s="164"/>
      <c r="I144" s="164"/>
      <c r="J144" s="164"/>
      <c r="K144" s="154"/>
    </row>
    <row r="145" spans="1:11" x14ac:dyDescent="0.25">
      <c r="A145" s="153">
        <f t="shared" si="70"/>
        <v>137</v>
      </c>
      <c r="B145" s="158" t="s">
        <v>230</v>
      </c>
      <c r="C145" s="8"/>
      <c r="D145" s="8"/>
      <c r="E145" s="159"/>
      <c r="F145" s="159"/>
      <c r="G145" s="159"/>
      <c r="H145" s="164"/>
      <c r="I145" s="164"/>
      <c r="J145" s="164"/>
      <c r="K145" s="154"/>
    </row>
    <row r="146" spans="1:11" x14ac:dyDescent="0.25">
      <c r="A146" s="153">
        <f t="shared" si="70"/>
        <v>138</v>
      </c>
      <c r="B146" s="160" t="s">
        <v>231</v>
      </c>
      <c r="C146" s="8" t="s">
        <v>88</v>
      </c>
      <c r="D146" s="172">
        <v>70</v>
      </c>
      <c r="E146" s="163">
        <f>+'[1]Sch 140 Combined Charges'!O146</f>
        <v>0.34</v>
      </c>
      <c r="F146" s="163">
        <f>+'[1]Sch 140 Combined Charges'!P146</f>
        <v>0.2</v>
      </c>
      <c r="G146" s="163">
        <f t="shared" ref="G146:G151" si="71">SUM(E146:F146)</f>
        <v>0.54</v>
      </c>
      <c r="H146" s="164">
        <f>+'[1]Sch 140 Combined Charges'!L146</f>
        <v>48</v>
      </c>
      <c r="I146" s="165">
        <f t="shared" ref="I146:I151" si="72">ROUND($H146*E146*12,0)</f>
        <v>196</v>
      </c>
      <c r="J146" s="165">
        <f t="shared" ref="J146:J151" si="73">ROUND($H146*F146*12,0)</f>
        <v>115</v>
      </c>
      <c r="K146" s="165">
        <f t="shared" ref="K146:K151" si="74">SUM(I146:J146)</f>
        <v>311</v>
      </c>
    </row>
    <row r="147" spans="1:11" x14ac:dyDescent="0.25">
      <c r="A147" s="153">
        <f t="shared" si="70"/>
        <v>139</v>
      </c>
      <c r="B147" s="171" t="str">
        <f t="shared" ref="B147:B151" si="75">+B146</f>
        <v>58E &amp; 59E - Directional</v>
      </c>
      <c r="C147" s="8" t="s">
        <v>88</v>
      </c>
      <c r="D147" s="172">
        <v>100</v>
      </c>
      <c r="E147" s="163">
        <f>+'[1]Sch 140 Combined Charges'!O147</f>
        <v>0.36</v>
      </c>
      <c r="F147" s="163">
        <f>+'[1]Sch 140 Combined Charges'!P147</f>
        <v>0.22</v>
      </c>
      <c r="G147" s="163">
        <f t="shared" si="71"/>
        <v>0.57999999999999996</v>
      </c>
      <c r="H147" s="164">
        <f>+'[1]Sch 140 Combined Charges'!L147</f>
        <v>6</v>
      </c>
      <c r="I147" s="165">
        <f t="shared" si="72"/>
        <v>26</v>
      </c>
      <c r="J147" s="165">
        <f t="shared" si="73"/>
        <v>16</v>
      </c>
      <c r="K147" s="165">
        <f t="shared" si="74"/>
        <v>42</v>
      </c>
    </row>
    <row r="148" spans="1:11" x14ac:dyDescent="0.25">
      <c r="A148" s="153">
        <f t="shared" si="70"/>
        <v>140</v>
      </c>
      <c r="B148" s="171" t="str">
        <f t="shared" si="75"/>
        <v>58E &amp; 59E - Directional</v>
      </c>
      <c r="C148" s="8" t="s">
        <v>88</v>
      </c>
      <c r="D148" s="172">
        <v>150</v>
      </c>
      <c r="E148" s="163">
        <f>+'[1]Sch 140 Combined Charges'!O148</f>
        <v>0.4</v>
      </c>
      <c r="F148" s="163">
        <f>+'[1]Sch 140 Combined Charges'!P148</f>
        <v>0.24</v>
      </c>
      <c r="G148" s="163">
        <f t="shared" si="71"/>
        <v>0.64</v>
      </c>
      <c r="H148" s="164">
        <f>+'[1]Sch 140 Combined Charges'!L148</f>
        <v>158</v>
      </c>
      <c r="I148" s="165">
        <f t="shared" si="72"/>
        <v>758</v>
      </c>
      <c r="J148" s="165">
        <f t="shared" si="73"/>
        <v>455</v>
      </c>
      <c r="K148" s="165">
        <f t="shared" si="74"/>
        <v>1213</v>
      </c>
    </row>
    <row r="149" spans="1:11" x14ac:dyDescent="0.25">
      <c r="A149" s="153">
        <f t="shared" si="70"/>
        <v>141</v>
      </c>
      <c r="B149" s="171" t="str">
        <f t="shared" si="75"/>
        <v>58E &amp; 59E - Directional</v>
      </c>
      <c r="C149" s="8" t="s">
        <v>88</v>
      </c>
      <c r="D149" s="8">
        <v>200</v>
      </c>
      <c r="E149" s="163">
        <f>+'[1]Sch 140 Combined Charges'!O149</f>
        <v>0.44</v>
      </c>
      <c r="F149" s="163">
        <f>+'[1]Sch 140 Combined Charges'!P149</f>
        <v>0.26</v>
      </c>
      <c r="G149" s="163">
        <f t="shared" si="71"/>
        <v>0.7</v>
      </c>
      <c r="H149" s="164">
        <f>+'[1]Sch 140 Combined Charges'!L149</f>
        <v>298</v>
      </c>
      <c r="I149" s="165">
        <f t="shared" si="72"/>
        <v>1573</v>
      </c>
      <c r="J149" s="165">
        <f t="shared" si="73"/>
        <v>930</v>
      </c>
      <c r="K149" s="165">
        <f t="shared" si="74"/>
        <v>2503</v>
      </c>
    </row>
    <row r="150" spans="1:11" x14ac:dyDescent="0.25">
      <c r="A150" s="153">
        <f t="shared" si="70"/>
        <v>142</v>
      </c>
      <c r="B150" s="171" t="str">
        <f t="shared" si="75"/>
        <v>58E &amp; 59E - Directional</v>
      </c>
      <c r="C150" s="8" t="s">
        <v>88</v>
      </c>
      <c r="D150" s="8">
        <v>250</v>
      </c>
      <c r="E150" s="163">
        <f>+'[1]Sch 140 Combined Charges'!O150</f>
        <v>0.47</v>
      </c>
      <c r="F150" s="163">
        <f>+'[1]Sch 140 Combined Charges'!P150</f>
        <v>0.28999999999999998</v>
      </c>
      <c r="G150" s="163">
        <f t="shared" si="71"/>
        <v>0.76</v>
      </c>
      <c r="H150" s="164">
        <f>+'[1]Sch 140 Combined Charges'!L150</f>
        <v>40</v>
      </c>
      <c r="I150" s="165">
        <f t="shared" si="72"/>
        <v>226</v>
      </c>
      <c r="J150" s="165">
        <f t="shared" si="73"/>
        <v>139</v>
      </c>
      <c r="K150" s="165">
        <f t="shared" si="74"/>
        <v>365</v>
      </c>
    </row>
    <row r="151" spans="1:11" x14ac:dyDescent="0.25">
      <c r="A151" s="153">
        <f t="shared" si="70"/>
        <v>143</v>
      </c>
      <c r="B151" s="171" t="str">
        <f t="shared" si="75"/>
        <v>58E &amp; 59E - Directional</v>
      </c>
      <c r="C151" s="8" t="s">
        <v>88</v>
      </c>
      <c r="D151" s="8">
        <v>400</v>
      </c>
      <c r="E151" s="163">
        <f>+'[1]Sch 140 Combined Charges'!O151</f>
        <v>0.59</v>
      </c>
      <c r="F151" s="163">
        <f>+'[1]Sch 140 Combined Charges'!P151</f>
        <v>0.35</v>
      </c>
      <c r="G151" s="163">
        <f t="shared" si="71"/>
        <v>0.94</v>
      </c>
      <c r="H151" s="164">
        <f>+'[1]Sch 140 Combined Charges'!L151</f>
        <v>393</v>
      </c>
      <c r="I151" s="165">
        <f t="shared" si="72"/>
        <v>2782</v>
      </c>
      <c r="J151" s="165">
        <f t="shared" si="73"/>
        <v>1651</v>
      </c>
      <c r="K151" s="165">
        <f t="shared" si="74"/>
        <v>4433</v>
      </c>
    </row>
    <row r="152" spans="1:11" x14ac:dyDescent="0.25">
      <c r="A152" s="153">
        <f t="shared" si="70"/>
        <v>144</v>
      </c>
      <c r="B152" s="171"/>
      <c r="C152" s="8"/>
      <c r="D152" s="8"/>
      <c r="E152" s="159"/>
      <c r="F152" s="159"/>
      <c r="G152" s="159"/>
      <c r="H152" s="164"/>
      <c r="I152" s="164"/>
      <c r="J152" s="164"/>
      <c r="K152" s="154"/>
    </row>
    <row r="153" spans="1:11" x14ac:dyDescent="0.25">
      <c r="A153" s="153">
        <f t="shared" si="70"/>
        <v>145</v>
      </c>
      <c r="B153" s="160" t="s">
        <v>232</v>
      </c>
      <c r="C153" s="8" t="s">
        <v>88</v>
      </c>
      <c r="D153" s="8">
        <v>100</v>
      </c>
      <c r="E153" s="163">
        <f>+'[1]Sch 140 Combined Charges'!O153</f>
        <v>0.36</v>
      </c>
      <c r="F153" s="163">
        <f>+'[1]Sch 140 Combined Charges'!P153</f>
        <v>0.22</v>
      </c>
      <c r="G153" s="163">
        <f t="shared" ref="G153:G157" si="76">SUM(E153:F153)</f>
        <v>0.57999999999999996</v>
      </c>
      <c r="H153" s="164">
        <f>+'[1]Sch 140 Combined Charges'!L153</f>
        <v>1</v>
      </c>
      <c r="I153" s="165">
        <f t="shared" ref="I153:I157" si="77">ROUND($H153*E153*12,0)</f>
        <v>4</v>
      </c>
      <c r="J153" s="165">
        <f t="shared" ref="J153:J157" si="78">ROUND($H153*F153*12,0)</f>
        <v>3</v>
      </c>
      <c r="K153" s="165">
        <f t="shared" ref="K153:K157" si="79">SUM(I153:J153)</f>
        <v>7</v>
      </c>
    </row>
    <row r="154" spans="1:11" x14ac:dyDescent="0.25">
      <c r="A154" s="153">
        <f t="shared" si="70"/>
        <v>146</v>
      </c>
      <c r="B154" s="171" t="str">
        <f>B153</f>
        <v>58E &amp; 59E - Horizontal</v>
      </c>
      <c r="C154" s="8" t="s">
        <v>88</v>
      </c>
      <c r="D154" s="8">
        <v>150</v>
      </c>
      <c r="E154" s="163">
        <f>+'[1]Sch 140 Combined Charges'!O154</f>
        <v>0.4</v>
      </c>
      <c r="F154" s="163">
        <f>+'[1]Sch 140 Combined Charges'!P154</f>
        <v>0.24</v>
      </c>
      <c r="G154" s="163">
        <f t="shared" si="76"/>
        <v>0.64</v>
      </c>
      <c r="H154" s="164">
        <f>+'[1]Sch 140 Combined Charges'!L154</f>
        <v>27</v>
      </c>
      <c r="I154" s="165">
        <f t="shared" si="77"/>
        <v>130</v>
      </c>
      <c r="J154" s="165">
        <f t="shared" si="78"/>
        <v>78</v>
      </c>
      <c r="K154" s="165">
        <f t="shared" si="79"/>
        <v>208</v>
      </c>
    </row>
    <row r="155" spans="1:11" x14ac:dyDescent="0.25">
      <c r="A155" s="153">
        <f t="shared" si="70"/>
        <v>147</v>
      </c>
      <c r="B155" s="171" t="str">
        <f t="shared" ref="B155:B157" si="80">B154</f>
        <v>58E &amp; 59E - Horizontal</v>
      </c>
      <c r="C155" s="8" t="s">
        <v>88</v>
      </c>
      <c r="D155" s="8">
        <v>200</v>
      </c>
      <c r="E155" s="163">
        <f>+'[1]Sch 140 Combined Charges'!O155</f>
        <v>0.44</v>
      </c>
      <c r="F155" s="163">
        <f>+'[1]Sch 140 Combined Charges'!P155</f>
        <v>0.26</v>
      </c>
      <c r="G155" s="163">
        <f t="shared" si="76"/>
        <v>0.7</v>
      </c>
      <c r="H155" s="164">
        <f>+'[1]Sch 140 Combined Charges'!L155</f>
        <v>13</v>
      </c>
      <c r="I155" s="165">
        <f t="shared" si="77"/>
        <v>69</v>
      </c>
      <c r="J155" s="165">
        <f t="shared" si="78"/>
        <v>41</v>
      </c>
      <c r="K155" s="165">
        <f t="shared" si="79"/>
        <v>110</v>
      </c>
    </row>
    <row r="156" spans="1:11" x14ac:dyDescent="0.25">
      <c r="A156" s="153">
        <f t="shared" si="70"/>
        <v>148</v>
      </c>
      <c r="B156" s="171" t="str">
        <f t="shared" si="80"/>
        <v>58E &amp; 59E - Horizontal</v>
      </c>
      <c r="C156" s="8" t="s">
        <v>88</v>
      </c>
      <c r="D156" s="8">
        <v>250</v>
      </c>
      <c r="E156" s="163">
        <f>+'[1]Sch 140 Combined Charges'!O156</f>
        <v>0.47</v>
      </c>
      <c r="F156" s="163">
        <f>+'[1]Sch 140 Combined Charges'!P156</f>
        <v>0.28999999999999998</v>
      </c>
      <c r="G156" s="163">
        <f t="shared" si="76"/>
        <v>0.76</v>
      </c>
      <c r="H156" s="164">
        <f>+'[1]Sch 140 Combined Charges'!L156</f>
        <v>36</v>
      </c>
      <c r="I156" s="165">
        <f t="shared" si="77"/>
        <v>203</v>
      </c>
      <c r="J156" s="165">
        <f t="shared" si="78"/>
        <v>125</v>
      </c>
      <c r="K156" s="165">
        <f t="shared" si="79"/>
        <v>328</v>
      </c>
    </row>
    <row r="157" spans="1:11" x14ac:dyDescent="0.25">
      <c r="A157" s="153">
        <f t="shared" si="70"/>
        <v>149</v>
      </c>
      <c r="B157" s="171" t="str">
        <f t="shared" si="80"/>
        <v>58E &amp; 59E - Horizontal</v>
      </c>
      <c r="C157" s="8" t="s">
        <v>88</v>
      </c>
      <c r="D157" s="8">
        <v>400</v>
      </c>
      <c r="E157" s="163">
        <f>+'[1]Sch 140 Combined Charges'!O157</f>
        <v>0.59</v>
      </c>
      <c r="F157" s="163">
        <f>+'[1]Sch 140 Combined Charges'!P157</f>
        <v>0.35</v>
      </c>
      <c r="G157" s="163">
        <f t="shared" si="76"/>
        <v>0.94</v>
      </c>
      <c r="H157" s="164">
        <f>+'[1]Sch 140 Combined Charges'!L157</f>
        <v>48</v>
      </c>
      <c r="I157" s="165">
        <f t="shared" si="77"/>
        <v>340</v>
      </c>
      <c r="J157" s="165">
        <f t="shared" si="78"/>
        <v>202</v>
      </c>
      <c r="K157" s="165">
        <f t="shared" si="79"/>
        <v>542</v>
      </c>
    </row>
    <row r="158" spans="1:11" x14ac:dyDescent="0.25">
      <c r="A158" s="153">
        <f t="shared" si="70"/>
        <v>150</v>
      </c>
      <c r="B158" s="171"/>
      <c r="C158" s="8"/>
      <c r="D158" s="8"/>
      <c r="E158" s="159"/>
      <c r="F158" s="159"/>
      <c r="G158" s="159"/>
      <c r="H158" s="164"/>
      <c r="I158" s="164"/>
      <c r="J158" s="164"/>
      <c r="K158" s="154"/>
    </row>
    <row r="159" spans="1:11" x14ac:dyDescent="0.25">
      <c r="A159" s="153">
        <f t="shared" si="70"/>
        <v>151</v>
      </c>
      <c r="B159" s="171" t="str">
        <f>B147</f>
        <v>58E &amp; 59E - Directional</v>
      </c>
      <c r="C159" s="8" t="s">
        <v>222</v>
      </c>
      <c r="D159" s="8">
        <v>175</v>
      </c>
      <c r="E159" s="163">
        <f>+'[1]Sch 140 Combined Charges'!O159</f>
        <v>0.45</v>
      </c>
      <c r="F159" s="163">
        <f>+'[1]Sch 140 Combined Charges'!P159</f>
        <v>0.27</v>
      </c>
      <c r="G159" s="163">
        <f t="shared" ref="G159:G162" si="81">SUM(E159:F159)</f>
        <v>0.72</v>
      </c>
      <c r="H159" s="164">
        <f>+'[1]Sch 140 Combined Charges'!L159</f>
        <v>3</v>
      </c>
      <c r="I159" s="165">
        <f t="shared" ref="I159:I162" si="82">ROUND($H159*E159*12,0)</f>
        <v>16</v>
      </c>
      <c r="J159" s="165">
        <f t="shared" ref="J159:J162" si="83">ROUND($H159*F159*12,0)</f>
        <v>10</v>
      </c>
      <c r="K159" s="165">
        <f t="shared" ref="K159:K162" si="84">SUM(I159:J159)</f>
        <v>26</v>
      </c>
    </row>
    <row r="160" spans="1:11" x14ac:dyDescent="0.25">
      <c r="A160" s="153">
        <f t="shared" si="70"/>
        <v>152</v>
      </c>
      <c r="B160" s="171" t="str">
        <f>B159</f>
        <v>58E &amp; 59E - Directional</v>
      </c>
      <c r="C160" s="8" t="s">
        <v>222</v>
      </c>
      <c r="D160" s="8">
        <v>250</v>
      </c>
      <c r="E160" s="163">
        <f>+'[1]Sch 140 Combined Charges'!O160</f>
        <v>0.52</v>
      </c>
      <c r="F160" s="163">
        <f>+'[1]Sch 140 Combined Charges'!P160</f>
        <v>0.31</v>
      </c>
      <c r="G160" s="163">
        <f t="shared" si="81"/>
        <v>0.83000000000000007</v>
      </c>
      <c r="H160" s="164">
        <f>+'[1]Sch 140 Combined Charges'!L160</f>
        <v>21</v>
      </c>
      <c r="I160" s="165">
        <f t="shared" si="82"/>
        <v>131</v>
      </c>
      <c r="J160" s="165">
        <f t="shared" si="83"/>
        <v>78</v>
      </c>
      <c r="K160" s="165">
        <f t="shared" si="84"/>
        <v>209</v>
      </c>
    </row>
    <row r="161" spans="1:11" x14ac:dyDescent="0.25">
      <c r="A161" s="153">
        <f t="shared" si="70"/>
        <v>153</v>
      </c>
      <c r="B161" s="171" t="str">
        <f t="shared" ref="B161:B162" si="85">B160</f>
        <v>58E &amp; 59E - Directional</v>
      </c>
      <c r="C161" s="8" t="s">
        <v>222</v>
      </c>
      <c r="D161" s="8">
        <v>400</v>
      </c>
      <c r="E161" s="163">
        <f>+'[1]Sch 140 Combined Charges'!O161</f>
        <v>0.65</v>
      </c>
      <c r="F161" s="163">
        <f>+'[1]Sch 140 Combined Charges'!P161</f>
        <v>0.39</v>
      </c>
      <c r="G161" s="163">
        <f t="shared" si="81"/>
        <v>1.04</v>
      </c>
      <c r="H161" s="164">
        <f>+'[1]Sch 140 Combined Charges'!L161</f>
        <v>87</v>
      </c>
      <c r="I161" s="165">
        <f t="shared" si="82"/>
        <v>679</v>
      </c>
      <c r="J161" s="165">
        <f t="shared" si="83"/>
        <v>407</v>
      </c>
      <c r="K161" s="165">
        <f t="shared" si="84"/>
        <v>1086</v>
      </c>
    </row>
    <row r="162" spans="1:11" x14ac:dyDescent="0.25">
      <c r="A162" s="153">
        <f t="shared" si="70"/>
        <v>154</v>
      </c>
      <c r="B162" s="171" t="str">
        <f t="shared" si="85"/>
        <v>58E &amp; 59E - Directional</v>
      </c>
      <c r="C162" s="8" t="s">
        <v>222</v>
      </c>
      <c r="D162" s="8">
        <v>1000</v>
      </c>
      <c r="E162" s="163">
        <f>+'[1]Sch 140 Combined Charges'!O162</f>
        <v>1.17</v>
      </c>
      <c r="F162" s="163">
        <f>+'[1]Sch 140 Combined Charges'!P162</f>
        <v>0.7</v>
      </c>
      <c r="G162" s="163">
        <f t="shared" si="81"/>
        <v>1.8699999999999999</v>
      </c>
      <c r="H162" s="164">
        <f>+'[1]Sch 140 Combined Charges'!L162</f>
        <v>141</v>
      </c>
      <c r="I162" s="165">
        <f t="shared" si="82"/>
        <v>1980</v>
      </c>
      <c r="J162" s="165">
        <f t="shared" si="83"/>
        <v>1184</v>
      </c>
      <c r="K162" s="165">
        <f t="shared" si="84"/>
        <v>3164</v>
      </c>
    </row>
    <row r="163" spans="1:11" x14ac:dyDescent="0.25">
      <c r="A163" s="153">
        <f t="shared" si="70"/>
        <v>155</v>
      </c>
      <c r="B163" s="171"/>
      <c r="C163" s="8"/>
      <c r="D163" s="8"/>
      <c r="E163" s="159"/>
      <c r="F163" s="159"/>
      <c r="G163" s="159"/>
      <c r="H163" s="164"/>
      <c r="I163" s="164"/>
      <c r="J163" s="164"/>
      <c r="K163" s="154"/>
    </row>
    <row r="164" spans="1:11" x14ac:dyDescent="0.25">
      <c r="A164" s="153">
        <f t="shared" si="70"/>
        <v>156</v>
      </c>
      <c r="B164" s="171" t="str">
        <f>B153</f>
        <v>58E &amp; 59E - Horizontal</v>
      </c>
      <c r="C164" s="8" t="s">
        <v>222</v>
      </c>
      <c r="D164" s="8">
        <v>250</v>
      </c>
      <c r="E164" s="163">
        <f>+'[1]Sch 140 Combined Charges'!O164</f>
        <v>0.52</v>
      </c>
      <c r="F164" s="163">
        <f>+'[1]Sch 140 Combined Charges'!P164</f>
        <v>0.31</v>
      </c>
      <c r="G164" s="163">
        <f t="shared" ref="G164:G165" si="86">SUM(E164:F164)</f>
        <v>0.83000000000000007</v>
      </c>
      <c r="H164" s="164">
        <f>+'[1]Sch 140 Combined Charges'!L164</f>
        <v>11</v>
      </c>
      <c r="I164" s="165">
        <f t="shared" ref="I164:I165" si="87">ROUND($H164*E164*12,0)</f>
        <v>69</v>
      </c>
      <c r="J164" s="165">
        <f t="shared" ref="J164:J165" si="88">ROUND($H164*F164*12,0)</f>
        <v>41</v>
      </c>
      <c r="K164" s="165">
        <f t="shared" ref="K164:K165" si="89">SUM(I164:J164)</f>
        <v>110</v>
      </c>
    </row>
    <row r="165" spans="1:11" x14ac:dyDescent="0.25">
      <c r="A165" s="153">
        <f t="shared" si="70"/>
        <v>157</v>
      </c>
      <c r="B165" s="171" t="str">
        <f>B164</f>
        <v>58E &amp; 59E - Horizontal</v>
      </c>
      <c r="C165" s="8" t="s">
        <v>222</v>
      </c>
      <c r="D165" s="8">
        <v>400</v>
      </c>
      <c r="E165" s="163">
        <f>+'[1]Sch 140 Combined Charges'!O165</f>
        <v>0.65</v>
      </c>
      <c r="F165" s="163">
        <f>+'[1]Sch 140 Combined Charges'!P165</f>
        <v>0.39</v>
      </c>
      <c r="G165" s="163">
        <f t="shared" si="86"/>
        <v>1.04</v>
      </c>
      <c r="H165" s="164">
        <f>+'[1]Sch 140 Combined Charges'!L165</f>
        <v>40</v>
      </c>
      <c r="I165" s="165">
        <f t="shared" si="87"/>
        <v>312</v>
      </c>
      <c r="J165" s="165">
        <f t="shared" si="88"/>
        <v>187</v>
      </c>
      <c r="K165" s="165">
        <f t="shared" si="89"/>
        <v>499</v>
      </c>
    </row>
    <row r="166" spans="1:11" x14ac:dyDescent="0.25">
      <c r="A166" s="153">
        <f t="shared" si="70"/>
        <v>158</v>
      </c>
      <c r="B166" s="171"/>
      <c r="C166" s="8"/>
      <c r="D166" s="8"/>
      <c r="E166" s="159"/>
      <c r="F166" s="159"/>
      <c r="G166" s="159"/>
      <c r="H166" s="164"/>
      <c r="I166" s="164"/>
      <c r="J166" s="164"/>
      <c r="K166" s="154"/>
    </row>
    <row r="167" spans="1:11" x14ac:dyDescent="0.25">
      <c r="A167" s="153">
        <f t="shared" si="70"/>
        <v>159</v>
      </c>
      <c r="B167" s="171"/>
      <c r="C167" s="8"/>
      <c r="D167" s="8"/>
      <c r="E167" s="159"/>
      <c r="F167" s="159"/>
      <c r="G167" s="159"/>
      <c r="H167" s="164"/>
      <c r="I167" s="164"/>
      <c r="J167" s="164"/>
      <c r="K167" s="154"/>
    </row>
    <row r="168" spans="1:11" x14ac:dyDescent="0.25">
      <c r="A168" s="153">
        <f t="shared" si="70"/>
        <v>160</v>
      </c>
      <c r="B168" s="171" t="s">
        <v>233</v>
      </c>
      <c r="C168" s="8" t="s">
        <v>210</v>
      </c>
      <c r="D168" s="167" t="s">
        <v>211</v>
      </c>
      <c r="E168" s="163">
        <f>+'[1]Sch 140 Combined Charges'!O168</f>
        <v>0.46</v>
      </c>
      <c r="F168" s="163">
        <f>+'[1]Sch 140 Combined Charges'!P168</f>
        <v>0.28000000000000003</v>
      </c>
      <c r="G168" s="163">
        <f t="shared" ref="G168:G182" si="90">SUM(E168:F168)</f>
        <v>0.74</v>
      </c>
      <c r="H168" s="164">
        <f>+'[1]Sch 140 Combined Charges'!L168</f>
        <v>1</v>
      </c>
      <c r="I168" s="165">
        <f t="shared" ref="I168:I182" si="91">ROUND($H168*E168*12,0)</f>
        <v>6</v>
      </c>
      <c r="J168" s="165">
        <f t="shared" ref="J168:J182" si="92">ROUND($H168*F168*12,0)</f>
        <v>3</v>
      </c>
      <c r="K168" s="165">
        <f t="shared" ref="K168:K182" si="93">SUM(I168:J168)</f>
        <v>9</v>
      </c>
    </row>
    <row r="169" spans="1:11" x14ac:dyDescent="0.25">
      <c r="A169" s="153">
        <f t="shared" si="70"/>
        <v>161</v>
      </c>
      <c r="B169" s="171" t="str">
        <f>B168</f>
        <v>58E &amp; 59E</v>
      </c>
      <c r="C169" s="8" t="s">
        <v>210</v>
      </c>
      <c r="D169" s="167" t="s">
        <v>212</v>
      </c>
      <c r="E169" s="163">
        <f>+'[1]Sch 140 Combined Charges'!O169</f>
        <v>0.48</v>
      </c>
      <c r="F169" s="163">
        <f>+'[1]Sch 140 Combined Charges'!P169</f>
        <v>0.28999999999999998</v>
      </c>
      <c r="G169" s="163">
        <f t="shared" si="90"/>
        <v>0.77</v>
      </c>
      <c r="H169" s="164">
        <f>+'[1]Sch 140 Combined Charges'!L169</f>
        <v>3</v>
      </c>
      <c r="I169" s="165">
        <f t="shared" si="91"/>
        <v>17</v>
      </c>
      <c r="J169" s="165">
        <f t="shared" si="92"/>
        <v>10</v>
      </c>
      <c r="K169" s="165">
        <f t="shared" si="93"/>
        <v>27</v>
      </c>
    </row>
    <row r="170" spans="1:11" x14ac:dyDescent="0.25">
      <c r="A170" s="153">
        <f t="shared" si="70"/>
        <v>162</v>
      </c>
      <c r="B170" s="171" t="str">
        <f t="shared" ref="B170:B182" si="94">B169</f>
        <v>58E &amp; 59E</v>
      </c>
      <c r="C170" s="8" t="s">
        <v>210</v>
      </c>
      <c r="D170" s="167" t="s">
        <v>213</v>
      </c>
      <c r="E170" s="163">
        <f>+'[1]Sch 140 Combined Charges'!O170</f>
        <v>0.51</v>
      </c>
      <c r="F170" s="163">
        <f>+'[1]Sch 140 Combined Charges'!P170</f>
        <v>0.3</v>
      </c>
      <c r="G170" s="163">
        <f t="shared" si="90"/>
        <v>0.81</v>
      </c>
      <c r="H170" s="164">
        <f>+'[1]Sch 140 Combined Charges'!L170</f>
        <v>23</v>
      </c>
      <c r="I170" s="165">
        <f t="shared" si="91"/>
        <v>141</v>
      </c>
      <c r="J170" s="165">
        <f t="shared" si="92"/>
        <v>83</v>
      </c>
      <c r="K170" s="165">
        <f t="shared" si="93"/>
        <v>224</v>
      </c>
    </row>
    <row r="171" spans="1:11" x14ac:dyDescent="0.25">
      <c r="A171" s="153">
        <f t="shared" si="70"/>
        <v>163</v>
      </c>
      <c r="B171" s="171" t="str">
        <f t="shared" si="94"/>
        <v>58E &amp; 59E</v>
      </c>
      <c r="C171" s="8" t="s">
        <v>210</v>
      </c>
      <c r="D171" s="167" t="s">
        <v>214</v>
      </c>
      <c r="E171" s="163">
        <f>+'[1]Sch 140 Combined Charges'!O171</f>
        <v>0.52</v>
      </c>
      <c r="F171" s="163">
        <f>+'[1]Sch 140 Combined Charges'!P171</f>
        <v>0.32</v>
      </c>
      <c r="G171" s="163">
        <f t="shared" si="90"/>
        <v>0.84000000000000008</v>
      </c>
      <c r="H171" s="164">
        <f>+'[1]Sch 140 Combined Charges'!L171</f>
        <v>42</v>
      </c>
      <c r="I171" s="165">
        <f t="shared" si="91"/>
        <v>262</v>
      </c>
      <c r="J171" s="165">
        <f t="shared" si="92"/>
        <v>161</v>
      </c>
      <c r="K171" s="165">
        <f t="shared" si="93"/>
        <v>423</v>
      </c>
    </row>
    <row r="172" spans="1:11" x14ac:dyDescent="0.25">
      <c r="A172" s="153">
        <f t="shared" si="70"/>
        <v>164</v>
      </c>
      <c r="B172" s="171" t="str">
        <f t="shared" si="94"/>
        <v>58E &amp; 59E</v>
      </c>
      <c r="C172" s="8" t="s">
        <v>210</v>
      </c>
      <c r="D172" s="167" t="s">
        <v>215</v>
      </c>
      <c r="E172" s="163">
        <f>+'[1]Sch 140 Combined Charges'!O172</f>
        <v>0.54</v>
      </c>
      <c r="F172" s="163">
        <f>+'[1]Sch 140 Combined Charges'!P172</f>
        <v>0.33</v>
      </c>
      <c r="G172" s="163">
        <f t="shared" si="90"/>
        <v>0.87000000000000011</v>
      </c>
      <c r="H172" s="164">
        <f>+'[1]Sch 140 Combined Charges'!L172</f>
        <v>4</v>
      </c>
      <c r="I172" s="165">
        <f t="shared" si="91"/>
        <v>26</v>
      </c>
      <c r="J172" s="165">
        <f t="shared" si="92"/>
        <v>16</v>
      </c>
      <c r="K172" s="165">
        <f t="shared" si="93"/>
        <v>42</v>
      </c>
    </row>
    <row r="173" spans="1:11" x14ac:dyDescent="0.25">
      <c r="A173" s="153">
        <f t="shared" si="70"/>
        <v>165</v>
      </c>
      <c r="B173" s="171" t="str">
        <f t="shared" si="94"/>
        <v>58E &amp; 59E</v>
      </c>
      <c r="C173" s="8" t="s">
        <v>210</v>
      </c>
      <c r="D173" s="167" t="s">
        <v>216</v>
      </c>
      <c r="E173" s="163">
        <f>+'[1]Sch 140 Combined Charges'!O173</f>
        <v>0.56000000000000005</v>
      </c>
      <c r="F173" s="163">
        <f>+'[1]Sch 140 Combined Charges'!P173</f>
        <v>0.34</v>
      </c>
      <c r="G173" s="163">
        <f t="shared" si="90"/>
        <v>0.90000000000000013</v>
      </c>
      <c r="H173" s="164">
        <f>+'[1]Sch 140 Combined Charges'!L173</f>
        <v>0</v>
      </c>
      <c r="I173" s="165">
        <f t="shared" si="91"/>
        <v>0</v>
      </c>
      <c r="J173" s="165">
        <f t="shared" si="92"/>
        <v>0</v>
      </c>
      <c r="K173" s="165">
        <f t="shared" si="93"/>
        <v>0</v>
      </c>
    </row>
    <row r="174" spans="1:11" x14ac:dyDescent="0.25">
      <c r="A174" s="153">
        <f t="shared" si="70"/>
        <v>166</v>
      </c>
      <c r="B174" s="171" t="str">
        <f t="shared" si="94"/>
        <v>58E &amp; 59E</v>
      </c>
      <c r="C174" s="8" t="s">
        <v>210</v>
      </c>
      <c r="D174" s="167" t="s">
        <v>217</v>
      </c>
      <c r="E174" s="163">
        <f>+'[1]Sch 140 Combined Charges'!O174</f>
        <v>0.57999999999999996</v>
      </c>
      <c r="F174" s="163">
        <f>+'[1]Sch 140 Combined Charges'!P174</f>
        <v>0.35</v>
      </c>
      <c r="G174" s="163">
        <f t="shared" si="90"/>
        <v>0.92999999999999994</v>
      </c>
      <c r="H174" s="164">
        <f>+'[1]Sch 140 Combined Charges'!L174</f>
        <v>1</v>
      </c>
      <c r="I174" s="165">
        <f t="shared" si="91"/>
        <v>7</v>
      </c>
      <c r="J174" s="165">
        <f t="shared" si="92"/>
        <v>4</v>
      </c>
      <c r="K174" s="165">
        <f t="shared" si="93"/>
        <v>11</v>
      </c>
    </row>
    <row r="175" spans="1:11" x14ac:dyDescent="0.25">
      <c r="A175" s="153">
        <f t="shared" si="70"/>
        <v>167</v>
      </c>
      <c r="B175" s="171" t="str">
        <f t="shared" si="94"/>
        <v>58E &amp; 59E</v>
      </c>
      <c r="C175" s="8" t="s">
        <v>210</v>
      </c>
      <c r="D175" s="167" t="s">
        <v>218</v>
      </c>
      <c r="E175" s="163">
        <f>+'[1]Sch 140 Combined Charges'!O175</f>
        <v>0.6</v>
      </c>
      <c r="F175" s="163">
        <f>+'[1]Sch 140 Combined Charges'!P175</f>
        <v>0.36</v>
      </c>
      <c r="G175" s="163">
        <f t="shared" si="90"/>
        <v>0.96</v>
      </c>
      <c r="H175" s="164">
        <f>+'[1]Sch 140 Combined Charges'!L175</f>
        <v>7</v>
      </c>
      <c r="I175" s="165">
        <f t="shared" si="91"/>
        <v>50</v>
      </c>
      <c r="J175" s="165">
        <f t="shared" si="92"/>
        <v>30</v>
      </c>
      <c r="K175" s="165">
        <f t="shared" si="93"/>
        <v>80</v>
      </c>
    </row>
    <row r="176" spans="1:11" x14ac:dyDescent="0.25">
      <c r="A176" s="153">
        <f t="shared" si="70"/>
        <v>168</v>
      </c>
      <c r="B176" s="171" t="str">
        <f t="shared" si="94"/>
        <v>58E &amp; 59E</v>
      </c>
      <c r="C176" s="8" t="s">
        <v>210</v>
      </c>
      <c r="D176" s="167" t="s">
        <v>219</v>
      </c>
      <c r="E176" s="163">
        <f>+'[1]Sch 140 Combined Charges'!O176</f>
        <v>0.62</v>
      </c>
      <c r="F176" s="163">
        <f>+'[1]Sch 140 Combined Charges'!P176</f>
        <v>0.38</v>
      </c>
      <c r="G176" s="163">
        <f t="shared" si="90"/>
        <v>1</v>
      </c>
      <c r="H176" s="164">
        <f>+'[1]Sch 140 Combined Charges'!L176</f>
        <v>0</v>
      </c>
      <c r="I176" s="165">
        <f t="shared" si="91"/>
        <v>0</v>
      </c>
      <c r="J176" s="165">
        <f t="shared" si="92"/>
        <v>0</v>
      </c>
      <c r="K176" s="165">
        <f t="shared" si="93"/>
        <v>0</v>
      </c>
    </row>
    <row r="177" spans="1:11" x14ac:dyDescent="0.25">
      <c r="A177" s="153">
        <f t="shared" si="70"/>
        <v>169</v>
      </c>
      <c r="B177" s="171" t="str">
        <f t="shared" si="94"/>
        <v>58E &amp; 59E</v>
      </c>
      <c r="C177" s="8" t="s">
        <v>210</v>
      </c>
      <c r="D177" s="167" t="s">
        <v>234</v>
      </c>
      <c r="E177" s="163">
        <f>+'[1]Sch 140 Combined Charges'!O177</f>
        <v>0.67</v>
      </c>
      <c r="F177" s="163">
        <f>+'[1]Sch 140 Combined Charges'!P177</f>
        <v>0.4</v>
      </c>
      <c r="G177" s="163">
        <f t="shared" si="90"/>
        <v>1.07</v>
      </c>
      <c r="H177" s="164">
        <f>+'[1]Sch 140 Combined Charges'!L177</f>
        <v>0</v>
      </c>
      <c r="I177" s="165">
        <f t="shared" si="91"/>
        <v>0</v>
      </c>
      <c r="J177" s="165">
        <f t="shared" si="92"/>
        <v>0</v>
      </c>
      <c r="K177" s="165">
        <f t="shared" si="93"/>
        <v>0</v>
      </c>
    </row>
    <row r="178" spans="1:11" x14ac:dyDescent="0.25">
      <c r="A178" s="153">
        <f t="shared" si="70"/>
        <v>170</v>
      </c>
      <c r="B178" s="171" t="str">
        <f t="shared" si="94"/>
        <v>58E &amp; 59E</v>
      </c>
      <c r="C178" s="8" t="s">
        <v>210</v>
      </c>
      <c r="D178" s="167" t="s">
        <v>235</v>
      </c>
      <c r="E178" s="163">
        <f>+'[1]Sch 140 Combined Charges'!O178</f>
        <v>0.73</v>
      </c>
      <c r="F178" s="163">
        <f>+'[1]Sch 140 Combined Charges'!P178</f>
        <v>0.44</v>
      </c>
      <c r="G178" s="163">
        <f t="shared" si="90"/>
        <v>1.17</v>
      </c>
      <c r="H178" s="164">
        <f>+'[1]Sch 140 Combined Charges'!L178</f>
        <v>0</v>
      </c>
      <c r="I178" s="165">
        <f t="shared" si="91"/>
        <v>0</v>
      </c>
      <c r="J178" s="165">
        <f t="shared" si="92"/>
        <v>0</v>
      </c>
      <c r="K178" s="165">
        <f t="shared" si="93"/>
        <v>0</v>
      </c>
    </row>
    <row r="179" spans="1:11" x14ac:dyDescent="0.25">
      <c r="A179" s="153">
        <f t="shared" si="70"/>
        <v>171</v>
      </c>
      <c r="B179" s="171" t="str">
        <f t="shared" si="94"/>
        <v>58E &amp; 59E</v>
      </c>
      <c r="C179" s="8" t="s">
        <v>210</v>
      </c>
      <c r="D179" s="167" t="s">
        <v>236</v>
      </c>
      <c r="E179" s="163">
        <f>+'[1]Sch 140 Combined Charges'!O179</f>
        <v>0.8</v>
      </c>
      <c r="F179" s="163">
        <f>+'[1]Sch 140 Combined Charges'!P179</f>
        <v>0.48</v>
      </c>
      <c r="G179" s="163">
        <f t="shared" si="90"/>
        <v>1.28</v>
      </c>
      <c r="H179" s="164">
        <f>+'[1]Sch 140 Combined Charges'!L179</f>
        <v>0</v>
      </c>
      <c r="I179" s="165">
        <f t="shared" si="91"/>
        <v>0</v>
      </c>
      <c r="J179" s="165">
        <f t="shared" si="92"/>
        <v>0</v>
      </c>
      <c r="K179" s="165">
        <f t="shared" si="93"/>
        <v>0</v>
      </c>
    </row>
    <row r="180" spans="1:11" x14ac:dyDescent="0.25">
      <c r="A180" s="153">
        <f t="shared" si="70"/>
        <v>172</v>
      </c>
      <c r="B180" s="171" t="str">
        <f t="shared" si="94"/>
        <v>58E &amp; 59E</v>
      </c>
      <c r="C180" s="8" t="s">
        <v>210</v>
      </c>
      <c r="D180" s="167" t="s">
        <v>237</v>
      </c>
      <c r="E180" s="163">
        <f>+'[1]Sch 140 Combined Charges'!O180</f>
        <v>0.86</v>
      </c>
      <c r="F180" s="163">
        <f>+'[1]Sch 140 Combined Charges'!P180</f>
        <v>0.52</v>
      </c>
      <c r="G180" s="163">
        <f t="shared" si="90"/>
        <v>1.38</v>
      </c>
      <c r="H180" s="164">
        <f>+'[1]Sch 140 Combined Charges'!L180</f>
        <v>0</v>
      </c>
      <c r="I180" s="165">
        <f t="shared" si="91"/>
        <v>0</v>
      </c>
      <c r="J180" s="165">
        <f t="shared" si="92"/>
        <v>0</v>
      </c>
      <c r="K180" s="165">
        <f t="shared" si="93"/>
        <v>0</v>
      </c>
    </row>
    <row r="181" spans="1:11" x14ac:dyDescent="0.25">
      <c r="A181" s="153">
        <f t="shared" si="70"/>
        <v>173</v>
      </c>
      <c r="B181" s="171" t="str">
        <f t="shared" si="94"/>
        <v>58E &amp; 59E</v>
      </c>
      <c r="C181" s="8" t="s">
        <v>210</v>
      </c>
      <c r="D181" s="167" t="s">
        <v>238</v>
      </c>
      <c r="E181" s="163">
        <f>+'[1]Sch 140 Combined Charges'!O181</f>
        <v>0.93</v>
      </c>
      <c r="F181" s="163">
        <f>+'[1]Sch 140 Combined Charges'!P181</f>
        <v>0.56000000000000005</v>
      </c>
      <c r="G181" s="163">
        <f t="shared" si="90"/>
        <v>1.4900000000000002</v>
      </c>
      <c r="H181" s="164">
        <f>+'[1]Sch 140 Combined Charges'!L181</f>
        <v>0</v>
      </c>
      <c r="I181" s="165">
        <f t="shared" si="91"/>
        <v>0</v>
      </c>
      <c r="J181" s="165">
        <f t="shared" si="92"/>
        <v>0</v>
      </c>
      <c r="K181" s="165">
        <f t="shared" si="93"/>
        <v>0</v>
      </c>
    </row>
    <row r="182" spans="1:11" x14ac:dyDescent="0.25">
      <c r="A182" s="153">
        <f t="shared" si="70"/>
        <v>174</v>
      </c>
      <c r="B182" s="171" t="str">
        <f t="shared" si="94"/>
        <v>58E &amp; 59E</v>
      </c>
      <c r="C182" s="8" t="s">
        <v>210</v>
      </c>
      <c r="D182" s="167" t="s">
        <v>239</v>
      </c>
      <c r="E182" s="163">
        <f>+'[1]Sch 140 Combined Charges'!O182</f>
        <v>0.99</v>
      </c>
      <c r="F182" s="163">
        <f>+'[1]Sch 140 Combined Charges'!P182</f>
        <v>0.6</v>
      </c>
      <c r="G182" s="163">
        <f t="shared" si="90"/>
        <v>1.5899999999999999</v>
      </c>
      <c r="H182" s="164">
        <f>+'[1]Sch 140 Combined Charges'!L182</f>
        <v>0</v>
      </c>
      <c r="I182" s="165">
        <f t="shared" si="91"/>
        <v>0</v>
      </c>
      <c r="J182" s="165">
        <f t="shared" si="92"/>
        <v>0</v>
      </c>
      <c r="K182" s="165">
        <f t="shared" si="93"/>
        <v>0</v>
      </c>
    </row>
    <row r="183" spans="1:11" x14ac:dyDescent="0.25">
      <c r="A183" s="153">
        <f t="shared" si="70"/>
        <v>175</v>
      </c>
      <c r="B183" s="171"/>
      <c r="C183" s="8"/>
      <c r="D183" s="8"/>
      <c r="E183" s="159"/>
      <c r="F183" s="159"/>
      <c r="G183" s="159"/>
      <c r="H183" s="164"/>
      <c r="I183" s="164"/>
      <c r="J183" s="164"/>
      <c r="K183" s="154"/>
    </row>
    <row r="184" spans="1:11" x14ac:dyDescent="0.25">
      <c r="A184" s="153">
        <f t="shared" si="70"/>
        <v>176</v>
      </c>
      <c r="B184" s="158" t="s">
        <v>240</v>
      </c>
      <c r="C184" s="8"/>
      <c r="D184" s="8"/>
      <c r="E184" s="159"/>
      <c r="F184" s="159"/>
      <c r="G184" s="159"/>
      <c r="H184" s="164"/>
      <c r="I184" s="164"/>
      <c r="J184" s="164"/>
      <c r="K184" s="154"/>
    </row>
    <row r="185" spans="1:11" x14ac:dyDescent="0.25">
      <c r="A185" s="153">
        <f t="shared" si="70"/>
        <v>177</v>
      </c>
      <c r="B185" s="171" t="s">
        <v>241</v>
      </c>
      <c r="C185" s="8" t="s">
        <v>242</v>
      </c>
      <c r="D185" s="8">
        <f>'[1]WP2 GRC Sch Level Costs'!D182</f>
        <v>0</v>
      </c>
      <c r="E185" s="178">
        <f>+'[1]Sch 140 Combined Charges'!O185</f>
        <v>6.8999999999999997E-4</v>
      </c>
      <c r="F185" s="178">
        <f>+'[1]Sch 140 Combined Charges'!P185</f>
        <v>4.0999999999999999E-4</v>
      </c>
      <c r="G185" s="178">
        <f>SUM(E185:F185)</f>
        <v>1.0999999999999998E-3</v>
      </c>
      <c r="H185" s="164">
        <f>+'[1]Sch 140 Combined Charges'!L185</f>
        <v>1157433</v>
      </c>
      <c r="I185" s="165">
        <f t="shared" ref="I185" si="95">ROUND($H185*E185*12,0)</f>
        <v>9584</v>
      </c>
      <c r="J185" s="165">
        <f t="shared" ref="J185" si="96">ROUND($H185*F185*12,0)</f>
        <v>5695</v>
      </c>
      <c r="K185" s="165">
        <f t="shared" ref="K185" si="97">SUM(I185:J185)</f>
        <v>15279</v>
      </c>
    </row>
    <row r="186" spans="1:11" x14ac:dyDescent="0.25">
      <c r="A186" s="153">
        <f t="shared" si="70"/>
        <v>178</v>
      </c>
      <c r="B186" s="158"/>
      <c r="C186" s="158"/>
      <c r="D186" s="158"/>
      <c r="E186" s="159"/>
      <c r="F186" s="159"/>
      <c r="G186" s="159"/>
      <c r="H186" s="164"/>
      <c r="I186" s="164"/>
      <c r="J186" s="164"/>
      <c r="K186" s="154"/>
    </row>
    <row r="187" spans="1:11" x14ac:dyDescent="0.25">
      <c r="A187" s="153">
        <f t="shared" si="70"/>
        <v>179</v>
      </c>
      <c r="B187" s="158" t="s">
        <v>243</v>
      </c>
      <c r="C187" s="8"/>
      <c r="D187" s="8"/>
      <c r="E187" s="159"/>
      <c r="F187" s="159"/>
      <c r="G187" s="159"/>
      <c r="H187" s="164"/>
      <c r="I187" s="164"/>
      <c r="J187" s="164"/>
      <c r="K187" s="154"/>
    </row>
    <row r="188" spans="1:11" x14ac:dyDescent="0.25">
      <c r="A188" s="153">
        <f t="shared" si="70"/>
        <v>180</v>
      </c>
      <c r="B188" s="160" t="s">
        <v>244</v>
      </c>
      <c r="C188" s="8" t="s">
        <v>245</v>
      </c>
      <c r="D188" s="8">
        <v>0</v>
      </c>
      <c r="E188" s="163">
        <f>+'[1]Sch 140 Combined Charges'!O188</f>
        <v>0.41</v>
      </c>
      <c r="F188" s="163">
        <f>+'[1]Sch 140 Combined Charges'!P188</f>
        <v>0.24</v>
      </c>
      <c r="G188" s="163">
        <f t="shared" ref="G188:G189" si="98">SUM(E188:F188)</f>
        <v>0.64999999999999991</v>
      </c>
      <c r="H188" s="164">
        <f>+'[1]Sch 140 Combined Charges'!L188</f>
        <v>639</v>
      </c>
      <c r="I188" s="165">
        <f t="shared" ref="I188:I189" si="99">ROUND($H188*E188*12,0)</f>
        <v>3144</v>
      </c>
      <c r="J188" s="165">
        <f t="shared" ref="J188:J189" si="100">ROUND($H188*F188*12,0)</f>
        <v>1840</v>
      </c>
      <c r="K188" s="165">
        <f t="shared" ref="K188:K189" si="101">SUM(I188:J188)</f>
        <v>4984</v>
      </c>
    </row>
    <row r="189" spans="1:11" x14ac:dyDescent="0.25">
      <c r="A189" s="153">
        <f t="shared" si="70"/>
        <v>181</v>
      </c>
      <c r="B189" s="160" t="s">
        <v>246</v>
      </c>
      <c r="C189" s="8" t="s">
        <v>245</v>
      </c>
      <c r="D189" s="8">
        <v>0</v>
      </c>
      <c r="E189" s="163">
        <f>+'[1]Sch 140 Combined Charges'!O189</f>
        <v>0.82</v>
      </c>
      <c r="F189" s="163">
        <f>+'[1]Sch 140 Combined Charges'!P189</f>
        <v>0.49</v>
      </c>
      <c r="G189" s="163">
        <f t="shared" si="98"/>
        <v>1.31</v>
      </c>
      <c r="H189" s="164">
        <f>+'[1]Sch 140 Combined Charges'!L189</f>
        <v>332</v>
      </c>
      <c r="I189" s="165">
        <f t="shared" si="99"/>
        <v>3267</v>
      </c>
      <c r="J189" s="165">
        <f t="shared" si="100"/>
        <v>1952</v>
      </c>
      <c r="K189" s="165">
        <f t="shared" si="101"/>
        <v>5219</v>
      </c>
    </row>
    <row r="190" spans="1:11" x14ac:dyDescent="0.25">
      <c r="A190" s="153">
        <f t="shared" si="70"/>
        <v>182</v>
      </c>
      <c r="B190" s="160"/>
      <c r="C190" s="158"/>
      <c r="D190" s="158"/>
      <c r="E190" s="159"/>
      <c r="F190" s="159"/>
      <c r="G190" s="159"/>
      <c r="H190" s="164"/>
      <c r="I190" s="164"/>
      <c r="J190" s="164"/>
      <c r="K190" s="154"/>
    </row>
    <row r="191" spans="1:11" x14ac:dyDescent="0.25">
      <c r="A191" s="153">
        <f t="shared" si="70"/>
        <v>183</v>
      </c>
      <c r="B191" s="160" t="s">
        <v>247</v>
      </c>
      <c r="C191" s="8" t="s">
        <v>245</v>
      </c>
      <c r="D191" s="8">
        <v>0</v>
      </c>
      <c r="E191" s="163">
        <f>+'[1]Sch 140 Combined Charges'!O191</f>
        <v>0.82</v>
      </c>
      <c r="F191" s="163">
        <f>+'[1]Sch 140 Combined Charges'!P191</f>
        <v>0.49</v>
      </c>
      <c r="G191" s="163">
        <f>SUM(E191:F191)</f>
        <v>1.31</v>
      </c>
      <c r="H191" s="164">
        <f>+'[1]Sch 140 Combined Charges'!L191</f>
        <v>159</v>
      </c>
      <c r="I191" s="165">
        <f t="shared" ref="I191" si="102">ROUND($H191*E191*12,0)</f>
        <v>1565</v>
      </c>
      <c r="J191" s="165">
        <f t="shared" ref="J191" si="103">ROUND($H191*F191*12,0)</f>
        <v>935</v>
      </c>
      <c r="K191" s="165">
        <f t="shared" ref="K191" si="104">SUM(I191:J191)</f>
        <v>2500</v>
      </c>
    </row>
    <row r="192" spans="1:11" x14ac:dyDescent="0.25">
      <c r="A192" s="153">
        <f t="shared" si="70"/>
        <v>184</v>
      </c>
      <c r="B192" s="158"/>
      <c r="C192" s="158"/>
      <c r="D192" s="158"/>
      <c r="E192" s="158"/>
      <c r="F192" s="158"/>
      <c r="G192" s="154"/>
      <c r="H192" s="154"/>
      <c r="I192" s="154"/>
      <c r="J192" s="154"/>
      <c r="K192" s="154"/>
    </row>
    <row r="193" spans="1:11" x14ac:dyDescent="0.25">
      <c r="A193" s="153">
        <f t="shared" si="70"/>
        <v>185</v>
      </c>
      <c r="B193" s="173" t="s">
        <v>248</v>
      </c>
      <c r="C193" s="158"/>
      <c r="D193" s="158"/>
      <c r="E193" s="158"/>
      <c r="F193" s="158"/>
      <c r="G193" s="154"/>
      <c r="H193" s="174">
        <f>SUM(H10:H191)</f>
        <v>1279463</v>
      </c>
      <c r="I193" s="165">
        <f t="shared" ref="I193:J193" si="105">SUM(I10:I191)</f>
        <v>443540</v>
      </c>
      <c r="J193" s="165">
        <f t="shared" si="105"/>
        <v>268225</v>
      </c>
      <c r="K193" s="165">
        <f>SUM(K10:K191)</f>
        <v>711765</v>
      </c>
    </row>
    <row r="194" spans="1:11" x14ac:dyDescent="0.25">
      <c r="A194" s="153">
        <f t="shared" si="70"/>
        <v>186</v>
      </c>
      <c r="B194" s="175" t="s">
        <v>249</v>
      </c>
      <c r="C194" s="158"/>
      <c r="D194" s="158"/>
      <c r="E194" s="158"/>
      <c r="F194" s="158"/>
      <c r="G194" s="154"/>
      <c r="H194" s="174">
        <f>+'[1]Sch 140 Combined Charges'!$L$194</f>
        <v>1279463</v>
      </c>
      <c r="I194" s="174">
        <f>+'2018 Prop Tax Rate Design'!J27</f>
        <v>443187.94629697769</v>
      </c>
      <c r="J194" s="174">
        <f>+'2018 Prop Tax Rate Design'!K27</f>
        <v>267042.26942346542</v>
      </c>
      <c r="K194" s="165">
        <f>+'2018 Prop Tax Rate Design'!L27</f>
        <v>710230.21572044306</v>
      </c>
    </row>
    <row r="195" spans="1:11" x14ac:dyDescent="0.25">
      <c r="A195" s="153">
        <f t="shared" si="70"/>
        <v>187</v>
      </c>
      <c r="B195" s="158" t="s">
        <v>91</v>
      </c>
      <c r="C195" s="158"/>
      <c r="D195" s="158"/>
      <c r="E195" s="158"/>
      <c r="F195" s="158"/>
      <c r="G195" s="154"/>
      <c r="H195" s="174">
        <f>+H193-H194</f>
        <v>0</v>
      </c>
      <c r="I195" s="165">
        <f t="shared" ref="I195:J195" si="106">+I193-I194</f>
        <v>352.05370302230585</v>
      </c>
      <c r="J195" s="165">
        <f t="shared" si="106"/>
        <v>1182.7305765345809</v>
      </c>
      <c r="K195" s="165">
        <f>+K193-K194</f>
        <v>1534.784279556945</v>
      </c>
    </row>
    <row r="196" spans="1:11" x14ac:dyDescent="0.25">
      <c r="A196" s="153"/>
      <c r="B196" s="158"/>
      <c r="C196" s="158"/>
      <c r="D196" s="158"/>
      <c r="E196" s="158"/>
      <c r="F196" s="158"/>
      <c r="G196" s="154"/>
      <c r="H196" s="154"/>
      <c r="I196" s="154"/>
      <c r="J196" s="154"/>
      <c r="K196" s="154"/>
    </row>
    <row r="197" spans="1:11" x14ac:dyDescent="0.25">
      <c r="A197" s="153"/>
      <c r="B197" s="173"/>
      <c r="C197" s="158"/>
      <c r="D197" s="158"/>
      <c r="E197" s="158"/>
      <c r="F197" s="158"/>
      <c r="G197" s="154"/>
      <c r="H197" s="154"/>
      <c r="I197" s="154"/>
      <c r="J197" s="154"/>
      <c r="K197" s="165"/>
    </row>
    <row r="198" spans="1:11" x14ac:dyDescent="0.25">
      <c r="A198" s="153"/>
      <c r="B198" s="173"/>
      <c r="C198" s="158"/>
      <c r="D198" s="158"/>
      <c r="E198" s="158"/>
      <c r="F198" s="158"/>
      <c r="G198" s="154"/>
      <c r="H198" s="154"/>
      <c r="I198" s="154"/>
      <c r="J198" s="154"/>
      <c r="K198" s="154"/>
    </row>
    <row r="199" spans="1:11" x14ac:dyDescent="0.25">
      <c r="A199" s="153"/>
      <c r="B199" s="158"/>
      <c r="C199" s="158"/>
      <c r="D199" s="158"/>
      <c r="E199" s="158"/>
      <c r="F199" s="158"/>
      <c r="G199" s="154"/>
      <c r="H199" s="154"/>
      <c r="I199" s="154"/>
      <c r="J199" s="154"/>
      <c r="K199" s="154"/>
    </row>
    <row r="200" spans="1:11" x14ac:dyDescent="0.25">
      <c r="A200" s="153"/>
      <c r="B200" s="161"/>
      <c r="C200" s="158"/>
      <c r="D200" s="158"/>
      <c r="E200" s="158"/>
      <c r="F200" s="158"/>
      <c r="G200" s="154"/>
      <c r="H200" s="176"/>
      <c r="I200" s="176"/>
      <c r="J200" s="176"/>
      <c r="K200" s="165"/>
    </row>
    <row r="201" spans="1:11" x14ac:dyDescent="0.25">
      <c r="A201" s="153"/>
      <c r="B201" s="158"/>
      <c r="C201" s="158"/>
      <c r="D201" s="158"/>
      <c r="E201" s="158"/>
      <c r="F201" s="158"/>
      <c r="G201" s="154"/>
      <c r="H201" s="176"/>
      <c r="I201" s="176"/>
      <c r="J201" s="176"/>
      <c r="K201" s="165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workbookViewId="0">
      <pane xSplit="4" ySplit="6" topLeftCell="E37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ColWidth="8.85546875" defaultRowHeight="12.75" x14ac:dyDescent="0.2"/>
  <cols>
    <col min="1" max="1" width="4.28515625" style="66" customWidth="1"/>
    <col min="2" max="2" width="24.28515625" style="66" customWidth="1"/>
    <col min="3" max="3" width="14.5703125" style="66" customWidth="1"/>
    <col min="4" max="4" width="11" style="66" customWidth="1"/>
    <col min="5" max="5" width="8.85546875" style="66"/>
    <col min="6" max="6" width="8.5703125" style="66" customWidth="1"/>
    <col min="7" max="8" width="11.5703125" style="66" customWidth="1"/>
    <col min="9" max="9" width="9.140625" style="66" customWidth="1"/>
    <col min="10" max="10" width="7.5703125" style="66" bestFit="1" customWidth="1"/>
    <col min="11" max="13" width="7.85546875" style="66" customWidth="1"/>
    <col min="14" max="14" width="8.5703125" style="66" customWidth="1"/>
    <col min="15" max="15" width="10.42578125" style="66" customWidth="1"/>
    <col min="16" max="16" width="8.5703125" style="66" customWidth="1"/>
    <col min="17" max="17" width="8.28515625" style="66" customWidth="1"/>
    <col min="18" max="18" width="10.7109375" style="66" customWidth="1"/>
    <col min="19" max="19" width="10.42578125" style="66" customWidth="1"/>
    <col min="20" max="20" width="9.42578125" style="66" customWidth="1"/>
    <col min="21" max="16384" width="8.85546875" style="66"/>
  </cols>
  <sheetData>
    <row r="1" spans="1:20" ht="15" x14ac:dyDescent="0.25">
      <c r="A1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5" x14ac:dyDescent="0.25">
      <c r="A2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5" x14ac:dyDescent="0.25">
      <c r="A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5" x14ac:dyDescent="0.25">
      <c r="A5"/>
      <c r="B5"/>
      <c r="C5"/>
      <c r="D5" s="237" t="s">
        <v>74</v>
      </c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/>
      <c r="Q5"/>
      <c r="R5"/>
      <c r="S5"/>
      <c r="T5"/>
    </row>
    <row r="6" spans="1:20" ht="60" x14ac:dyDescent="0.25">
      <c r="A6" s="60" t="s">
        <v>1</v>
      </c>
      <c r="B6" s="60" t="s">
        <v>37</v>
      </c>
      <c r="C6" s="60" t="s">
        <v>73</v>
      </c>
      <c r="D6" s="87" t="s">
        <v>137</v>
      </c>
      <c r="E6" s="87" t="s">
        <v>138</v>
      </c>
      <c r="F6" s="87" t="s">
        <v>139</v>
      </c>
      <c r="G6" s="87" t="s">
        <v>140</v>
      </c>
      <c r="H6" s="87" t="s">
        <v>141</v>
      </c>
      <c r="I6" s="87" t="s">
        <v>142</v>
      </c>
      <c r="J6" s="87" t="s">
        <v>143</v>
      </c>
      <c r="K6" s="87" t="s">
        <v>144</v>
      </c>
      <c r="L6" s="87" t="s">
        <v>145</v>
      </c>
      <c r="M6" s="87" t="s">
        <v>146</v>
      </c>
      <c r="N6" s="87" t="s">
        <v>147</v>
      </c>
      <c r="O6" s="88" t="s">
        <v>148</v>
      </c>
      <c r="P6" s="88" t="s">
        <v>161</v>
      </c>
      <c r="Q6" s="88" t="s">
        <v>162</v>
      </c>
      <c r="R6" s="87" t="s">
        <v>72</v>
      </c>
      <c r="S6" s="87" t="s">
        <v>149</v>
      </c>
      <c r="T6" s="60" t="s">
        <v>71</v>
      </c>
    </row>
    <row r="7" spans="1:20" ht="15" x14ac:dyDescent="0.25">
      <c r="A7" s="82">
        <v>1</v>
      </c>
      <c r="B7" t="s">
        <v>70</v>
      </c>
      <c r="C7" s="67">
        <f>ROUND(+E67,0)</f>
        <v>1215</v>
      </c>
      <c r="D7" s="89">
        <f t="shared" ref="D7:D18" si="0">ROUND($G$31+IF($C7&gt;600,(600*$G$35+(($C7-600)*$G$42)),$C7*$G$35),2)</f>
        <v>130.69</v>
      </c>
      <c r="E7" s="89">
        <f t="shared" ref="E7:E18" si="1">ROUND($C7*$G$53,2)</f>
        <v>0</v>
      </c>
      <c r="F7" s="89">
        <f t="shared" ref="F7:F18" si="2">ROUND($C7*$G$54,2)</f>
        <v>-3.03</v>
      </c>
      <c r="G7" s="89">
        <f t="shared" ref="G7:G18" si="3">ROUND($C7*$G$55,2)</f>
        <v>7.38</v>
      </c>
      <c r="H7" s="89">
        <f t="shared" ref="H7:H18" si="4">ROUND($C7*$G$36,2)</f>
        <v>1.1399999999999999</v>
      </c>
      <c r="I7" s="89">
        <f t="shared" ref="I7:I18" si="5">ROUND($C7*$G$56,2)</f>
        <v>-0.42</v>
      </c>
      <c r="J7" s="89">
        <f t="shared" ref="J7:J18" si="6">ROUND($C7*$G$57,2)</f>
        <v>-0.04</v>
      </c>
      <c r="K7" s="89">
        <f t="shared" ref="K7:K18" si="7">ROUND($C7*$G$37,2)</f>
        <v>4.38</v>
      </c>
      <c r="L7" s="89">
        <f>ROUND($G$32+IF($C7&gt;600,(600*$G$38+(($C7-600)*$G$45)),$C7*$G$38),2)</f>
        <v>0</v>
      </c>
      <c r="M7" s="89">
        <f t="shared" ref="M7:M18" si="8">ROUND($C7*$G$39,2)</f>
        <v>1.46</v>
      </c>
      <c r="N7" s="89">
        <f t="shared" ref="N7:N18" si="9">ROUND($C7*$G$49,2)</f>
        <v>-9</v>
      </c>
      <c r="O7" s="89">
        <f>SUM(D7:N7)</f>
        <v>132.56</v>
      </c>
      <c r="P7" s="89">
        <f>-SUM(K7)</f>
        <v>-4.38</v>
      </c>
      <c r="Q7" s="89">
        <f>+ROUND($C7*$H$44,2)</f>
        <v>4.22</v>
      </c>
      <c r="R7" s="90">
        <f>SUM(P7:Q7)</f>
        <v>-0.16000000000000014</v>
      </c>
      <c r="S7" s="90">
        <f>+O7+R7</f>
        <v>132.4</v>
      </c>
      <c r="T7" s="68">
        <f>+R7/O7</f>
        <v>-1.2070006035003029E-3</v>
      </c>
    </row>
    <row r="8" spans="1:20" ht="15" x14ac:dyDescent="0.25">
      <c r="A8" s="82">
        <f>1+A7</f>
        <v>2</v>
      </c>
      <c r="B8" t="s">
        <v>69</v>
      </c>
      <c r="C8" s="67">
        <f t="shared" ref="C8:C18" si="10">ROUND(+E68,0)</f>
        <v>1012</v>
      </c>
      <c r="D8" s="89">
        <f t="shared" si="0"/>
        <v>108.12</v>
      </c>
      <c r="E8" s="89">
        <f t="shared" si="1"/>
        <v>0</v>
      </c>
      <c r="F8" s="89">
        <f t="shared" si="2"/>
        <v>-2.52</v>
      </c>
      <c r="G8" s="89">
        <f t="shared" si="3"/>
        <v>6.15</v>
      </c>
      <c r="H8" s="89">
        <f t="shared" si="4"/>
        <v>0.95</v>
      </c>
      <c r="I8" s="89">
        <f t="shared" si="5"/>
        <v>-0.35</v>
      </c>
      <c r="J8" s="89">
        <f t="shared" si="6"/>
        <v>-0.04</v>
      </c>
      <c r="K8" s="89">
        <f t="shared" si="7"/>
        <v>3.65</v>
      </c>
      <c r="L8" s="89">
        <f t="shared" ref="L8:L18" si="11">ROUND($G$32+IF($C8&gt;600,(600*$G$38+(($C8-600)*$G$45)),$C8*$G$38),2)</f>
        <v>0</v>
      </c>
      <c r="M8" s="89">
        <f t="shared" si="8"/>
        <v>1.22</v>
      </c>
      <c r="N8" s="89">
        <f t="shared" si="9"/>
        <v>-7.49</v>
      </c>
      <c r="O8" s="89">
        <f t="shared" ref="O8:O18" si="12">SUM(D8:N8)</f>
        <v>109.69000000000003</v>
      </c>
      <c r="P8" s="89">
        <f t="shared" ref="P8:P18" si="13">-SUM(K8)</f>
        <v>-3.65</v>
      </c>
      <c r="Q8" s="89">
        <f t="shared" ref="Q8:Q18" si="14">+ROUND($C8*$H$44,2)</f>
        <v>3.51</v>
      </c>
      <c r="R8" s="90">
        <f t="shared" ref="R8:R18" si="15">SUM(P8:Q8)</f>
        <v>-0.14000000000000012</v>
      </c>
      <c r="S8" s="90">
        <f t="shared" ref="S8:S18" si="16">+O8+R8</f>
        <v>109.55000000000003</v>
      </c>
      <c r="T8" s="68">
        <f t="shared" ref="T8:T22" si="17">+R8/O8</f>
        <v>-1.2763241863433319E-3</v>
      </c>
    </row>
    <row r="9" spans="1:20" ht="15" x14ac:dyDescent="0.25">
      <c r="A9" s="82">
        <f t="shared" ref="A9:A61" si="18">1+A8</f>
        <v>3</v>
      </c>
      <c r="B9" t="s">
        <v>68</v>
      </c>
      <c r="C9" s="67">
        <f t="shared" si="10"/>
        <v>1006</v>
      </c>
      <c r="D9" s="89">
        <f t="shared" si="0"/>
        <v>107.45</v>
      </c>
      <c r="E9" s="89">
        <f t="shared" si="1"/>
        <v>0</v>
      </c>
      <c r="F9" s="89">
        <f t="shared" si="2"/>
        <v>-2.5099999999999998</v>
      </c>
      <c r="G9" s="89">
        <f t="shared" si="3"/>
        <v>6.11</v>
      </c>
      <c r="H9" s="89">
        <f t="shared" si="4"/>
        <v>0.94</v>
      </c>
      <c r="I9" s="89">
        <f t="shared" si="5"/>
        <v>-0.35</v>
      </c>
      <c r="J9" s="89">
        <f t="shared" si="6"/>
        <v>-0.04</v>
      </c>
      <c r="K9" s="89">
        <f t="shared" si="7"/>
        <v>3.63</v>
      </c>
      <c r="L9" s="89">
        <f t="shared" si="11"/>
        <v>0</v>
      </c>
      <c r="M9" s="89">
        <f t="shared" si="8"/>
        <v>1.21</v>
      </c>
      <c r="N9" s="89">
        <f t="shared" si="9"/>
        <v>-7.45</v>
      </c>
      <c r="O9" s="89">
        <f t="shared" si="12"/>
        <v>108.98999999999998</v>
      </c>
      <c r="P9" s="89">
        <f t="shared" si="13"/>
        <v>-3.63</v>
      </c>
      <c r="Q9" s="89">
        <f t="shared" si="14"/>
        <v>3.49</v>
      </c>
      <c r="R9" s="90">
        <f t="shared" si="15"/>
        <v>-0.13999999999999968</v>
      </c>
      <c r="S9" s="90">
        <f t="shared" si="16"/>
        <v>108.84999999999998</v>
      </c>
      <c r="T9" s="68">
        <f t="shared" si="17"/>
        <v>-1.2845215157353859E-3</v>
      </c>
    </row>
    <row r="10" spans="1:20" ht="15" x14ac:dyDescent="0.25">
      <c r="A10" s="82">
        <f t="shared" si="18"/>
        <v>4</v>
      </c>
      <c r="B10" t="s">
        <v>67</v>
      </c>
      <c r="C10" s="67">
        <f t="shared" si="10"/>
        <v>828</v>
      </c>
      <c r="D10" s="89">
        <f t="shared" si="0"/>
        <v>87.66</v>
      </c>
      <c r="E10" s="89">
        <f t="shared" si="1"/>
        <v>0</v>
      </c>
      <c r="F10" s="89">
        <f t="shared" si="2"/>
        <v>-2.06</v>
      </c>
      <c r="G10" s="89">
        <f t="shared" si="3"/>
        <v>5.03</v>
      </c>
      <c r="H10" s="89">
        <f t="shared" si="4"/>
        <v>0.78</v>
      </c>
      <c r="I10" s="89">
        <f t="shared" si="5"/>
        <v>-0.28999999999999998</v>
      </c>
      <c r="J10" s="89">
        <f t="shared" si="6"/>
        <v>-0.03</v>
      </c>
      <c r="K10" s="89">
        <f t="shared" si="7"/>
        <v>2.98</v>
      </c>
      <c r="L10" s="89">
        <f t="shared" si="11"/>
        <v>0</v>
      </c>
      <c r="M10" s="89">
        <f t="shared" si="8"/>
        <v>0.99</v>
      </c>
      <c r="N10" s="89">
        <f t="shared" si="9"/>
        <v>-6.13</v>
      </c>
      <c r="O10" s="89">
        <f t="shared" si="12"/>
        <v>88.929999999999993</v>
      </c>
      <c r="P10" s="89">
        <f t="shared" si="13"/>
        <v>-2.98</v>
      </c>
      <c r="Q10" s="89">
        <f t="shared" si="14"/>
        <v>2.87</v>
      </c>
      <c r="R10" s="90">
        <f t="shared" si="15"/>
        <v>-0.10999999999999988</v>
      </c>
      <c r="S10" s="90">
        <f t="shared" si="16"/>
        <v>88.82</v>
      </c>
      <c r="T10" s="68">
        <f t="shared" si="17"/>
        <v>-1.2369279208366117E-3</v>
      </c>
    </row>
    <row r="11" spans="1:20" ht="15" x14ac:dyDescent="0.25">
      <c r="A11" s="82">
        <f t="shared" si="18"/>
        <v>5</v>
      </c>
      <c r="B11" t="s">
        <v>66</v>
      </c>
      <c r="C11" s="67">
        <f t="shared" si="10"/>
        <v>716</v>
      </c>
      <c r="D11" s="89">
        <f t="shared" si="0"/>
        <v>75.209999999999994</v>
      </c>
      <c r="E11" s="89">
        <f t="shared" si="1"/>
        <v>0</v>
      </c>
      <c r="F11" s="89">
        <f t="shared" si="2"/>
        <v>-1.78</v>
      </c>
      <c r="G11" s="89">
        <f t="shared" si="3"/>
        <v>4.3499999999999996</v>
      </c>
      <c r="H11" s="89">
        <f t="shared" si="4"/>
        <v>0.67</v>
      </c>
      <c r="I11" s="89">
        <f t="shared" si="5"/>
        <v>-0.25</v>
      </c>
      <c r="J11" s="89">
        <f t="shared" si="6"/>
        <v>-0.03</v>
      </c>
      <c r="K11" s="89">
        <f t="shared" si="7"/>
        <v>2.58</v>
      </c>
      <c r="L11" s="89">
        <f t="shared" si="11"/>
        <v>0</v>
      </c>
      <c r="M11" s="89">
        <f t="shared" si="8"/>
        <v>0.86</v>
      </c>
      <c r="N11" s="89">
        <f t="shared" si="9"/>
        <v>-5.3</v>
      </c>
      <c r="O11" s="89">
        <f t="shared" si="12"/>
        <v>76.309999999999988</v>
      </c>
      <c r="P11" s="89">
        <f t="shared" si="13"/>
        <v>-2.58</v>
      </c>
      <c r="Q11" s="89">
        <f t="shared" si="14"/>
        <v>2.4900000000000002</v>
      </c>
      <c r="R11" s="90">
        <f t="shared" si="15"/>
        <v>-8.9999999999999858E-2</v>
      </c>
      <c r="S11" s="90">
        <f t="shared" si="16"/>
        <v>76.219999999999985</v>
      </c>
      <c r="T11" s="68">
        <f t="shared" si="17"/>
        <v>-1.1793998165378046E-3</v>
      </c>
    </row>
    <row r="12" spans="1:20" ht="15" x14ac:dyDescent="0.25">
      <c r="A12" s="82">
        <f t="shared" si="18"/>
        <v>6</v>
      </c>
      <c r="B12" t="s">
        <v>65</v>
      </c>
      <c r="C12" s="67">
        <f t="shared" si="10"/>
        <v>661</v>
      </c>
      <c r="D12" s="89">
        <f t="shared" si="0"/>
        <v>69.09</v>
      </c>
      <c r="E12" s="89">
        <f t="shared" si="1"/>
        <v>0</v>
      </c>
      <c r="F12" s="89">
        <f t="shared" si="2"/>
        <v>-1.65</v>
      </c>
      <c r="G12" s="89">
        <f t="shared" si="3"/>
        <v>4.0199999999999996</v>
      </c>
      <c r="H12" s="89">
        <f t="shared" si="4"/>
        <v>0.62</v>
      </c>
      <c r="I12" s="89">
        <f t="shared" si="5"/>
        <v>-0.23</v>
      </c>
      <c r="J12" s="89">
        <f t="shared" si="6"/>
        <v>-0.02</v>
      </c>
      <c r="K12" s="89">
        <f t="shared" si="7"/>
        <v>2.38</v>
      </c>
      <c r="L12" s="89">
        <f t="shared" si="11"/>
        <v>0</v>
      </c>
      <c r="M12" s="89">
        <f t="shared" si="8"/>
        <v>0.79</v>
      </c>
      <c r="N12" s="89">
        <f t="shared" si="9"/>
        <v>-4.9000000000000004</v>
      </c>
      <c r="O12" s="89">
        <f t="shared" si="12"/>
        <v>70.099999999999994</v>
      </c>
      <c r="P12" s="89">
        <f t="shared" si="13"/>
        <v>-2.38</v>
      </c>
      <c r="Q12" s="89">
        <f t="shared" si="14"/>
        <v>2.29</v>
      </c>
      <c r="R12" s="90">
        <f t="shared" si="15"/>
        <v>-8.9999999999999858E-2</v>
      </c>
      <c r="S12" s="90">
        <f t="shared" si="16"/>
        <v>70.009999999999991</v>
      </c>
      <c r="T12" s="68">
        <f t="shared" si="17"/>
        <v>-1.283880171184021E-3</v>
      </c>
    </row>
    <row r="13" spans="1:20" ht="15" x14ac:dyDescent="0.25">
      <c r="A13" s="82">
        <f t="shared" si="18"/>
        <v>7</v>
      </c>
      <c r="B13" t="s">
        <v>64</v>
      </c>
      <c r="C13" s="67">
        <f t="shared" si="10"/>
        <v>674</v>
      </c>
      <c r="D13" s="89">
        <f t="shared" si="0"/>
        <v>70.540000000000006</v>
      </c>
      <c r="E13" s="89">
        <f t="shared" si="1"/>
        <v>0</v>
      </c>
      <c r="F13" s="89">
        <f t="shared" si="2"/>
        <v>-1.68</v>
      </c>
      <c r="G13" s="89">
        <f t="shared" si="3"/>
        <v>4.09</v>
      </c>
      <c r="H13" s="89">
        <f t="shared" si="4"/>
        <v>0.63</v>
      </c>
      <c r="I13" s="89">
        <f t="shared" si="5"/>
        <v>-0.23</v>
      </c>
      <c r="J13" s="89">
        <f t="shared" si="6"/>
        <v>-0.02</v>
      </c>
      <c r="K13" s="89">
        <f t="shared" si="7"/>
        <v>2.4300000000000002</v>
      </c>
      <c r="L13" s="89">
        <f t="shared" si="11"/>
        <v>0</v>
      </c>
      <c r="M13" s="89">
        <f t="shared" si="8"/>
        <v>0.81</v>
      </c>
      <c r="N13" s="89">
        <f t="shared" si="9"/>
        <v>-4.99</v>
      </c>
      <c r="O13" s="89">
        <f t="shared" si="12"/>
        <v>71.580000000000013</v>
      </c>
      <c r="P13" s="89">
        <f t="shared" si="13"/>
        <v>-2.4300000000000002</v>
      </c>
      <c r="Q13" s="89">
        <f t="shared" si="14"/>
        <v>2.34</v>
      </c>
      <c r="R13" s="90">
        <f t="shared" si="15"/>
        <v>-9.0000000000000302E-2</v>
      </c>
      <c r="S13" s="90">
        <f t="shared" si="16"/>
        <v>71.490000000000009</v>
      </c>
      <c r="T13" s="68">
        <f t="shared" si="17"/>
        <v>-1.2573344509639603E-3</v>
      </c>
    </row>
    <row r="14" spans="1:20" ht="15" x14ac:dyDescent="0.25">
      <c r="A14" s="82">
        <f t="shared" si="18"/>
        <v>8</v>
      </c>
      <c r="B14" t="s">
        <v>63</v>
      </c>
      <c r="C14" s="67">
        <f t="shared" si="10"/>
        <v>667</v>
      </c>
      <c r="D14" s="89">
        <f t="shared" si="0"/>
        <v>69.760000000000005</v>
      </c>
      <c r="E14" s="89">
        <f t="shared" si="1"/>
        <v>0</v>
      </c>
      <c r="F14" s="89">
        <f t="shared" si="2"/>
        <v>-1.66</v>
      </c>
      <c r="G14" s="89">
        <f t="shared" si="3"/>
        <v>4.05</v>
      </c>
      <c r="H14" s="89">
        <f t="shared" si="4"/>
        <v>0.62</v>
      </c>
      <c r="I14" s="89">
        <f t="shared" si="5"/>
        <v>-0.23</v>
      </c>
      <c r="J14" s="89">
        <f t="shared" si="6"/>
        <v>-0.02</v>
      </c>
      <c r="K14" s="89">
        <f t="shared" si="7"/>
        <v>2.4</v>
      </c>
      <c r="L14" s="89">
        <f t="shared" si="11"/>
        <v>0</v>
      </c>
      <c r="M14" s="89">
        <f t="shared" si="8"/>
        <v>0.8</v>
      </c>
      <c r="N14" s="89">
        <f t="shared" si="9"/>
        <v>-4.9400000000000004</v>
      </c>
      <c r="O14" s="89">
        <f t="shared" si="12"/>
        <v>70.780000000000015</v>
      </c>
      <c r="P14" s="89">
        <f t="shared" si="13"/>
        <v>-2.4</v>
      </c>
      <c r="Q14" s="89">
        <f t="shared" si="14"/>
        <v>2.3199999999999998</v>
      </c>
      <c r="R14" s="90">
        <f t="shared" si="15"/>
        <v>-8.0000000000000071E-2</v>
      </c>
      <c r="S14" s="90">
        <f t="shared" si="16"/>
        <v>70.700000000000017</v>
      </c>
      <c r="T14" s="68">
        <f t="shared" si="17"/>
        <v>-1.1302627860977684E-3</v>
      </c>
    </row>
    <row r="15" spans="1:20" ht="15" x14ac:dyDescent="0.25">
      <c r="A15" s="82">
        <f t="shared" si="18"/>
        <v>9</v>
      </c>
      <c r="B15" t="s">
        <v>62</v>
      </c>
      <c r="C15" s="67">
        <f t="shared" si="10"/>
        <v>660</v>
      </c>
      <c r="D15" s="89">
        <f t="shared" si="0"/>
        <v>68.98</v>
      </c>
      <c r="E15" s="89">
        <f t="shared" si="1"/>
        <v>0</v>
      </c>
      <c r="F15" s="89">
        <f t="shared" si="2"/>
        <v>-1.64</v>
      </c>
      <c r="G15" s="89">
        <f t="shared" si="3"/>
        <v>4.01</v>
      </c>
      <c r="H15" s="89">
        <f t="shared" si="4"/>
        <v>0.62</v>
      </c>
      <c r="I15" s="89">
        <f t="shared" si="5"/>
        <v>-0.23</v>
      </c>
      <c r="J15" s="89">
        <f t="shared" si="6"/>
        <v>-0.02</v>
      </c>
      <c r="K15" s="89">
        <f t="shared" si="7"/>
        <v>2.38</v>
      </c>
      <c r="L15" s="89">
        <f t="shared" si="11"/>
        <v>0</v>
      </c>
      <c r="M15" s="89">
        <f t="shared" si="8"/>
        <v>0.79</v>
      </c>
      <c r="N15" s="89">
        <f t="shared" si="9"/>
        <v>-4.8899999999999997</v>
      </c>
      <c r="O15" s="89">
        <f t="shared" si="12"/>
        <v>70.000000000000014</v>
      </c>
      <c r="P15" s="89">
        <f t="shared" si="13"/>
        <v>-2.38</v>
      </c>
      <c r="Q15" s="89">
        <f t="shared" si="14"/>
        <v>2.29</v>
      </c>
      <c r="R15" s="90">
        <f t="shared" si="15"/>
        <v>-8.9999999999999858E-2</v>
      </c>
      <c r="S15" s="90">
        <f t="shared" si="16"/>
        <v>69.910000000000011</v>
      </c>
      <c r="T15" s="68">
        <f t="shared" si="17"/>
        <v>-1.2857142857142835E-3</v>
      </c>
    </row>
    <row r="16" spans="1:20" ht="15" x14ac:dyDescent="0.25">
      <c r="A16" s="82">
        <f t="shared" si="18"/>
        <v>10</v>
      </c>
      <c r="B16" t="s">
        <v>61</v>
      </c>
      <c r="C16" s="67">
        <f t="shared" si="10"/>
        <v>803</v>
      </c>
      <c r="D16" s="89">
        <f t="shared" si="0"/>
        <v>84.88</v>
      </c>
      <c r="E16" s="89">
        <f t="shared" si="1"/>
        <v>0</v>
      </c>
      <c r="F16" s="89">
        <f t="shared" si="2"/>
        <v>-2</v>
      </c>
      <c r="G16" s="89">
        <f t="shared" si="3"/>
        <v>4.88</v>
      </c>
      <c r="H16" s="89">
        <f t="shared" si="4"/>
        <v>0.75</v>
      </c>
      <c r="I16" s="89">
        <f t="shared" si="5"/>
        <v>-0.28000000000000003</v>
      </c>
      <c r="J16" s="89">
        <f t="shared" si="6"/>
        <v>-0.03</v>
      </c>
      <c r="K16" s="89">
        <f t="shared" si="7"/>
        <v>2.89</v>
      </c>
      <c r="L16" s="89">
        <f t="shared" si="11"/>
        <v>0</v>
      </c>
      <c r="M16" s="89">
        <f t="shared" si="8"/>
        <v>0.96</v>
      </c>
      <c r="N16" s="89">
        <f t="shared" si="9"/>
        <v>-5.95</v>
      </c>
      <c r="O16" s="89">
        <f t="shared" si="12"/>
        <v>86.09999999999998</v>
      </c>
      <c r="P16" s="89">
        <f t="shared" si="13"/>
        <v>-2.89</v>
      </c>
      <c r="Q16" s="89">
        <f t="shared" si="14"/>
        <v>2.79</v>
      </c>
      <c r="R16" s="90">
        <f t="shared" si="15"/>
        <v>-0.10000000000000009</v>
      </c>
      <c r="S16" s="90">
        <f t="shared" si="16"/>
        <v>85.999999999999986</v>
      </c>
      <c r="T16" s="68">
        <f t="shared" si="17"/>
        <v>-1.161440185830431E-3</v>
      </c>
    </row>
    <row r="17" spans="1:20" ht="15" x14ac:dyDescent="0.25">
      <c r="A17" s="82">
        <f t="shared" si="18"/>
        <v>11</v>
      </c>
      <c r="B17" t="s">
        <v>60</v>
      </c>
      <c r="C17" s="67">
        <f t="shared" si="10"/>
        <v>991</v>
      </c>
      <c r="D17" s="89">
        <f t="shared" si="0"/>
        <v>105.79</v>
      </c>
      <c r="E17" s="89">
        <f t="shared" si="1"/>
        <v>0</v>
      </c>
      <c r="F17" s="89">
        <f t="shared" si="2"/>
        <v>-2.4700000000000002</v>
      </c>
      <c r="G17" s="89">
        <f t="shared" si="3"/>
        <v>6.02</v>
      </c>
      <c r="H17" s="89">
        <f t="shared" si="4"/>
        <v>0.93</v>
      </c>
      <c r="I17" s="89">
        <f t="shared" si="5"/>
        <v>-0.34</v>
      </c>
      <c r="J17" s="89">
        <f t="shared" si="6"/>
        <v>-0.03</v>
      </c>
      <c r="K17" s="89">
        <f t="shared" si="7"/>
        <v>3.57</v>
      </c>
      <c r="L17" s="89">
        <f t="shared" si="11"/>
        <v>0</v>
      </c>
      <c r="M17" s="89">
        <f t="shared" si="8"/>
        <v>1.19</v>
      </c>
      <c r="N17" s="89">
        <f t="shared" si="9"/>
        <v>-7.34</v>
      </c>
      <c r="O17" s="89">
        <f t="shared" si="12"/>
        <v>107.32</v>
      </c>
      <c r="P17" s="89">
        <f t="shared" si="13"/>
        <v>-3.57</v>
      </c>
      <c r="Q17" s="89">
        <f t="shared" si="14"/>
        <v>3.44</v>
      </c>
      <c r="R17" s="90">
        <f t="shared" si="15"/>
        <v>-0.12999999999999989</v>
      </c>
      <c r="S17" s="90">
        <f t="shared" si="16"/>
        <v>107.19</v>
      </c>
      <c r="T17" s="68">
        <f t="shared" si="17"/>
        <v>-1.2113306000745424E-3</v>
      </c>
    </row>
    <row r="18" spans="1:20" ht="15" x14ac:dyDescent="0.25">
      <c r="A18" s="82">
        <f t="shared" si="18"/>
        <v>12</v>
      </c>
      <c r="B18" t="s">
        <v>59</v>
      </c>
      <c r="C18" s="67">
        <f t="shared" si="10"/>
        <v>1257</v>
      </c>
      <c r="D18" s="89">
        <f t="shared" si="0"/>
        <v>135.36000000000001</v>
      </c>
      <c r="E18" s="89">
        <f t="shared" si="1"/>
        <v>0</v>
      </c>
      <c r="F18" s="89">
        <f t="shared" si="2"/>
        <v>-3.13</v>
      </c>
      <c r="G18" s="89">
        <f t="shared" si="3"/>
        <v>7.64</v>
      </c>
      <c r="H18" s="89">
        <f t="shared" si="4"/>
        <v>1.18</v>
      </c>
      <c r="I18" s="89">
        <f t="shared" si="5"/>
        <v>-0.43</v>
      </c>
      <c r="J18" s="89">
        <f t="shared" si="6"/>
        <v>-0.04</v>
      </c>
      <c r="K18" s="89">
        <f t="shared" si="7"/>
        <v>4.53</v>
      </c>
      <c r="L18" s="89">
        <f t="shared" si="11"/>
        <v>0</v>
      </c>
      <c r="M18" s="89">
        <f t="shared" si="8"/>
        <v>1.51</v>
      </c>
      <c r="N18" s="89">
        <f t="shared" si="9"/>
        <v>-9.31</v>
      </c>
      <c r="O18" s="89">
        <f t="shared" si="12"/>
        <v>137.31</v>
      </c>
      <c r="P18" s="89">
        <f t="shared" si="13"/>
        <v>-4.53</v>
      </c>
      <c r="Q18" s="89">
        <f t="shared" si="14"/>
        <v>4.3600000000000003</v>
      </c>
      <c r="R18" s="90">
        <f t="shared" si="15"/>
        <v>-0.16999999999999993</v>
      </c>
      <c r="S18" s="90">
        <f t="shared" si="16"/>
        <v>137.14000000000001</v>
      </c>
      <c r="T18" s="68">
        <f t="shared" si="17"/>
        <v>-1.2380744301216222E-3</v>
      </c>
    </row>
    <row r="19" spans="1:20" ht="15" x14ac:dyDescent="0.25">
      <c r="A19" s="82">
        <f t="shared" si="18"/>
        <v>13</v>
      </c>
      <c r="B19"/>
      <c r="C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89"/>
      <c r="P19" s="89"/>
      <c r="Q19" s="89"/>
      <c r="R19" s="90"/>
      <c r="S19" s="90"/>
      <c r="T19" s="68"/>
    </row>
    <row r="20" spans="1:20" ht="15.75" thickBot="1" x14ac:dyDescent="0.3">
      <c r="A20" s="82">
        <f t="shared" si="18"/>
        <v>14</v>
      </c>
      <c r="B20" s="79" t="s">
        <v>58</v>
      </c>
      <c r="C20" s="91">
        <f>SUM(C7:C19)</f>
        <v>10490</v>
      </c>
      <c r="D20" s="92">
        <f>SUM(D7:D19)</f>
        <v>1113.5299999999997</v>
      </c>
      <c r="E20" s="92">
        <f>SUM(E7:E19)</f>
        <v>0</v>
      </c>
      <c r="F20" s="92">
        <f>SUM(F7:F19)</f>
        <v>-26.129999999999995</v>
      </c>
      <c r="G20" s="92">
        <f t="shared" ref="G20:S20" si="19">SUM(G7:G19)</f>
        <v>63.730000000000004</v>
      </c>
      <c r="H20" s="92">
        <f t="shared" si="19"/>
        <v>9.83</v>
      </c>
      <c r="I20" s="92">
        <f t="shared" si="19"/>
        <v>-3.6300000000000003</v>
      </c>
      <c r="J20" s="92">
        <f t="shared" si="19"/>
        <v>-0.35999999999999993</v>
      </c>
      <c r="K20" s="92">
        <f t="shared" si="19"/>
        <v>37.799999999999997</v>
      </c>
      <c r="L20" s="92">
        <f t="shared" si="19"/>
        <v>0</v>
      </c>
      <c r="M20" s="92">
        <f t="shared" si="19"/>
        <v>12.59</v>
      </c>
      <c r="N20" s="92">
        <f t="shared" si="19"/>
        <v>-77.69</v>
      </c>
      <c r="O20" s="93">
        <f t="shared" si="19"/>
        <v>1129.67</v>
      </c>
      <c r="P20" s="93">
        <f t="shared" si="19"/>
        <v>-37.799999999999997</v>
      </c>
      <c r="Q20" s="93">
        <f t="shared" si="19"/>
        <v>36.409999999999997</v>
      </c>
      <c r="R20" s="92">
        <f t="shared" si="19"/>
        <v>-1.3899999999999997</v>
      </c>
      <c r="S20" s="92">
        <f t="shared" si="19"/>
        <v>1128.2800000000002</v>
      </c>
      <c r="T20" s="94">
        <f t="shared" si="17"/>
        <v>-1.2304478298972262E-3</v>
      </c>
    </row>
    <row r="21" spans="1:20" ht="15.75" thickTop="1" x14ac:dyDescent="0.25">
      <c r="A21" s="82">
        <f t="shared" si="18"/>
        <v>15</v>
      </c>
      <c r="B21" s="79"/>
      <c r="C21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  <c r="P21" s="96"/>
      <c r="Q21" s="96"/>
      <c r="R21" s="95"/>
      <c r="S21" s="95"/>
      <c r="T21" s="97"/>
    </row>
    <row r="22" spans="1:20" ht="15.75" thickBot="1" x14ac:dyDescent="0.3">
      <c r="A22" s="82">
        <f t="shared" si="18"/>
        <v>16</v>
      </c>
      <c r="B22" s="79" t="s">
        <v>260</v>
      </c>
      <c r="C22" s="91">
        <f>ROUND(+C20/12,-2)</f>
        <v>900</v>
      </c>
      <c r="D22" s="92">
        <f>+D20/12</f>
        <v>92.794166666666641</v>
      </c>
      <c r="E22" s="92">
        <f>+E20/12</f>
        <v>0</v>
      </c>
      <c r="F22" s="92">
        <f>+F20/12</f>
        <v>-2.1774999999999998</v>
      </c>
      <c r="G22" s="92">
        <f t="shared" ref="G22:S22" si="20">+G20/12</f>
        <v>5.310833333333334</v>
      </c>
      <c r="H22" s="92">
        <f t="shared" si="20"/>
        <v>0.81916666666666671</v>
      </c>
      <c r="I22" s="92">
        <f t="shared" si="20"/>
        <v>-0.30250000000000005</v>
      </c>
      <c r="J22" s="92">
        <f t="shared" si="20"/>
        <v>-2.9999999999999995E-2</v>
      </c>
      <c r="K22" s="92">
        <f t="shared" si="20"/>
        <v>3.15</v>
      </c>
      <c r="L22" s="92">
        <f t="shared" si="20"/>
        <v>0</v>
      </c>
      <c r="M22" s="92">
        <f t="shared" si="20"/>
        <v>1.0491666666666666</v>
      </c>
      <c r="N22" s="92">
        <f t="shared" si="20"/>
        <v>-6.4741666666666662</v>
      </c>
      <c r="O22" s="93">
        <f t="shared" si="20"/>
        <v>94.139166666666668</v>
      </c>
      <c r="P22" s="93">
        <f t="shared" si="20"/>
        <v>-3.15</v>
      </c>
      <c r="Q22" s="93">
        <f t="shared" si="20"/>
        <v>3.0341666666666662</v>
      </c>
      <c r="R22" s="92">
        <f t="shared" si="20"/>
        <v>-0.1158333333333333</v>
      </c>
      <c r="S22" s="92">
        <f t="shared" si="20"/>
        <v>94.023333333333355</v>
      </c>
      <c r="T22" s="94">
        <f t="shared" si="17"/>
        <v>-1.2304478298972262E-3</v>
      </c>
    </row>
    <row r="23" spans="1:20" ht="15.75" thickTop="1" x14ac:dyDescent="0.25">
      <c r="A23" s="82">
        <f t="shared" si="18"/>
        <v>17</v>
      </c>
      <c r="B23"/>
      <c r="C2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  <c r="P23" s="96"/>
      <c r="Q23" s="96"/>
      <c r="R23" s="95"/>
      <c r="S23" s="95"/>
      <c r="T23"/>
    </row>
    <row r="24" spans="1:20" ht="15" x14ac:dyDescent="0.25">
      <c r="A24" s="82">
        <f t="shared" si="18"/>
        <v>18</v>
      </c>
      <c r="B24" s="65" t="s">
        <v>57</v>
      </c>
      <c r="C24" s="65"/>
      <c r="D24" s="96">
        <f>+D20/$C$20*100</f>
        <v>10.615157292659672</v>
      </c>
      <c r="E24" s="96">
        <f t="shared" ref="E24:S24" si="21">+E20/$C$20*100</f>
        <v>0</v>
      </c>
      <c r="F24" s="96">
        <f t="shared" si="21"/>
        <v>-0.2490943755958055</v>
      </c>
      <c r="G24" s="96">
        <f t="shared" si="21"/>
        <v>0.60753098188751198</v>
      </c>
      <c r="H24" s="96">
        <f t="shared" si="21"/>
        <v>9.3708293612964733E-2</v>
      </c>
      <c r="I24" s="96">
        <f t="shared" si="21"/>
        <v>-3.4604385128693994E-2</v>
      </c>
      <c r="J24" s="96">
        <f t="shared" si="21"/>
        <v>-3.4318398474737838E-3</v>
      </c>
      <c r="K24" s="96">
        <f t="shared" si="21"/>
        <v>0.36034318398474735</v>
      </c>
      <c r="L24" s="96">
        <f t="shared" si="21"/>
        <v>0</v>
      </c>
      <c r="M24" s="96">
        <f t="shared" si="21"/>
        <v>0.12001906577693042</v>
      </c>
      <c r="N24" s="96">
        <f t="shared" si="21"/>
        <v>-0.74061010486177314</v>
      </c>
      <c r="O24" s="96">
        <f t="shared" si="21"/>
        <v>10.769018112488085</v>
      </c>
      <c r="P24" s="96">
        <f t="shared" si="21"/>
        <v>-0.36034318398474735</v>
      </c>
      <c r="Q24" s="96">
        <f t="shared" si="21"/>
        <v>0.34709246901811247</v>
      </c>
      <c r="R24" s="96">
        <f t="shared" si="21"/>
        <v>-1.3250714966634887E-2</v>
      </c>
      <c r="S24" s="96">
        <f t="shared" si="21"/>
        <v>10.755767397521451</v>
      </c>
      <c r="T24"/>
    </row>
    <row r="25" spans="1:20" ht="15" x14ac:dyDescent="0.25">
      <c r="A25" s="82">
        <f t="shared" si="18"/>
        <v>19</v>
      </c>
      <c r="B25"/>
      <c r="C2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  <c r="P25" s="96"/>
      <c r="Q25" s="96"/>
      <c r="R25" s="95"/>
      <c r="S25" s="95"/>
      <c r="T25"/>
    </row>
    <row r="26" spans="1:20" ht="15.75" thickBot="1" x14ac:dyDescent="0.3">
      <c r="A26" s="82">
        <f t="shared" si="18"/>
        <v>20</v>
      </c>
      <c r="B26" s="83" t="s">
        <v>150</v>
      </c>
      <c r="C26" s="91">
        <v>1000</v>
      </c>
      <c r="D26" s="92">
        <f>ROUND($G$31+IF($C26&gt;600,(600*$G$35+(($C26-600)*$G$42)),$C26*$G$35),2)</f>
        <v>106.79</v>
      </c>
      <c r="E26" s="92">
        <f>ROUND($C26*$G$53,2)</f>
        <v>0</v>
      </c>
      <c r="F26" s="92">
        <f>ROUND($C26*$G$54,2)</f>
        <v>-2.4900000000000002</v>
      </c>
      <c r="G26" s="92">
        <f>ROUND($C26*$G$55,2)</f>
        <v>6.08</v>
      </c>
      <c r="H26" s="92">
        <f>ROUND($C26*$G$36,2)</f>
        <v>0.94</v>
      </c>
      <c r="I26" s="92">
        <f>ROUND($C26*$G$56,2)</f>
        <v>-0.35</v>
      </c>
      <c r="J26" s="92">
        <f>ROUND($C26*$G$57,2)</f>
        <v>-0.04</v>
      </c>
      <c r="K26" s="92">
        <f>ROUND($C26*$G$37,2)</f>
        <v>3.6</v>
      </c>
      <c r="L26" s="92">
        <f>ROUND($G$32+IF($C26&gt;600,(600*$G$38+(($C26-600)*$G$45)),$C26*$G$35),2)</f>
        <v>0</v>
      </c>
      <c r="M26" s="92">
        <f>ROUND($C26*$G$39,2)</f>
        <v>1.2</v>
      </c>
      <c r="N26" s="92">
        <f>ROUND($C26*$G$49,2)</f>
        <v>-7.41</v>
      </c>
      <c r="O26" s="93">
        <f>SUM(D26:N26)</f>
        <v>108.32000000000001</v>
      </c>
      <c r="P26" s="93">
        <f t="shared" ref="P26" si="22">-SUM(K26)</f>
        <v>-3.6</v>
      </c>
      <c r="Q26" s="93">
        <f t="shared" ref="Q26" si="23">+ROUND($C26*$H$44,2)</f>
        <v>3.47</v>
      </c>
      <c r="R26" s="92">
        <f>SUM(P26:Q26)</f>
        <v>-0.12999999999999989</v>
      </c>
      <c r="S26" s="92">
        <f>+O26+R26</f>
        <v>108.19000000000001</v>
      </c>
      <c r="T26" s="94">
        <f>+R26/O26</f>
        <v>-1.2001477104874436E-3</v>
      </c>
    </row>
    <row r="27" spans="1:20" ht="15.75" thickTop="1" x14ac:dyDescent="0.25">
      <c r="A27" s="82">
        <f t="shared" si="18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x14ac:dyDescent="0.25">
      <c r="A28" s="82">
        <f t="shared" si="18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60" x14ac:dyDescent="0.25">
      <c r="A29" s="82">
        <f t="shared" si="18"/>
        <v>23</v>
      </c>
      <c r="B29" s="98" t="s">
        <v>151</v>
      </c>
      <c r="C29" s="80"/>
      <c r="D29" s="80"/>
      <c r="E29" s="80"/>
      <c r="F29"/>
      <c r="G29" s="99" t="s">
        <v>183</v>
      </c>
      <c r="H29" s="100" t="s">
        <v>184</v>
      </c>
      <c r="I29" s="69"/>
      <c r="J29" s="69"/>
      <c r="K29" s="69"/>
      <c r="L29" s="69"/>
      <c r="M29" s="69"/>
      <c r="N29" s="69"/>
      <c r="O29"/>
      <c r="P29"/>
      <c r="Q29"/>
      <c r="R29"/>
      <c r="S29"/>
      <c r="T29"/>
    </row>
    <row r="30" spans="1:20" ht="15" x14ac:dyDescent="0.25">
      <c r="A30" s="82">
        <f t="shared" si="18"/>
        <v>24</v>
      </c>
      <c r="B30" s="233" t="s">
        <v>56</v>
      </c>
      <c r="C30" s="233"/>
      <c r="D30" s="233"/>
      <c r="E30" s="233"/>
      <c r="F30"/>
      <c r="G30" s="101"/>
      <c r="H30" s="102"/>
      <c r="I30" s="69"/>
      <c r="J30" s="69"/>
      <c r="K30" s="69"/>
      <c r="L30" s="69"/>
      <c r="M30" s="69"/>
      <c r="N30" s="69"/>
      <c r="O30"/>
      <c r="P30"/>
      <c r="Q30"/>
      <c r="R30"/>
      <c r="S30"/>
      <c r="T30"/>
    </row>
    <row r="31" spans="1:20" ht="15" x14ac:dyDescent="0.25">
      <c r="A31" s="82">
        <f t="shared" si="18"/>
        <v>25</v>
      </c>
      <c r="B31" s="236" t="s">
        <v>152</v>
      </c>
      <c r="C31" s="236"/>
      <c r="D31" s="236"/>
      <c r="E31" s="236"/>
      <c r="F31"/>
      <c r="G31" s="127">
        <v>7.49</v>
      </c>
      <c r="H31" s="128">
        <f>+G31</f>
        <v>7.49</v>
      </c>
      <c r="I31" s="69" t="s">
        <v>43</v>
      </c>
      <c r="J31" s="69"/>
      <c r="K31" s="69"/>
      <c r="L31" s="69"/>
      <c r="M31" s="69"/>
      <c r="N31" s="69"/>
      <c r="O31"/>
      <c r="P31"/>
      <c r="Q31"/>
      <c r="R31"/>
      <c r="S31"/>
      <c r="T31"/>
    </row>
    <row r="32" spans="1:20" ht="15" x14ac:dyDescent="0.25">
      <c r="A32" s="82">
        <f t="shared" si="18"/>
        <v>26</v>
      </c>
      <c r="B32" s="236" t="s">
        <v>44</v>
      </c>
      <c r="C32" s="236"/>
      <c r="D32" s="236"/>
      <c r="E32" s="236"/>
      <c r="F32"/>
      <c r="G32" s="129">
        <v>0</v>
      </c>
      <c r="H32" s="130">
        <f>+G32</f>
        <v>0</v>
      </c>
      <c r="I32" s="69" t="s">
        <v>43</v>
      </c>
      <c r="J32" s="69"/>
      <c r="K32" s="69"/>
      <c r="L32" s="69"/>
      <c r="M32" s="69"/>
      <c r="N32" s="69"/>
      <c r="O32"/>
      <c r="P32"/>
      <c r="Q32"/>
      <c r="R32"/>
      <c r="S32"/>
      <c r="T32"/>
    </row>
    <row r="33" spans="1:20" ht="15.75" thickBot="1" x14ac:dyDescent="0.3">
      <c r="A33" s="82">
        <f t="shared" si="18"/>
        <v>27</v>
      </c>
      <c r="B33" s="234" t="s">
        <v>99</v>
      </c>
      <c r="C33" s="234"/>
      <c r="D33" s="234"/>
      <c r="E33" s="234"/>
      <c r="F33"/>
      <c r="G33" s="131">
        <f>SUM(G31:G32)</f>
        <v>7.49</v>
      </c>
      <c r="H33" s="132">
        <f>SUM(H31:H32)</f>
        <v>7.49</v>
      </c>
      <c r="I33" s="69"/>
      <c r="J33" s="69"/>
      <c r="K33" s="69"/>
      <c r="L33" s="69"/>
      <c r="M33" s="69"/>
      <c r="N33" s="69"/>
      <c r="O33"/>
      <c r="P33"/>
      <c r="Q33"/>
      <c r="R33"/>
      <c r="S33"/>
      <c r="T33"/>
    </row>
    <row r="34" spans="1:20" ht="15.75" thickTop="1" x14ac:dyDescent="0.25">
      <c r="A34" s="82">
        <f t="shared" si="18"/>
        <v>28</v>
      </c>
      <c r="B34" s="233" t="s">
        <v>55</v>
      </c>
      <c r="C34" s="233"/>
      <c r="D34" s="233"/>
      <c r="E34" s="233"/>
      <c r="F34"/>
      <c r="G34" s="81"/>
      <c r="H34" s="103"/>
      <c r="I34" s="69"/>
      <c r="J34" s="69"/>
      <c r="K34" s="69"/>
      <c r="L34" s="69"/>
      <c r="M34" s="69"/>
      <c r="N34" s="69"/>
      <c r="O34"/>
      <c r="P34"/>
      <c r="Q34"/>
      <c r="R34"/>
      <c r="S34"/>
      <c r="T34"/>
    </row>
    <row r="35" spans="1:20" ht="15" x14ac:dyDescent="0.25">
      <c r="A35" s="82">
        <f t="shared" si="18"/>
        <v>29</v>
      </c>
      <c r="B35" s="236" t="s">
        <v>54</v>
      </c>
      <c r="C35" s="236"/>
      <c r="D35" s="236"/>
      <c r="E35" s="236"/>
      <c r="F35"/>
      <c r="G35" s="133">
        <v>9.1361999999999999E-2</v>
      </c>
      <c r="H35" s="134">
        <f>+G35</f>
        <v>9.1361999999999999E-2</v>
      </c>
      <c r="I35" s="69" t="s">
        <v>100</v>
      </c>
      <c r="J35" s="69"/>
      <c r="K35" s="69"/>
      <c r="L35" s="69"/>
      <c r="M35" s="69"/>
      <c r="N35" s="69"/>
      <c r="O35"/>
      <c r="P35"/>
      <c r="Q35"/>
      <c r="R35"/>
      <c r="S35"/>
      <c r="T35"/>
    </row>
    <row r="36" spans="1:20" ht="15" x14ac:dyDescent="0.25">
      <c r="A36" s="82">
        <f t="shared" si="18"/>
        <v>30</v>
      </c>
      <c r="B36" s="236" t="s">
        <v>49</v>
      </c>
      <c r="C36" s="236"/>
      <c r="D36" s="236"/>
      <c r="E36" s="236"/>
      <c r="F36"/>
      <c r="G36" s="133">
        <v>9.3700000000000001E-4</v>
      </c>
      <c r="H36" s="134">
        <f>+G36</f>
        <v>9.3700000000000001E-4</v>
      </c>
      <c r="I36" s="69" t="s">
        <v>100</v>
      </c>
      <c r="J36" s="69"/>
      <c r="K36" s="69"/>
      <c r="L36" s="69"/>
      <c r="M36" s="69"/>
      <c r="N36" s="69"/>
      <c r="O36"/>
      <c r="P36"/>
      <c r="Q36"/>
      <c r="R36"/>
      <c r="S36"/>
      <c r="T36"/>
    </row>
    <row r="37" spans="1:20" ht="15" x14ac:dyDescent="0.25">
      <c r="A37" s="82">
        <f t="shared" si="18"/>
        <v>31</v>
      </c>
      <c r="B37" s="236" t="s">
        <v>45</v>
      </c>
      <c r="C37" s="236"/>
      <c r="D37" s="236"/>
      <c r="E37" s="236"/>
      <c r="F37"/>
      <c r="G37" s="133">
        <v>3.604E-3</v>
      </c>
      <c r="H37" s="134">
        <f>+G37</f>
        <v>3.604E-3</v>
      </c>
      <c r="I37" s="70" t="s">
        <v>100</v>
      </c>
      <c r="J37" s="70"/>
      <c r="K37" s="70"/>
      <c r="L37" s="125"/>
      <c r="M37" s="69"/>
      <c r="N37" s="69"/>
      <c r="O37"/>
      <c r="P37"/>
      <c r="Q37"/>
      <c r="R37"/>
      <c r="S37"/>
      <c r="T37"/>
    </row>
    <row r="38" spans="1:20" ht="15" x14ac:dyDescent="0.25">
      <c r="A38" s="82">
        <f t="shared" si="18"/>
        <v>32</v>
      </c>
      <c r="B38" s="236" t="s">
        <v>42</v>
      </c>
      <c r="C38" s="236"/>
      <c r="D38" s="236"/>
      <c r="E38" s="236"/>
      <c r="F38"/>
      <c r="G38" s="133">
        <v>0</v>
      </c>
      <c r="H38" s="134">
        <f>+G38</f>
        <v>0</v>
      </c>
      <c r="I38" s="70" t="s">
        <v>100</v>
      </c>
      <c r="J38" s="70"/>
      <c r="K38" s="70"/>
      <c r="L38" s="69"/>
      <c r="M38" s="69"/>
      <c r="N38" s="69"/>
      <c r="O38"/>
      <c r="P38"/>
      <c r="Q38"/>
      <c r="R38"/>
      <c r="S38"/>
      <c r="T38"/>
    </row>
    <row r="39" spans="1:20" ht="15" x14ac:dyDescent="0.25">
      <c r="A39" s="82">
        <f t="shared" si="18"/>
        <v>33</v>
      </c>
      <c r="B39" s="236" t="s">
        <v>40</v>
      </c>
      <c r="C39" s="236"/>
      <c r="D39" s="236"/>
      <c r="E39" s="236"/>
      <c r="F39"/>
      <c r="G39" s="133">
        <v>1.201E-3</v>
      </c>
      <c r="H39" s="134">
        <f>+G39</f>
        <v>1.201E-3</v>
      </c>
      <c r="I39" s="70" t="s">
        <v>100</v>
      </c>
      <c r="J39" s="70"/>
      <c r="K39" s="70"/>
      <c r="L39" s="69"/>
      <c r="M39" s="69"/>
      <c r="N39" s="69"/>
      <c r="O39"/>
      <c r="P39"/>
      <c r="Q39"/>
      <c r="R39"/>
      <c r="S39"/>
      <c r="T39"/>
    </row>
    <row r="40" spans="1:20" ht="15.75" thickBot="1" x14ac:dyDescent="0.3">
      <c r="A40" s="82">
        <f t="shared" si="18"/>
        <v>34</v>
      </c>
      <c r="B40" s="234" t="s">
        <v>101</v>
      </c>
      <c r="C40" s="234"/>
      <c r="D40" s="234"/>
      <c r="E40" s="234"/>
      <c r="F40"/>
      <c r="G40" s="135">
        <f>SUM(G35:G39)</f>
        <v>9.7103999999999982E-2</v>
      </c>
      <c r="H40" s="136">
        <f>SUM(H35:H39)</f>
        <v>9.7103999999999982E-2</v>
      </c>
      <c r="I40" s="70" t="s">
        <v>100</v>
      </c>
      <c r="J40" s="70"/>
      <c r="K40" s="70"/>
      <c r="L40" s="69"/>
      <c r="M40" s="69"/>
      <c r="N40" s="69"/>
      <c r="O40"/>
      <c r="P40"/>
      <c r="Q40"/>
      <c r="R40"/>
      <c r="S40"/>
      <c r="T40"/>
    </row>
    <row r="41" spans="1:20" ht="15.75" thickTop="1" x14ac:dyDescent="0.25">
      <c r="A41" s="82">
        <f t="shared" si="18"/>
        <v>35</v>
      </c>
      <c r="B41" s="233"/>
      <c r="C41" s="233"/>
      <c r="D41" s="233"/>
      <c r="E41" s="233"/>
      <c r="F41"/>
      <c r="G41" s="133"/>
      <c r="H41" s="134"/>
      <c r="I41" s="69"/>
      <c r="J41" s="69"/>
      <c r="K41" s="69"/>
      <c r="L41" s="69"/>
      <c r="M41" s="69"/>
      <c r="N41" s="69"/>
      <c r="O41"/>
      <c r="P41"/>
      <c r="Q41"/>
      <c r="R41"/>
      <c r="S41"/>
      <c r="T41"/>
    </row>
    <row r="42" spans="1:20" ht="15" x14ac:dyDescent="0.25">
      <c r="A42" s="82">
        <f t="shared" si="18"/>
        <v>36</v>
      </c>
      <c r="B42" s="233" t="s">
        <v>53</v>
      </c>
      <c r="C42" s="233"/>
      <c r="D42" s="233"/>
      <c r="E42" s="233"/>
      <c r="F42"/>
      <c r="G42" s="133">
        <v>0.111197</v>
      </c>
      <c r="H42" s="134">
        <f>+G42</f>
        <v>0.111197</v>
      </c>
      <c r="I42" s="69" t="s">
        <v>100</v>
      </c>
      <c r="J42" s="69"/>
      <c r="K42" s="69"/>
      <c r="L42" s="69"/>
      <c r="M42" s="69"/>
      <c r="N42" s="69"/>
      <c r="O42"/>
      <c r="P42"/>
      <c r="Q42"/>
      <c r="R42"/>
      <c r="S42"/>
      <c r="T42"/>
    </row>
    <row r="43" spans="1:20" ht="15" x14ac:dyDescent="0.25">
      <c r="A43" s="82">
        <f t="shared" si="18"/>
        <v>37</v>
      </c>
      <c r="B43" s="236" t="s">
        <v>49</v>
      </c>
      <c r="C43" s="236"/>
      <c r="D43" s="236"/>
      <c r="E43" s="236"/>
      <c r="F43"/>
      <c r="G43" s="133">
        <f>+G36</f>
        <v>9.3700000000000001E-4</v>
      </c>
      <c r="H43" s="134">
        <f>+G43</f>
        <v>9.3700000000000001E-4</v>
      </c>
      <c r="I43" s="69" t="s">
        <v>100</v>
      </c>
      <c r="J43" s="69"/>
      <c r="K43" s="69"/>
      <c r="L43" s="69"/>
      <c r="M43" s="69"/>
      <c r="N43" s="69"/>
      <c r="O43"/>
      <c r="P43"/>
      <c r="Q43"/>
      <c r="R43"/>
      <c r="S43"/>
      <c r="T43"/>
    </row>
    <row r="44" spans="1:20" ht="15" x14ac:dyDescent="0.25">
      <c r="A44" s="82">
        <f t="shared" si="18"/>
        <v>38</v>
      </c>
      <c r="B44" s="236" t="s">
        <v>45</v>
      </c>
      <c r="C44" s="236"/>
      <c r="D44" s="236"/>
      <c r="E44" s="236"/>
      <c r="F44"/>
      <c r="G44" s="137">
        <f>+'2018 Prop Tax Rate Impacts'!F8</f>
        <v>3.6039999999999996E-3</v>
      </c>
      <c r="H44" s="137">
        <f>+'2018 Prop Tax Rate Impacts'!G8</f>
        <v>3.4720000000000003E-3</v>
      </c>
      <c r="I44" s="69" t="s">
        <v>100</v>
      </c>
      <c r="J44" s="69"/>
      <c r="K44" s="69"/>
      <c r="L44" s="69"/>
      <c r="M44" s="69"/>
      <c r="N44" s="69"/>
      <c r="O44"/>
      <c r="P44"/>
      <c r="Q44"/>
      <c r="R44"/>
      <c r="S44"/>
      <c r="T44"/>
    </row>
    <row r="45" spans="1:20" ht="15" x14ac:dyDescent="0.25">
      <c r="A45" s="82">
        <f t="shared" si="18"/>
        <v>39</v>
      </c>
      <c r="B45" s="236" t="s">
        <v>41</v>
      </c>
      <c r="C45" s="236"/>
      <c r="D45" s="236"/>
      <c r="E45" s="236"/>
      <c r="F45"/>
      <c r="G45" s="133">
        <f t="shared" ref="G45:G46" si="24">+G38</f>
        <v>0</v>
      </c>
      <c r="H45" s="134">
        <f>+G45</f>
        <v>0</v>
      </c>
      <c r="I45" s="70" t="s">
        <v>100</v>
      </c>
      <c r="J45" s="70"/>
      <c r="K45" s="70"/>
      <c r="L45" s="69"/>
      <c r="M45" s="69"/>
      <c r="N45" s="69"/>
      <c r="O45"/>
      <c r="P45"/>
      <c r="Q45"/>
      <c r="R45"/>
      <c r="S45"/>
      <c r="T45"/>
    </row>
    <row r="46" spans="1:20" ht="15" x14ac:dyDescent="0.25">
      <c r="A46" s="82">
        <f t="shared" si="18"/>
        <v>40</v>
      </c>
      <c r="B46" s="236" t="s">
        <v>40</v>
      </c>
      <c r="C46" s="236"/>
      <c r="D46" s="236"/>
      <c r="E46" s="236"/>
      <c r="F46"/>
      <c r="G46" s="133">
        <f t="shared" si="24"/>
        <v>1.201E-3</v>
      </c>
      <c r="H46" s="134">
        <f>+G46</f>
        <v>1.201E-3</v>
      </c>
      <c r="I46" s="70" t="s">
        <v>100</v>
      </c>
      <c r="J46" s="70"/>
      <c r="K46" s="70"/>
      <c r="L46" s="69"/>
      <c r="M46" s="69"/>
      <c r="N46" s="69"/>
      <c r="O46"/>
      <c r="P46"/>
      <c r="Q46"/>
      <c r="R46"/>
      <c r="S46"/>
      <c r="T46"/>
    </row>
    <row r="47" spans="1:20" ht="15.75" thickBot="1" x14ac:dyDescent="0.3">
      <c r="A47" s="82">
        <f t="shared" si="18"/>
        <v>41</v>
      </c>
      <c r="B47" s="234" t="s">
        <v>102</v>
      </c>
      <c r="C47" s="234"/>
      <c r="D47" s="234"/>
      <c r="E47" s="234"/>
      <c r="F47"/>
      <c r="G47" s="135">
        <f>SUM(G42:G46)</f>
        <v>0.11693899999999999</v>
      </c>
      <c r="H47" s="136">
        <f>SUM(H42:H46)</f>
        <v>0.11680699999999999</v>
      </c>
      <c r="I47" s="70" t="s">
        <v>100</v>
      </c>
      <c r="J47" s="70"/>
      <c r="K47" s="70"/>
      <c r="L47" s="69"/>
      <c r="M47" s="69"/>
      <c r="N47" s="69"/>
      <c r="O47"/>
      <c r="P47"/>
      <c r="Q47"/>
      <c r="R47"/>
      <c r="S47"/>
      <c r="T47"/>
    </row>
    <row r="48" spans="1:20" ht="15.75" thickTop="1" x14ac:dyDescent="0.25">
      <c r="A48" s="82">
        <f t="shared" si="18"/>
        <v>42</v>
      </c>
      <c r="B48" s="233"/>
      <c r="C48" s="233"/>
      <c r="D48" s="233"/>
      <c r="E48" s="233"/>
      <c r="F48"/>
      <c r="G48" s="133"/>
      <c r="H48" s="134"/>
      <c r="I48" s="70"/>
      <c r="J48" s="70"/>
      <c r="K48" s="70"/>
      <c r="L48" s="69"/>
      <c r="M48" s="69"/>
      <c r="N48" s="69"/>
      <c r="O48"/>
      <c r="P48"/>
      <c r="Q48"/>
      <c r="R48"/>
      <c r="S48"/>
      <c r="T48"/>
    </row>
    <row r="49" spans="1:20" ht="15" x14ac:dyDescent="0.25">
      <c r="A49" s="82">
        <f t="shared" si="18"/>
        <v>43</v>
      </c>
      <c r="B49" s="234" t="s">
        <v>39</v>
      </c>
      <c r="C49" s="234"/>
      <c r="D49" s="234"/>
      <c r="E49" s="234"/>
      <c r="F49"/>
      <c r="G49" s="133">
        <v>-7.4060000000000003E-3</v>
      </c>
      <c r="H49" s="134">
        <f>+G49</f>
        <v>-7.4060000000000003E-3</v>
      </c>
      <c r="I49" s="70" t="s">
        <v>100</v>
      </c>
      <c r="J49" s="70"/>
      <c r="K49" s="70"/>
      <c r="L49" s="69"/>
      <c r="M49" s="69"/>
      <c r="N49" s="69"/>
      <c r="O49"/>
      <c r="P49"/>
      <c r="Q49"/>
      <c r="R49"/>
      <c r="S49"/>
      <c r="T49"/>
    </row>
    <row r="50" spans="1:20" ht="15" x14ac:dyDescent="0.25">
      <c r="A50" s="82">
        <f t="shared" si="18"/>
        <v>44</v>
      </c>
      <c r="B50" s="234" t="s">
        <v>47</v>
      </c>
      <c r="C50" s="234"/>
      <c r="D50" s="234"/>
      <c r="E50" s="234"/>
      <c r="F50"/>
      <c r="G50" s="133">
        <v>0</v>
      </c>
      <c r="H50" s="134">
        <f>+G50</f>
        <v>0</v>
      </c>
      <c r="I50" s="70" t="s">
        <v>100</v>
      </c>
      <c r="J50"/>
      <c r="K50"/>
      <c r="L50" s="69"/>
      <c r="M50" s="69"/>
      <c r="N50" s="69"/>
      <c r="O50"/>
      <c r="P50"/>
      <c r="Q50"/>
      <c r="R50"/>
      <c r="S50"/>
      <c r="T50"/>
    </row>
    <row r="51" spans="1:20" ht="15" x14ac:dyDescent="0.25">
      <c r="A51" s="82">
        <f t="shared" si="18"/>
        <v>45</v>
      </c>
      <c r="B51" s="233"/>
      <c r="C51" s="233"/>
      <c r="D51" s="233"/>
      <c r="E51" s="233"/>
      <c r="F51"/>
      <c r="G51" s="133"/>
      <c r="H51" s="134"/>
      <c r="I51"/>
      <c r="J51" s="69"/>
      <c r="K51" s="69"/>
      <c r="L51" s="69"/>
      <c r="M51" s="69"/>
      <c r="N51" s="69"/>
      <c r="O51"/>
      <c r="P51"/>
      <c r="Q51"/>
      <c r="R51"/>
      <c r="S51"/>
      <c r="T51"/>
    </row>
    <row r="52" spans="1:20" ht="15" x14ac:dyDescent="0.25">
      <c r="A52" s="82">
        <f t="shared" si="18"/>
        <v>46</v>
      </c>
      <c r="B52" s="233" t="s">
        <v>153</v>
      </c>
      <c r="C52" s="233"/>
      <c r="D52" s="233"/>
      <c r="E52" s="233"/>
      <c r="F52"/>
      <c r="G52" s="133"/>
      <c r="H52" s="134"/>
      <c r="I52" s="69" t="s">
        <v>100</v>
      </c>
      <c r="J52" s="69"/>
      <c r="K52" s="69"/>
      <c r="L52" s="69"/>
      <c r="M52" s="69"/>
      <c r="N52" s="69"/>
      <c r="O52"/>
      <c r="P52"/>
      <c r="Q52"/>
      <c r="R52"/>
      <c r="S52"/>
      <c r="T52"/>
    </row>
    <row r="53" spans="1:20" ht="15" x14ac:dyDescent="0.25">
      <c r="A53" s="82">
        <f t="shared" si="18"/>
        <v>47</v>
      </c>
      <c r="B53" s="236" t="s">
        <v>52</v>
      </c>
      <c r="C53" s="236"/>
      <c r="D53" s="236"/>
      <c r="E53" s="236"/>
      <c r="F53" s="65"/>
      <c r="G53" s="133">
        <v>0</v>
      </c>
      <c r="H53" s="134">
        <f>+G53</f>
        <v>0</v>
      </c>
      <c r="I53" s="69" t="s">
        <v>100</v>
      </c>
      <c r="J53" s="70"/>
      <c r="K53" s="70"/>
      <c r="L53" s="70"/>
      <c r="M53" s="70"/>
      <c r="N53" s="70"/>
      <c r="O53" s="65"/>
      <c r="P53" s="65"/>
      <c r="Q53" s="65"/>
      <c r="R53" s="65"/>
      <c r="S53" s="65"/>
      <c r="T53" s="65"/>
    </row>
    <row r="54" spans="1:20" ht="15" x14ac:dyDescent="0.25">
      <c r="A54" s="82">
        <f t="shared" si="18"/>
        <v>48</v>
      </c>
      <c r="B54" s="236" t="s">
        <v>51</v>
      </c>
      <c r="C54" s="236"/>
      <c r="D54" s="236"/>
      <c r="E54" s="236"/>
      <c r="F54"/>
      <c r="G54" s="133">
        <v>-2.4910000000000002E-3</v>
      </c>
      <c r="H54" s="134">
        <f>+G54</f>
        <v>-2.4910000000000002E-3</v>
      </c>
      <c r="I54" s="70" t="s">
        <v>100</v>
      </c>
      <c r="J54" s="70"/>
      <c r="K54" s="70"/>
      <c r="L54" s="69"/>
      <c r="M54" s="69"/>
      <c r="N54" s="69"/>
      <c r="O54"/>
      <c r="P54"/>
      <c r="Q54"/>
      <c r="R54"/>
      <c r="S54"/>
      <c r="T54"/>
    </row>
    <row r="55" spans="1:20" ht="15" x14ac:dyDescent="0.25">
      <c r="A55" s="82">
        <f t="shared" si="18"/>
        <v>49</v>
      </c>
      <c r="B55" s="236" t="s">
        <v>50</v>
      </c>
      <c r="C55" s="236"/>
      <c r="D55" s="236"/>
      <c r="E55" s="236"/>
      <c r="F55"/>
      <c r="G55" s="133">
        <v>6.0749999999999997E-3</v>
      </c>
      <c r="H55" s="134">
        <f>+G55</f>
        <v>6.0749999999999997E-3</v>
      </c>
      <c r="I55" s="70" t="s">
        <v>100</v>
      </c>
      <c r="J55" s="70"/>
      <c r="K55" s="70"/>
      <c r="L55" s="69"/>
      <c r="M55" s="69"/>
      <c r="N55" s="69"/>
      <c r="O55"/>
      <c r="P55"/>
      <c r="Q55"/>
      <c r="R55"/>
      <c r="S55"/>
      <c r="T55"/>
    </row>
    <row r="56" spans="1:20" ht="15" x14ac:dyDescent="0.25">
      <c r="A56" s="82">
        <f t="shared" si="18"/>
        <v>50</v>
      </c>
      <c r="B56" s="236" t="s">
        <v>48</v>
      </c>
      <c r="C56" s="236"/>
      <c r="D56" s="236"/>
      <c r="E56" s="236"/>
      <c r="F56"/>
      <c r="G56" s="133">
        <v>-3.4600000000000001E-4</v>
      </c>
      <c r="H56" s="134">
        <f t="shared" ref="H56:H57" si="25">+G56</f>
        <v>-3.4600000000000001E-4</v>
      </c>
      <c r="I56" s="70" t="s">
        <v>100</v>
      </c>
      <c r="J56" s="70"/>
      <c r="K56" s="70"/>
      <c r="L56" s="69"/>
      <c r="M56" s="69"/>
      <c r="N56" s="69"/>
      <c r="O56"/>
      <c r="P56"/>
      <c r="Q56"/>
      <c r="R56"/>
      <c r="S56"/>
      <c r="T56"/>
    </row>
    <row r="57" spans="1:20" ht="15" x14ac:dyDescent="0.25">
      <c r="A57" s="82">
        <f t="shared" si="18"/>
        <v>51</v>
      </c>
      <c r="B57" s="236" t="s">
        <v>46</v>
      </c>
      <c r="C57" s="236"/>
      <c r="D57" s="236"/>
      <c r="E57" s="236"/>
      <c r="F57"/>
      <c r="G57" s="133">
        <v>-3.4999999999999997E-5</v>
      </c>
      <c r="H57" s="134">
        <f t="shared" si="25"/>
        <v>-3.4999999999999997E-5</v>
      </c>
      <c r="I57" s="70" t="s">
        <v>100</v>
      </c>
      <c r="J57" s="70"/>
      <c r="K57" s="70"/>
      <c r="L57" s="69"/>
      <c r="M57" s="69"/>
      <c r="N57" s="69"/>
      <c r="O57"/>
      <c r="P57"/>
      <c r="Q57"/>
      <c r="R57"/>
      <c r="S57"/>
      <c r="T57"/>
    </row>
    <row r="58" spans="1:20" ht="15.75" thickBot="1" x14ac:dyDescent="0.3">
      <c r="A58" s="82">
        <f t="shared" si="18"/>
        <v>52</v>
      </c>
      <c r="B58" s="234" t="s">
        <v>154</v>
      </c>
      <c r="C58" s="234"/>
      <c r="D58" s="234"/>
      <c r="E58" s="234"/>
      <c r="F58"/>
      <c r="G58" s="135">
        <f>SUM(G53:G57)</f>
        <v>3.2029999999999997E-3</v>
      </c>
      <c r="H58" s="136">
        <f>SUM(H53:H57)</f>
        <v>3.2029999999999997E-3</v>
      </c>
      <c r="I58" s="70" t="s">
        <v>100</v>
      </c>
      <c r="J58"/>
      <c r="K58"/>
      <c r="L58"/>
      <c r="M58"/>
      <c r="N58"/>
      <c r="O58"/>
      <c r="P58"/>
      <c r="Q58"/>
      <c r="R58"/>
      <c r="S58"/>
      <c r="T58"/>
    </row>
    <row r="59" spans="1:20" ht="15.75" thickTop="1" x14ac:dyDescent="0.25">
      <c r="A59" s="82">
        <f t="shared" si="18"/>
        <v>53</v>
      </c>
      <c r="B59" s="233"/>
      <c r="C59" s="233"/>
      <c r="D59" s="233"/>
      <c r="E59" s="233"/>
      <c r="F59"/>
      <c r="G59" s="81"/>
      <c r="H59" s="103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x14ac:dyDescent="0.25">
      <c r="A60" s="82">
        <f t="shared" si="18"/>
        <v>54</v>
      </c>
      <c r="B60" s="234" t="s">
        <v>155</v>
      </c>
      <c r="C60" s="234"/>
      <c r="D60" s="234"/>
      <c r="E60" s="234"/>
      <c r="F60"/>
      <c r="G60" s="104">
        <f>SUM(G40,G49:G50,G58)</f>
        <v>9.2900999999999984E-2</v>
      </c>
      <c r="H60" s="105">
        <f>SUM(H40,H49:H50,H58)</f>
        <v>9.2900999999999984E-2</v>
      </c>
      <c r="I60" s="70" t="s">
        <v>100</v>
      </c>
      <c r="J60"/>
      <c r="K60"/>
      <c r="L60"/>
      <c r="M60"/>
      <c r="N60"/>
      <c r="O60"/>
      <c r="P60"/>
      <c r="Q60"/>
      <c r="R60"/>
      <c r="S60"/>
      <c r="T60"/>
    </row>
    <row r="61" spans="1:20" ht="15" x14ac:dyDescent="0.25">
      <c r="A61" s="82">
        <f t="shared" si="18"/>
        <v>55</v>
      </c>
      <c r="B61" s="234" t="s">
        <v>156</v>
      </c>
      <c r="C61" s="234"/>
      <c r="D61" s="234"/>
      <c r="E61" s="234"/>
      <c r="F61"/>
      <c r="G61" s="106">
        <f>SUM(G47,G49:G50,G58)</f>
        <v>0.11273599999999999</v>
      </c>
      <c r="H61" s="107">
        <f>SUM(H47,H49:H50,H58)</f>
        <v>0.112604</v>
      </c>
      <c r="I61" s="70" t="s">
        <v>100</v>
      </c>
      <c r="J61"/>
      <c r="K61"/>
      <c r="L61"/>
      <c r="M61"/>
      <c r="N61"/>
      <c r="O61"/>
      <c r="P61"/>
      <c r="Q61"/>
      <c r="R61"/>
      <c r="S61"/>
      <c r="T61"/>
    </row>
    <row r="62" spans="1:20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5" x14ac:dyDescent="0.25">
      <c r="A65"/>
      <c r="B65"/>
      <c r="C65" s="235" t="s">
        <v>185</v>
      </c>
      <c r="D65" s="235"/>
      <c r="E65" s="23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60" x14ac:dyDescent="0.25">
      <c r="A66"/>
      <c r="B66" s="108"/>
      <c r="C66" s="109" t="s">
        <v>157</v>
      </c>
      <c r="D66" s="109" t="s">
        <v>158</v>
      </c>
      <c r="E66" s="109" t="s">
        <v>159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</row>
    <row r="67" spans="1:20" ht="15" x14ac:dyDescent="0.25">
      <c r="A67"/>
      <c r="B67" t="str">
        <f>+B7</f>
        <v>January</v>
      </c>
      <c r="C67" s="138">
        <v>1234636000</v>
      </c>
      <c r="D67" s="138">
        <v>1016496</v>
      </c>
      <c r="E67" s="110">
        <f>ROUND(+C67/D67,0)</f>
        <v>1215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5" x14ac:dyDescent="0.25">
      <c r="A68"/>
      <c r="B68" t="str">
        <f t="shared" ref="B68:B78" si="26">+B8</f>
        <v>February</v>
      </c>
      <c r="C68" s="138">
        <v>1029270000</v>
      </c>
      <c r="D68" s="138">
        <v>1017516</v>
      </c>
      <c r="E68" s="110">
        <f t="shared" ref="E68:E78" si="27">ROUND(+C68/D68,0)</f>
        <v>1012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5" x14ac:dyDescent="0.25">
      <c r="A69"/>
      <c r="B69" t="str">
        <f t="shared" si="26"/>
        <v>March</v>
      </c>
      <c r="C69" s="138">
        <v>1024363000</v>
      </c>
      <c r="D69" s="138">
        <v>1018388</v>
      </c>
      <c r="E69" s="110">
        <f t="shared" si="27"/>
        <v>1006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5" x14ac:dyDescent="0.25">
      <c r="A70"/>
      <c r="B70" t="str">
        <f t="shared" si="26"/>
        <v>April</v>
      </c>
      <c r="C70" s="138">
        <v>843593000</v>
      </c>
      <c r="D70" s="138">
        <v>1019192</v>
      </c>
      <c r="E70" s="110">
        <f t="shared" si="27"/>
        <v>828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5" x14ac:dyDescent="0.25">
      <c r="A71"/>
      <c r="B71" t="str">
        <f t="shared" si="26"/>
        <v>May</v>
      </c>
      <c r="C71" s="138">
        <v>721943000</v>
      </c>
      <c r="D71" s="138">
        <v>1008265</v>
      </c>
      <c r="E71" s="110">
        <f t="shared" si="27"/>
        <v>716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5" x14ac:dyDescent="0.25">
      <c r="A72"/>
      <c r="B72" t="str">
        <f t="shared" si="26"/>
        <v>June</v>
      </c>
      <c r="C72" s="138">
        <v>667129000</v>
      </c>
      <c r="D72" s="138">
        <v>1008940</v>
      </c>
      <c r="E72" s="110">
        <f t="shared" si="27"/>
        <v>661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5" x14ac:dyDescent="0.25">
      <c r="A73"/>
      <c r="B73" t="str">
        <f t="shared" si="26"/>
        <v>July</v>
      </c>
      <c r="C73" s="138">
        <v>680085000</v>
      </c>
      <c r="D73" s="138">
        <v>1009438</v>
      </c>
      <c r="E73" s="110">
        <f t="shared" si="27"/>
        <v>674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5" x14ac:dyDescent="0.25">
      <c r="A74"/>
      <c r="B74" t="str">
        <f t="shared" si="26"/>
        <v>August</v>
      </c>
      <c r="C74" s="138">
        <v>674003000</v>
      </c>
      <c r="D74" s="138">
        <v>1010258</v>
      </c>
      <c r="E74" s="110">
        <f t="shared" si="27"/>
        <v>667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5" x14ac:dyDescent="0.25">
      <c r="A75"/>
      <c r="B75" t="str">
        <f t="shared" si="26"/>
        <v>September</v>
      </c>
      <c r="C75" s="138">
        <v>667633000</v>
      </c>
      <c r="D75" s="138">
        <v>1011360</v>
      </c>
      <c r="E75" s="110">
        <f t="shared" si="27"/>
        <v>660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5" x14ac:dyDescent="0.25">
      <c r="A76"/>
      <c r="B76" t="str">
        <f t="shared" si="26"/>
        <v>October</v>
      </c>
      <c r="C76" s="138">
        <v>813086000</v>
      </c>
      <c r="D76" s="138">
        <v>1012833</v>
      </c>
      <c r="E76" s="110">
        <f t="shared" si="27"/>
        <v>803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5" x14ac:dyDescent="0.25">
      <c r="A77"/>
      <c r="B77" t="str">
        <f t="shared" si="26"/>
        <v>November</v>
      </c>
      <c r="C77" s="138">
        <v>1005285000</v>
      </c>
      <c r="D77" s="138">
        <v>1014205</v>
      </c>
      <c r="E77" s="110">
        <f t="shared" si="27"/>
        <v>991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5" x14ac:dyDescent="0.25">
      <c r="A78"/>
      <c r="B78" t="str">
        <f t="shared" si="26"/>
        <v>December</v>
      </c>
      <c r="C78" s="138">
        <v>1276276000</v>
      </c>
      <c r="D78" s="138">
        <v>1015301</v>
      </c>
      <c r="E78" s="110">
        <f t="shared" si="27"/>
        <v>1257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5" x14ac:dyDescent="0.25">
      <c r="A79"/>
      <c r="B79" t="s">
        <v>38</v>
      </c>
      <c r="C79" s="138">
        <f>SUM(C67:C78)</f>
        <v>10637302000</v>
      </c>
      <c r="D79" s="138">
        <f>SUM(D67:D78)</f>
        <v>12162192</v>
      </c>
      <c r="E79" s="110">
        <f>SUM(E67:E78)</f>
        <v>10490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5" x14ac:dyDescent="0.25">
      <c r="A80"/>
      <c r="B80"/>
      <c r="C80" s="65"/>
      <c r="D80" s="65"/>
      <c r="E80" s="11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5" x14ac:dyDescent="0.25">
      <c r="A81"/>
      <c r="B81" t="s">
        <v>160</v>
      </c>
      <c r="C81" s="111"/>
      <c r="D81" s="111"/>
      <c r="E81" s="111">
        <f>ROUND(AVERAGE(E67:E78),0)</f>
        <v>874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</sheetData>
  <mergeCells count="34">
    <mergeCell ref="B40:E40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9:E59"/>
    <mergeCell ref="B60:E60"/>
    <mergeCell ref="B61:E61"/>
    <mergeCell ref="C65:E65"/>
    <mergeCell ref="B53:E53"/>
    <mergeCell ref="B54:E54"/>
    <mergeCell ref="B55:E55"/>
    <mergeCell ref="B56:E56"/>
    <mergeCell ref="B57:E57"/>
    <mergeCell ref="B58:E58"/>
  </mergeCells>
  <printOptions horizontalCentered="1"/>
  <pageMargins left="0.7" right="0.7" top="0.75" bottom="0.75" header="0.3" footer="0.3"/>
  <pageSetup scale="51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RowHeight="15" x14ac:dyDescent="0.25"/>
  <cols>
    <col min="1" max="1" width="7.7109375" customWidth="1"/>
    <col min="2" max="2" width="22.42578125" customWidth="1"/>
    <col min="3" max="4" width="14.5703125" customWidth="1"/>
    <col min="5" max="5" width="11.140625" bestFit="1" customWidth="1"/>
    <col min="6" max="6" width="12.5703125" customWidth="1"/>
    <col min="7" max="7" width="13.140625" bestFit="1" customWidth="1"/>
    <col min="8" max="8" width="12" customWidth="1"/>
    <col min="9" max="9" width="11.5703125" customWidth="1"/>
    <col min="10" max="10" width="10.140625" bestFit="1" customWidth="1"/>
    <col min="11" max="11" width="14.5703125" bestFit="1" customWidth="1"/>
    <col min="12" max="12" width="12.5703125" bestFit="1" customWidth="1"/>
    <col min="13" max="13" width="17.7109375" bestFit="1" customWidth="1"/>
  </cols>
  <sheetData>
    <row r="1" spans="1:13" x14ac:dyDescent="0.2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x14ac:dyDescent="0.25">
      <c r="A2" s="239" t="s">
        <v>187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x14ac:dyDescent="0.25">
      <c r="A3" s="239" t="s">
        <v>188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3" x14ac:dyDescent="0.25">
      <c r="A4" s="239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</row>
    <row r="5" spans="1:13" x14ac:dyDescent="0.25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1:13" x14ac:dyDescent="0.25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5"/>
    </row>
    <row r="7" spans="1:13" ht="64.5" x14ac:dyDescent="0.25">
      <c r="A7" s="116" t="s">
        <v>1</v>
      </c>
      <c r="B7" s="116" t="s">
        <v>36</v>
      </c>
      <c r="C7" s="117" t="s">
        <v>92</v>
      </c>
      <c r="D7" s="118" t="s">
        <v>163</v>
      </c>
      <c r="E7" s="118" t="s">
        <v>164</v>
      </c>
      <c r="F7" s="118" t="s">
        <v>165</v>
      </c>
      <c r="G7" s="118" t="s">
        <v>166</v>
      </c>
      <c r="H7" s="118" t="s">
        <v>167</v>
      </c>
      <c r="I7" s="118" t="s">
        <v>168</v>
      </c>
      <c r="J7" s="118" t="s">
        <v>169</v>
      </c>
      <c r="K7" s="118" t="s">
        <v>170</v>
      </c>
      <c r="L7" s="118" t="s">
        <v>171</v>
      </c>
      <c r="M7" s="147" t="s">
        <v>189</v>
      </c>
    </row>
    <row r="8" spans="1:13" x14ac:dyDescent="0.25">
      <c r="A8" s="113">
        <v>1</v>
      </c>
      <c r="B8" s="119">
        <v>7</v>
      </c>
      <c r="C8" s="143">
        <v>10637302000</v>
      </c>
      <c r="D8" s="139">
        <v>1159444000</v>
      </c>
      <c r="E8" s="139">
        <v>0</v>
      </c>
      <c r="F8" s="139">
        <v>-26498000</v>
      </c>
      <c r="G8" s="139">
        <v>64622000</v>
      </c>
      <c r="H8" s="139">
        <v>9967000</v>
      </c>
      <c r="I8" s="139">
        <v>-3681000</v>
      </c>
      <c r="J8" s="139">
        <v>-372000</v>
      </c>
      <c r="K8" s="139">
        <v>12775000</v>
      </c>
      <c r="L8" s="139">
        <v>-78780000</v>
      </c>
      <c r="M8" s="139">
        <f>SUM(D8:L8)</f>
        <v>1137477000</v>
      </c>
    </row>
    <row r="9" spans="1:13" x14ac:dyDescent="0.25">
      <c r="A9" s="113">
        <f t="shared" ref="A9:A43" si="0">+A8+1</f>
        <v>2</v>
      </c>
      <c r="B9" s="121" t="s">
        <v>172</v>
      </c>
      <c r="C9" s="143">
        <v>2067000</v>
      </c>
      <c r="D9" s="139">
        <v>176000</v>
      </c>
      <c r="E9" s="139">
        <v>0</v>
      </c>
      <c r="F9" s="139">
        <v>-4000</v>
      </c>
      <c r="G9" s="139">
        <v>9000</v>
      </c>
      <c r="H9" s="139">
        <v>2000</v>
      </c>
      <c r="I9" s="139">
        <v>-1000</v>
      </c>
      <c r="J9" s="139">
        <v>0</v>
      </c>
      <c r="K9" s="139">
        <v>3000</v>
      </c>
      <c r="L9" s="139">
        <v>-15000</v>
      </c>
      <c r="M9" s="139">
        <f>SUM(D9:L9)</f>
        <v>170000</v>
      </c>
    </row>
    <row r="10" spans="1:13" x14ac:dyDescent="0.25">
      <c r="A10" s="113">
        <f t="shared" si="0"/>
        <v>3</v>
      </c>
      <c r="B10" s="122" t="s">
        <v>8</v>
      </c>
      <c r="C10" s="144">
        <f t="shared" ref="C10:D10" si="1">SUM(C8:C9)</f>
        <v>10639369000</v>
      </c>
      <c r="D10" s="140">
        <f t="shared" si="1"/>
        <v>1159620000</v>
      </c>
      <c r="E10" s="140">
        <f t="shared" ref="E10:J10" si="2">SUM(E8:E9)</f>
        <v>0</v>
      </c>
      <c r="F10" s="140">
        <f t="shared" si="2"/>
        <v>-26502000</v>
      </c>
      <c r="G10" s="140">
        <f t="shared" si="2"/>
        <v>64631000</v>
      </c>
      <c r="H10" s="140">
        <f t="shared" si="2"/>
        <v>9969000</v>
      </c>
      <c r="I10" s="140">
        <f t="shared" si="2"/>
        <v>-3682000</v>
      </c>
      <c r="J10" s="140">
        <f t="shared" si="2"/>
        <v>-372000</v>
      </c>
      <c r="K10" s="140">
        <f t="shared" ref="K10:L10" si="3">SUM(K8:K9)</f>
        <v>12778000</v>
      </c>
      <c r="L10" s="140">
        <f t="shared" si="3"/>
        <v>-78795000</v>
      </c>
      <c r="M10" s="140">
        <f t="shared" ref="M10" si="4">SUM(M8:M9)</f>
        <v>1137647000</v>
      </c>
    </row>
    <row r="11" spans="1:13" x14ac:dyDescent="0.25">
      <c r="A11" s="113">
        <f t="shared" si="0"/>
        <v>4</v>
      </c>
      <c r="B11" s="113"/>
      <c r="C11" s="143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x14ac:dyDescent="0.25">
      <c r="A12" s="113">
        <f t="shared" si="0"/>
        <v>5</v>
      </c>
      <c r="B12" s="119">
        <v>8</v>
      </c>
      <c r="C12" s="143">
        <v>253017000</v>
      </c>
      <c r="D12" s="139">
        <v>25376000</v>
      </c>
      <c r="E12" s="139">
        <v>0</v>
      </c>
      <c r="F12" s="139">
        <v>-509000</v>
      </c>
      <c r="G12" s="139">
        <v>1174000</v>
      </c>
      <c r="H12" s="139">
        <v>216000</v>
      </c>
      <c r="I12" s="139">
        <v>-67000</v>
      </c>
      <c r="J12" s="139">
        <v>-7000</v>
      </c>
      <c r="K12" s="139">
        <v>338000</v>
      </c>
      <c r="L12" s="139">
        <v>-1874000</v>
      </c>
      <c r="M12" s="139">
        <f t="shared" ref="M12:M18" si="5">SUM(D12:L12)</f>
        <v>24647000</v>
      </c>
    </row>
    <row r="13" spans="1:13" x14ac:dyDescent="0.25">
      <c r="A13" s="113">
        <f t="shared" si="0"/>
        <v>6</v>
      </c>
      <c r="B13" s="119">
        <v>24</v>
      </c>
      <c r="C13" s="143">
        <v>2759020000</v>
      </c>
      <c r="D13" s="139">
        <v>276708000</v>
      </c>
      <c r="E13" s="139">
        <v>0</v>
      </c>
      <c r="F13" s="139">
        <v>-5551000</v>
      </c>
      <c r="G13" s="139">
        <v>12805000</v>
      </c>
      <c r="H13" s="139">
        <v>2359000</v>
      </c>
      <c r="I13" s="139">
        <v>-726000</v>
      </c>
      <c r="J13" s="139">
        <v>-77000</v>
      </c>
      <c r="K13" s="139">
        <v>3683000</v>
      </c>
      <c r="L13" s="139">
        <v>0</v>
      </c>
      <c r="M13" s="139">
        <f t="shared" si="5"/>
        <v>289201000</v>
      </c>
    </row>
    <row r="14" spans="1:13" x14ac:dyDescent="0.25">
      <c r="A14" s="113">
        <f t="shared" si="0"/>
        <v>7</v>
      </c>
      <c r="B14" s="121">
        <v>11</v>
      </c>
      <c r="C14" s="143">
        <v>151312000</v>
      </c>
      <c r="D14" s="139">
        <v>14014000</v>
      </c>
      <c r="E14" s="139">
        <v>0</v>
      </c>
      <c r="F14" s="139">
        <v>-312000</v>
      </c>
      <c r="G14" s="139">
        <v>681000</v>
      </c>
      <c r="H14" s="139">
        <v>120000</v>
      </c>
      <c r="I14" s="139">
        <v>-37000</v>
      </c>
      <c r="J14" s="139">
        <v>-4000</v>
      </c>
      <c r="K14" s="139">
        <v>202000</v>
      </c>
      <c r="L14" s="139">
        <v>-1121000</v>
      </c>
      <c r="M14" s="139">
        <f t="shared" si="5"/>
        <v>13543000</v>
      </c>
    </row>
    <row r="15" spans="1:13" x14ac:dyDescent="0.25">
      <c r="A15" s="113">
        <f t="shared" si="0"/>
        <v>8</v>
      </c>
      <c r="B15" s="121">
        <v>25</v>
      </c>
      <c r="C15" s="143">
        <v>2840201000</v>
      </c>
      <c r="D15" s="139">
        <v>263057000</v>
      </c>
      <c r="E15" s="139">
        <v>0</v>
      </c>
      <c r="F15" s="139">
        <v>-5848000</v>
      </c>
      <c r="G15" s="139">
        <v>12778000</v>
      </c>
      <c r="H15" s="139">
        <v>2255000</v>
      </c>
      <c r="I15" s="139">
        <v>-696000</v>
      </c>
      <c r="J15" s="139">
        <v>-82000</v>
      </c>
      <c r="K15" s="139">
        <v>3792000</v>
      </c>
      <c r="L15" s="139">
        <v>0</v>
      </c>
      <c r="M15" s="139">
        <f t="shared" si="5"/>
        <v>275256000</v>
      </c>
    </row>
    <row r="16" spans="1:13" x14ac:dyDescent="0.25">
      <c r="A16" s="113">
        <f t="shared" si="0"/>
        <v>9</v>
      </c>
      <c r="B16" s="119">
        <v>12</v>
      </c>
      <c r="C16" s="143">
        <v>20054000</v>
      </c>
      <c r="D16" s="139">
        <v>1701000</v>
      </c>
      <c r="E16" s="139">
        <v>0</v>
      </c>
      <c r="F16" s="139">
        <v>-41000</v>
      </c>
      <c r="G16" s="139">
        <v>96000</v>
      </c>
      <c r="H16" s="139">
        <v>14000</v>
      </c>
      <c r="I16" s="139">
        <v>-4000</v>
      </c>
      <c r="J16" s="139">
        <v>-1000</v>
      </c>
      <c r="K16" s="139">
        <v>-8000</v>
      </c>
      <c r="L16" s="139">
        <v>-149000</v>
      </c>
      <c r="M16" s="139">
        <f t="shared" si="5"/>
        <v>1608000</v>
      </c>
    </row>
    <row r="17" spans="1:13" x14ac:dyDescent="0.25">
      <c r="A17" s="113">
        <f t="shared" si="0"/>
        <v>10</v>
      </c>
      <c r="B17" s="119" t="s">
        <v>173</v>
      </c>
      <c r="C17" s="143">
        <v>1893734000</v>
      </c>
      <c r="D17" s="139">
        <v>160642000</v>
      </c>
      <c r="E17" s="139">
        <v>0</v>
      </c>
      <c r="F17" s="139">
        <v>-3899000</v>
      </c>
      <c r="G17" s="139">
        <v>9090000</v>
      </c>
      <c r="H17" s="139">
        <v>1339000</v>
      </c>
      <c r="I17" s="139">
        <v>-383000</v>
      </c>
      <c r="J17" s="139">
        <v>-57000</v>
      </c>
      <c r="K17" s="139">
        <v>-741000</v>
      </c>
      <c r="L17" s="139">
        <v>0</v>
      </c>
      <c r="M17" s="139">
        <f t="shared" si="5"/>
        <v>165991000</v>
      </c>
    </row>
    <row r="18" spans="1:13" x14ac:dyDescent="0.25">
      <c r="A18" s="113">
        <f t="shared" si="0"/>
        <v>11</v>
      </c>
      <c r="B18" s="119">
        <v>29</v>
      </c>
      <c r="C18" s="143">
        <v>16193000</v>
      </c>
      <c r="D18" s="139">
        <v>1323000</v>
      </c>
      <c r="E18" s="139">
        <v>0</v>
      </c>
      <c r="F18" s="139">
        <v>-35000</v>
      </c>
      <c r="G18" s="139">
        <v>74000</v>
      </c>
      <c r="H18" s="139">
        <v>12000</v>
      </c>
      <c r="I18" s="139">
        <v>-4000</v>
      </c>
      <c r="J18" s="139">
        <v>0</v>
      </c>
      <c r="K18" s="139">
        <v>22000</v>
      </c>
      <c r="L18" s="139">
        <v>-120000</v>
      </c>
      <c r="M18" s="139">
        <f t="shared" si="5"/>
        <v>1272000</v>
      </c>
    </row>
    <row r="19" spans="1:13" x14ac:dyDescent="0.25">
      <c r="A19" s="113">
        <f t="shared" si="0"/>
        <v>12</v>
      </c>
      <c r="B19" s="123" t="s">
        <v>13</v>
      </c>
      <c r="C19" s="144">
        <f t="shared" ref="C19:D19" si="6">SUM(C12:C18)</f>
        <v>7933531000</v>
      </c>
      <c r="D19" s="140">
        <f t="shared" si="6"/>
        <v>742821000</v>
      </c>
      <c r="E19" s="140">
        <f t="shared" ref="E19:J19" si="7">SUM(E12:E18)</f>
        <v>0</v>
      </c>
      <c r="F19" s="140">
        <f t="shared" si="7"/>
        <v>-16195000</v>
      </c>
      <c r="G19" s="140">
        <f t="shared" si="7"/>
        <v>36698000</v>
      </c>
      <c r="H19" s="140">
        <f t="shared" si="7"/>
        <v>6315000</v>
      </c>
      <c r="I19" s="140">
        <f t="shared" si="7"/>
        <v>-1917000</v>
      </c>
      <c r="J19" s="140">
        <f t="shared" si="7"/>
        <v>-228000</v>
      </c>
      <c r="K19" s="140">
        <f t="shared" ref="K19:L19" si="8">SUM(K12:K18)</f>
        <v>7288000</v>
      </c>
      <c r="L19" s="140">
        <f t="shared" si="8"/>
        <v>-3264000</v>
      </c>
      <c r="M19" s="140">
        <f t="shared" ref="M19" si="9">SUM(M12:M18)</f>
        <v>771518000</v>
      </c>
    </row>
    <row r="20" spans="1:13" x14ac:dyDescent="0.25">
      <c r="A20" s="113">
        <f t="shared" si="0"/>
        <v>13</v>
      </c>
      <c r="B20" s="113"/>
      <c r="C20" s="143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x14ac:dyDescent="0.25">
      <c r="A21" s="113">
        <f t="shared" si="0"/>
        <v>14</v>
      </c>
      <c r="B21" s="119">
        <v>10</v>
      </c>
      <c r="C21" s="143">
        <v>30336000</v>
      </c>
      <c r="D21" s="139">
        <v>2531000</v>
      </c>
      <c r="E21" s="139">
        <v>0</v>
      </c>
      <c r="F21" s="139">
        <v>-61000</v>
      </c>
      <c r="G21" s="139">
        <v>138000</v>
      </c>
      <c r="H21" s="139">
        <v>21000</v>
      </c>
      <c r="I21" s="139">
        <v>-7000</v>
      </c>
      <c r="J21" s="139">
        <v>-1000</v>
      </c>
      <c r="K21" s="139">
        <v>-3000</v>
      </c>
      <c r="L21" s="139">
        <v>-225000</v>
      </c>
      <c r="M21" s="139">
        <f>SUM(D21:L21)</f>
        <v>2393000</v>
      </c>
    </row>
    <row r="22" spans="1:13" x14ac:dyDescent="0.25">
      <c r="A22" s="113">
        <f t="shared" si="0"/>
        <v>15</v>
      </c>
      <c r="B22" s="119">
        <v>31</v>
      </c>
      <c r="C22" s="143">
        <v>1286336000</v>
      </c>
      <c r="D22" s="139">
        <v>107316000</v>
      </c>
      <c r="E22" s="139">
        <v>0</v>
      </c>
      <c r="F22" s="139">
        <v>-2579000</v>
      </c>
      <c r="G22" s="139">
        <v>5855000</v>
      </c>
      <c r="H22" s="139">
        <v>895000</v>
      </c>
      <c r="I22" s="139">
        <v>-306000</v>
      </c>
      <c r="J22" s="139">
        <v>-36000</v>
      </c>
      <c r="K22" s="139">
        <v>-127000</v>
      </c>
      <c r="L22" s="139">
        <v>0</v>
      </c>
      <c r="M22" s="139">
        <f>SUM(D22:L22)</f>
        <v>111018000</v>
      </c>
    </row>
    <row r="23" spans="1:13" x14ac:dyDescent="0.25">
      <c r="A23" s="113">
        <f t="shared" si="0"/>
        <v>16</v>
      </c>
      <c r="B23" s="119">
        <v>35</v>
      </c>
      <c r="C23" s="143">
        <v>5161000</v>
      </c>
      <c r="D23" s="139">
        <v>306000</v>
      </c>
      <c r="E23" s="139">
        <v>0</v>
      </c>
      <c r="F23" s="139">
        <v>-7000</v>
      </c>
      <c r="G23" s="139">
        <v>16000</v>
      </c>
      <c r="H23" s="139">
        <v>2000</v>
      </c>
      <c r="I23" s="139">
        <v>-1000</v>
      </c>
      <c r="J23" s="139">
        <v>0</v>
      </c>
      <c r="K23" s="139">
        <v>7000</v>
      </c>
      <c r="L23" s="139">
        <v>-38000</v>
      </c>
      <c r="M23" s="139">
        <f>SUM(D23:L23)</f>
        <v>285000</v>
      </c>
    </row>
    <row r="24" spans="1:13" x14ac:dyDescent="0.25">
      <c r="A24" s="113">
        <f t="shared" si="0"/>
        <v>17</v>
      </c>
      <c r="B24" s="119">
        <v>43</v>
      </c>
      <c r="C24" s="143">
        <v>123190000</v>
      </c>
      <c r="D24" s="139">
        <v>11211000</v>
      </c>
      <c r="E24" s="139">
        <v>0</v>
      </c>
      <c r="F24" s="139">
        <v>-223000</v>
      </c>
      <c r="G24" s="139">
        <v>524000</v>
      </c>
      <c r="H24" s="139">
        <v>95000</v>
      </c>
      <c r="I24" s="139">
        <v>-29000</v>
      </c>
      <c r="J24" s="139">
        <v>-3000</v>
      </c>
      <c r="K24" s="139">
        <v>164000</v>
      </c>
      <c r="L24" s="139">
        <v>0</v>
      </c>
      <c r="M24" s="139">
        <f>SUM(D24:L24)</f>
        <v>11739000</v>
      </c>
    </row>
    <row r="25" spans="1:13" x14ac:dyDescent="0.25">
      <c r="A25" s="113">
        <f t="shared" si="0"/>
        <v>18</v>
      </c>
      <c r="B25" s="122" t="s">
        <v>16</v>
      </c>
      <c r="C25" s="144">
        <f t="shared" ref="C25:D25" si="10">SUM(C21:C24)</f>
        <v>1445023000</v>
      </c>
      <c r="D25" s="140">
        <f t="shared" si="10"/>
        <v>121364000</v>
      </c>
      <c r="E25" s="140">
        <f t="shared" ref="E25:J25" si="11">SUM(E21:E24)</f>
        <v>0</v>
      </c>
      <c r="F25" s="140">
        <f t="shared" si="11"/>
        <v>-2870000</v>
      </c>
      <c r="G25" s="140">
        <f t="shared" si="11"/>
        <v>6533000</v>
      </c>
      <c r="H25" s="140">
        <f t="shared" si="11"/>
        <v>1013000</v>
      </c>
      <c r="I25" s="140">
        <f t="shared" si="11"/>
        <v>-343000</v>
      </c>
      <c r="J25" s="140">
        <f t="shared" si="11"/>
        <v>-40000</v>
      </c>
      <c r="K25" s="140">
        <f t="shared" ref="K25:L25" si="12">SUM(K21:K24)</f>
        <v>41000</v>
      </c>
      <c r="L25" s="140">
        <f t="shared" si="12"/>
        <v>-263000</v>
      </c>
      <c r="M25" s="140">
        <f t="shared" ref="M25" si="13">SUM(M21:M24)</f>
        <v>125435000</v>
      </c>
    </row>
    <row r="26" spans="1:13" x14ac:dyDescent="0.25">
      <c r="A26" s="113">
        <f t="shared" si="0"/>
        <v>19</v>
      </c>
      <c r="B26" s="113"/>
      <c r="C26" s="143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x14ac:dyDescent="0.25">
      <c r="A27" s="113">
        <f t="shared" si="0"/>
        <v>20</v>
      </c>
      <c r="B27" s="119">
        <v>40</v>
      </c>
      <c r="C27" s="144">
        <v>679072000</v>
      </c>
      <c r="D27" s="140">
        <v>51132000</v>
      </c>
      <c r="E27" s="140">
        <v>0</v>
      </c>
      <c r="F27" s="140">
        <v>-1446000</v>
      </c>
      <c r="G27" s="140">
        <v>3492000</v>
      </c>
      <c r="H27" s="140">
        <v>455000</v>
      </c>
      <c r="I27" s="140">
        <v>-89000</v>
      </c>
      <c r="J27" s="140">
        <v>-20000</v>
      </c>
      <c r="K27" s="140">
        <v>907000</v>
      </c>
      <c r="L27" s="140">
        <v>0</v>
      </c>
      <c r="M27" s="140">
        <f>SUM(D27:L27)</f>
        <v>54431000</v>
      </c>
    </row>
    <row r="28" spans="1:13" x14ac:dyDescent="0.25">
      <c r="A28" s="113">
        <f t="shared" si="0"/>
        <v>21</v>
      </c>
      <c r="B28" s="119"/>
      <c r="C28" s="143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x14ac:dyDescent="0.25">
      <c r="A29" s="113">
        <f t="shared" si="0"/>
        <v>22</v>
      </c>
      <c r="B29" s="119">
        <v>46</v>
      </c>
      <c r="C29" s="143">
        <v>72776000</v>
      </c>
      <c r="D29" s="139">
        <v>4993000</v>
      </c>
      <c r="E29" s="139">
        <v>0</v>
      </c>
      <c r="F29" s="139">
        <v>-75000</v>
      </c>
      <c r="G29" s="139">
        <v>212000</v>
      </c>
      <c r="H29" s="139">
        <v>44000</v>
      </c>
      <c r="I29" s="139">
        <v>-8000</v>
      </c>
      <c r="J29" s="139">
        <v>-1000</v>
      </c>
      <c r="K29" s="139">
        <v>97000</v>
      </c>
      <c r="L29" s="139">
        <v>0</v>
      </c>
      <c r="M29" s="139">
        <f>SUM(D29:L29)</f>
        <v>5262000</v>
      </c>
    </row>
    <row r="30" spans="1:13" x14ac:dyDescent="0.25">
      <c r="A30" s="113">
        <f t="shared" si="0"/>
        <v>23</v>
      </c>
      <c r="B30" s="119">
        <v>49</v>
      </c>
      <c r="C30" s="143">
        <v>584007000</v>
      </c>
      <c r="D30" s="139">
        <v>39323000</v>
      </c>
      <c r="E30" s="139">
        <v>0</v>
      </c>
      <c r="F30" s="139">
        <v>-1190000</v>
      </c>
      <c r="G30" s="139">
        <v>2585000</v>
      </c>
      <c r="H30" s="139">
        <v>336000</v>
      </c>
      <c r="I30" s="139">
        <v>-64000</v>
      </c>
      <c r="J30" s="139">
        <v>-16000</v>
      </c>
      <c r="K30" s="139">
        <v>780000</v>
      </c>
      <c r="L30" s="139">
        <v>0</v>
      </c>
      <c r="M30" s="139">
        <f>SUM(D30:L30)</f>
        <v>41754000</v>
      </c>
    </row>
    <row r="31" spans="1:13" x14ac:dyDescent="0.25">
      <c r="A31" s="113">
        <f t="shared" si="0"/>
        <v>24</v>
      </c>
      <c r="B31" s="122" t="s">
        <v>18</v>
      </c>
      <c r="C31" s="144">
        <f t="shared" ref="C31:D31" si="14">SUM(C29:C30)</f>
        <v>656783000</v>
      </c>
      <c r="D31" s="140">
        <f t="shared" si="14"/>
        <v>44316000</v>
      </c>
      <c r="E31" s="140">
        <f t="shared" ref="E31:J31" si="15">SUM(E29:E30)</f>
        <v>0</v>
      </c>
      <c r="F31" s="140">
        <f t="shared" si="15"/>
        <v>-1265000</v>
      </c>
      <c r="G31" s="140">
        <f t="shared" si="15"/>
        <v>2797000</v>
      </c>
      <c r="H31" s="140">
        <f t="shared" si="15"/>
        <v>380000</v>
      </c>
      <c r="I31" s="140">
        <f t="shared" si="15"/>
        <v>-72000</v>
      </c>
      <c r="J31" s="140">
        <f t="shared" si="15"/>
        <v>-17000</v>
      </c>
      <c r="K31" s="140">
        <f t="shared" ref="K31:L31" si="16">SUM(K29:K30)</f>
        <v>877000</v>
      </c>
      <c r="L31" s="140">
        <f t="shared" si="16"/>
        <v>0</v>
      </c>
      <c r="M31" s="140">
        <f t="shared" ref="M31" si="17">SUM(M29:M30)</f>
        <v>47016000</v>
      </c>
    </row>
    <row r="32" spans="1:13" x14ac:dyDescent="0.25">
      <c r="A32" s="113">
        <f t="shared" si="0"/>
        <v>25</v>
      </c>
      <c r="B32" s="119"/>
      <c r="C32" s="143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x14ac:dyDescent="0.25">
      <c r="A33" s="113">
        <f t="shared" si="0"/>
        <v>26</v>
      </c>
      <c r="B33" s="119" t="s">
        <v>20</v>
      </c>
      <c r="C33" s="144">
        <v>76506000</v>
      </c>
      <c r="D33" s="140">
        <v>18910000</v>
      </c>
      <c r="E33" s="140">
        <v>0</v>
      </c>
      <c r="F33" s="140">
        <v>-194000</v>
      </c>
      <c r="G33" s="140">
        <v>480000</v>
      </c>
      <c r="H33" s="140">
        <v>166000</v>
      </c>
      <c r="I33" s="140">
        <v>-107000</v>
      </c>
      <c r="J33" s="140">
        <v>-3000</v>
      </c>
      <c r="K33" s="140">
        <v>0</v>
      </c>
      <c r="L33" s="140">
        <v>-15000</v>
      </c>
      <c r="M33" s="140">
        <f>SUM(D33:L33)</f>
        <v>19237000</v>
      </c>
    </row>
    <row r="34" spans="1:13" x14ac:dyDescent="0.25">
      <c r="A34" s="113">
        <f t="shared" si="0"/>
        <v>27</v>
      </c>
      <c r="B34" s="119"/>
      <c r="C34" s="143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1:13" x14ac:dyDescent="0.25">
      <c r="A35" s="113">
        <f t="shared" si="0"/>
        <v>28</v>
      </c>
      <c r="B35" s="119" t="s">
        <v>95</v>
      </c>
      <c r="C35" s="144">
        <v>2088697000</v>
      </c>
      <c r="D35" s="140">
        <v>8505000</v>
      </c>
      <c r="E35" s="140">
        <v>0</v>
      </c>
      <c r="F35" s="140">
        <v>0</v>
      </c>
      <c r="G35" s="140">
        <v>2260000</v>
      </c>
      <c r="H35" s="140">
        <v>69000</v>
      </c>
      <c r="I35" s="140">
        <v>-58000</v>
      </c>
      <c r="J35" s="140">
        <v>0</v>
      </c>
      <c r="K35" s="140">
        <v>0</v>
      </c>
      <c r="L35" s="140">
        <v>0</v>
      </c>
      <c r="M35" s="140">
        <f>SUM(D35:L35)</f>
        <v>10776000</v>
      </c>
    </row>
    <row r="36" spans="1:13" x14ac:dyDescent="0.25">
      <c r="A36" s="113">
        <f t="shared" si="0"/>
        <v>29</v>
      </c>
      <c r="B36" s="119"/>
      <c r="C36" s="143"/>
      <c r="D36" s="139"/>
      <c r="E36" s="139"/>
      <c r="F36" s="139"/>
      <c r="G36" s="139"/>
      <c r="H36" s="139"/>
      <c r="I36" s="139"/>
      <c r="J36" s="139"/>
      <c r="K36" s="139"/>
      <c r="L36" s="139"/>
      <c r="M36" s="139"/>
    </row>
    <row r="37" spans="1:13" ht="15.75" thickBot="1" x14ac:dyDescent="0.3">
      <c r="A37" s="113">
        <f t="shared" si="0"/>
        <v>30</v>
      </c>
      <c r="B37" s="122" t="s">
        <v>38</v>
      </c>
      <c r="C37" s="145">
        <f t="shared" ref="C37:D37" si="18">SUM(C10,C19,C25,C27,C31,C33,C35)</f>
        <v>23518981000</v>
      </c>
      <c r="D37" s="141">
        <f t="shared" si="18"/>
        <v>2146668000</v>
      </c>
      <c r="E37" s="141">
        <f t="shared" ref="E37:J37" si="19">SUM(E10,E19,E25,E27,E31,E33,E35)</f>
        <v>0</v>
      </c>
      <c r="F37" s="141">
        <f t="shared" si="19"/>
        <v>-48472000</v>
      </c>
      <c r="G37" s="141">
        <f t="shared" si="19"/>
        <v>116891000</v>
      </c>
      <c r="H37" s="141">
        <f t="shared" si="19"/>
        <v>18367000</v>
      </c>
      <c r="I37" s="141">
        <f t="shared" si="19"/>
        <v>-6268000</v>
      </c>
      <c r="J37" s="141">
        <f t="shared" si="19"/>
        <v>-680000</v>
      </c>
      <c r="K37" s="141">
        <f t="shared" ref="K37:L37" si="20">SUM(K10,K19,K25,K27,K31,K33,K35)</f>
        <v>21891000</v>
      </c>
      <c r="L37" s="141">
        <f t="shared" si="20"/>
        <v>-82337000</v>
      </c>
      <c r="M37" s="141">
        <f t="shared" ref="M37" si="21">SUM(M10,M19,M25,M27,M31,M33,M35)</f>
        <v>2166060000</v>
      </c>
    </row>
    <row r="38" spans="1:13" ht="15.75" thickTop="1" x14ac:dyDescent="0.25">
      <c r="A38" s="113">
        <f t="shared" si="0"/>
        <v>31</v>
      </c>
      <c r="B38" s="119"/>
      <c r="C38" s="146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13" x14ac:dyDescent="0.25">
      <c r="A39" s="113">
        <f t="shared" si="0"/>
        <v>32</v>
      </c>
      <c r="B39" s="119">
        <v>5</v>
      </c>
      <c r="C39" s="144">
        <v>0</v>
      </c>
      <c r="D39" s="140">
        <v>0</v>
      </c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f>SUM(D39:L39)</f>
        <v>0</v>
      </c>
    </row>
    <row r="40" spans="1:13" x14ac:dyDescent="0.25">
      <c r="A40" s="113">
        <f t="shared" si="0"/>
        <v>33</v>
      </c>
      <c r="B40" s="119"/>
      <c r="C40" s="146"/>
      <c r="D40" s="142"/>
      <c r="E40" s="142"/>
      <c r="F40" s="142"/>
      <c r="G40" s="142"/>
      <c r="H40" s="142"/>
      <c r="I40" s="142"/>
      <c r="J40" s="142"/>
      <c r="K40" s="142"/>
      <c r="L40" s="142"/>
      <c r="M40" s="142"/>
    </row>
    <row r="41" spans="1:13" ht="15.75" thickBot="1" x14ac:dyDescent="0.3">
      <c r="A41" s="113">
        <f t="shared" si="0"/>
        <v>34</v>
      </c>
      <c r="B41" s="122" t="s">
        <v>174</v>
      </c>
      <c r="C41" s="145">
        <f t="shared" ref="C41:D41" si="22">+C39+C37</f>
        <v>23518981000</v>
      </c>
      <c r="D41" s="141">
        <f t="shared" si="22"/>
        <v>2146668000</v>
      </c>
      <c r="E41" s="141">
        <f t="shared" ref="E41:J41" si="23">+E39+E37</f>
        <v>0</v>
      </c>
      <c r="F41" s="141">
        <f t="shared" si="23"/>
        <v>-48472000</v>
      </c>
      <c r="G41" s="141">
        <f t="shared" si="23"/>
        <v>116891000</v>
      </c>
      <c r="H41" s="141">
        <f t="shared" si="23"/>
        <v>18367000</v>
      </c>
      <c r="I41" s="141">
        <f t="shared" si="23"/>
        <v>-6268000</v>
      </c>
      <c r="J41" s="141">
        <f t="shared" si="23"/>
        <v>-680000</v>
      </c>
      <c r="K41" s="141">
        <f t="shared" ref="K41:L41" si="24">+K39+K37</f>
        <v>21891000</v>
      </c>
      <c r="L41" s="141">
        <f t="shared" si="24"/>
        <v>-82337000</v>
      </c>
      <c r="M41" s="141">
        <f t="shared" ref="M41" si="25">+M39+M37</f>
        <v>2166060000</v>
      </c>
    </row>
    <row r="42" spans="1:13" ht="15.75" thickTop="1" x14ac:dyDescent="0.25">
      <c r="A42" s="113">
        <f t="shared" si="0"/>
        <v>35</v>
      </c>
      <c r="B42" s="65"/>
      <c r="C42" s="143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1:13" ht="15.75" thickBot="1" x14ac:dyDescent="0.3">
      <c r="A43" s="113">
        <f t="shared" si="0"/>
        <v>36</v>
      </c>
      <c r="B43" s="121" t="s">
        <v>175</v>
      </c>
      <c r="C43" s="145">
        <f>+C9+C14+C15</f>
        <v>2993580000</v>
      </c>
      <c r="D43" s="124">
        <f t="shared" ref="D43:M43" si="26">+D9+D14+D15</f>
        <v>277247000</v>
      </c>
      <c r="E43" s="124">
        <f t="shared" si="26"/>
        <v>0</v>
      </c>
      <c r="F43" s="124">
        <f t="shared" si="26"/>
        <v>-6164000</v>
      </c>
      <c r="G43" s="124">
        <f t="shared" si="26"/>
        <v>13468000</v>
      </c>
      <c r="H43" s="124">
        <f t="shared" si="26"/>
        <v>2377000</v>
      </c>
      <c r="I43" s="124">
        <f t="shared" si="26"/>
        <v>-734000</v>
      </c>
      <c r="J43" s="124">
        <f t="shared" si="26"/>
        <v>-86000</v>
      </c>
      <c r="K43" s="124">
        <f t="shared" ref="K43:L43" si="27">+K9+K14+K15</f>
        <v>3997000</v>
      </c>
      <c r="L43" s="124">
        <f t="shared" si="27"/>
        <v>-1136000</v>
      </c>
      <c r="M43" s="124">
        <f t="shared" si="26"/>
        <v>288969000</v>
      </c>
    </row>
    <row r="44" spans="1:13" ht="15.75" thickTop="1" x14ac:dyDescent="0.25"/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7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6" workbookViewId="0">
      <selection activeCell="B40" sqref="B40"/>
    </sheetView>
  </sheetViews>
  <sheetFormatPr defaultColWidth="9.140625" defaultRowHeight="12.75" x14ac:dyDescent="0.2"/>
  <cols>
    <col min="1" max="1" width="4.7109375" style="12" customWidth="1"/>
    <col min="2" max="2" width="29.7109375" style="12" customWidth="1"/>
    <col min="3" max="3" width="13.85546875" style="12" customWidth="1"/>
    <col min="4" max="4" width="14.7109375" style="12" customWidth="1"/>
    <col min="5" max="5" width="9" style="12" customWidth="1"/>
    <col min="6" max="6" width="1.5703125" style="12" customWidth="1"/>
    <col min="7" max="9" width="12.28515625" style="12" customWidth="1"/>
    <col min="10" max="10" width="1.5703125" style="12" customWidth="1"/>
    <col min="11" max="11" width="14.7109375" style="12" customWidth="1"/>
    <col min="12" max="12" width="1.5703125" style="12" customWidth="1"/>
    <col min="13" max="15" width="10.7109375" style="12" customWidth="1"/>
    <col min="16" max="16" width="1.5703125" style="12" customWidth="1"/>
    <col min="17" max="16384" width="9.140625" style="12"/>
  </cols>
  <sheetData>
    <row r="1" spans="1:16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6" x14ac:dyDescent="0.2">
      <c r="A2" s="225" t="s">
        <v>81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6" x14ac:dyDescent="0.2">
      <c r="A3" s="226" t="s">
        <v>136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6" x14ac:dyDescent="0.2">
      <c r="B4" s="32"/>
      <c r="C4" s="32"/>
      <c r="D4" s="32"/>
    </row>
    <row r="5" spans="1:16" x14ac:dyDescent="0.2">
      <c r="A5" s="30"/>
      <c r="B5" s="31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76.5" x14ac:dyDescent="0.2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29"/>
      <c r="G6" s="29" t="s">
        <v>76</v>
      </c>
      <c r="H6" s="28" t="s">
        <v>127</v>
      </c>
      <c r="I6" s="29" t="s">
        <v>89</v>
      </c>
      <c r="J6" s="29"/>
      <c r="K6" s="29" t="s">
        <v>135</v>
      </c>
      <c r="L6" s="29"/>
      <c r="M6" s="29" t="s">
        <v>79</v>
      </c>
      <c r="N6" s="29" t="s">
        <v>80</v>
      </c>
      <c r="O6" s="28" t="s">
        <v>134</v>
      </c>
      <c r="P6" s="29"/>
    </row>
    <row r="7" spans="1:16" ht="25.5" x14ac:dyDescent="0.2">
      <c r="A7" s="3"/>
      <c r="B7" s="3" t="s">
        <v>33</v>
      </c>
      <c r="C7" s="77" t="s">
        <v>32</v>
      </c>
      <c r="D7" s="77" t="s">
        <v>31</v>
      </c>
      <c r="E7" s="77" t="s">
        <v>106</v>
      </c>
      <c r="F7" s="78"/>
      <c r="G7" s="4" t="s">
        <v>105</v>
      </c>
      <c r="H7" s="4" t="s">
        <v>128</v>
      </c>
      <c r="I7" s="77" t="s">
        <v>129</v>
      </c>
      <c r="J7" s="2"/>
      <c r="K7" s="77" t="s">
        <v>109</v>
      </c>
      <c r="L7" s="77"/>
      <c r="M7" s="4" t="s">
        <v>130</v>
      </c>
      <c r="N7" s="4" t="s">
        <v>131</v>
      </c>
      <c r="O7" s="4" t="s">
        <v>132</v>
      </c>
      <c r="P7" s="2"/>
    </row>
    <row r="8" spans="1:16" x14ac:dyDescent="0.2">
      <c r="A8" s="16">
        <v>1</v>
      </c>
      <c r="B8" s="27" t="s">
        <v>8</v>
      </c>
      <c r="C8" s="26"/>
      <c r="E8" s="16"/>
      <c r="G8" s="16"/>
      <c r="H8" s="16"/>
      <c r="I8" s="16"/>
      <c r="J8" s="16"/>
      <c r="K8" s="26"/>
      <c r="L8" s="26"/>
      <c r="M8" s="16"/>
      <c r="N8" s="16"/>
      <c r="O8" s="16"/>
      <c r="P8" s="16"/>
    </row>
    <row r="9" spans="1:16" x14ac:dyDescent="0.2">
      <c r="A9" s="16">
        <v>2</v>
      </c>
      <c r="B9" s="21" t="s">
        <v>8</v>
      </c>
      <c r="C9" s="84">
        <v>7</v>
      </c>
      <c r="D9" s="24">
        <v>4300371373.6731977</v>
      </c>
      <c r="E9" s="71">
        <v>0.57800464972029686</v>
      </c>
      <c r="G9" s="24">
        <v>23548679.204360608</v>
      </c>
      <c r="H9" s="24">
        <v>13365569.973089738</v>
      </c>
      <c r="I9" s="24">
        <v>36914249.177450344</v>
      </c>
      <c r="J9" s="24"/>
      <c r="K9" s="14">
        <v>10241335000</v>
      </c>
      <c r="L9" s="14"/>
      <c r="M9" s="38">
        <v>2.2989999999999998E-3</v>
      </c>
      <c r="N9" s="38">
        <v>1.305E-3</v>
      </c>
      <c r="O9" s="38">
        <v>3.6039999999999996E-3</v>
      </c>
    </row>
    <row r="10" spans="1:16" x14ac:dyDescent="0.2">
      <c r="A10" s="16">
        <v>3</v>
      </c>
      <c r="B10" s="19" t="s">
        <v>29</v>
      </c>
      <c r="D10" s="6">
        <v>4300371373.6731977</v>
      </c>
      <c r="E10" s="72">
        <v>0.57800464972029686</v>
      </c>
      <c r="G10" s="6">
        <v>23548679.204360608</v>
      </c>
      <c r="H10" s="6">
        <v>13365569.973089738</v>
      </c>
      <c r="I10" s="6">
        <v>36914249.177450344</v>
      </c>
      <c r="J10" s="6"/>
      <c r="K10" s="5">
        <v>10241335000</v>
      </c>
      <c r="L10" s="8"/>
      <c r="M10" s="39">
        <v>2.2989999999999998E-3</v>
      </c>
      <c r="N10" s="39">
        <v>1.305E-3</v>
      </c>
      <c r="O10" s="39">
        <v>3.6039999999999996E-3</v>
      </c>
    </row>
    <row r="11" spans="1:16" x14ac:dyDescent="0.2">
      <c r="A11" s="16">
        <v>4</v>
      </c>
      <c r="D11" s="7"/>
      <c r="E11" s="73"/>
      <c r="G11" s="7"/>
      <c r="H11" s="7"/>
      <c r="I11" s="7"/>
      <c r="J11" s="7"/>
      <c r="K11" s="8"/>
      <c r="L11" s="8"/>
      <c r="M11" s="40"/>
      <c r="N11" s="40"/>
      <c r="O11" s="40"/>
    </row>
    <row r="12" spans="1:16" x14ac:dyDescent="0.2">
      <c r="A12" s="16">
        <v>5</v>
      </c>
      <c r="B12" s="12" t="s">
        <v>9</v>
      </c>
      <c r="D12" s="7"/>
      <c r="E12" s="73"/>
      <c r="G12" s="7"/>
      <c r="H12" s="7"/>
      <c r="I12" s="7"/>
      <c r="J12" s="7"/>
      <c r="K12" s="8"/>
      <c r="L12" s="8"/>
      <c r="M12" s="40"/>
      <c r="N12" s="40"/>
      <c r="O12" s="40"/>
    </row>
    <row r="13" spans="1:16" x14ac:dyDescent="0.2">
      <c r="A13" s="16">
        <v>6</v>
      </c>
      <c r="B13" s="23" t="s">
        <v>10</v>
      </c>
      <c r="C13" s="84" t="s">
        <v>93</v>
      </c>
      <c r="D13" s="24">
        <v>896298928.39911652</v>
      </c>
      <c r="E13" s="71">
        <v>0.12046981600835542</v>
      </c>
      <c r="G13" s="24">
        <v>4908100.7434142949</v>
      </c>
      <c r="H13" s="24">
        <v>2785700.3508260525</v>
      </c>
      <c r="I13" s="24">
        <v>7693801.0942403469</v>
      </c>
      <c r="J13" s="24"/>
      <c r="K13" s="14">
        <v>3021009000</v>
      </c>
      <c r="L13" s="14"/>
      <c r="M13" s="38">
        <v>1.6249999999999999E-3</v>
      </c>
      <c r="N13" s="38">
        <v>9.2199999999999997E-4</v>
      </c>
      <c r="O13" s="38">
        <v>2.5469999999999998E-3</v>
      </c>
    </row>
    <row r="14" spans="1:16" x14ac:dyDescent="0.2">
      <c r="A14" s="16">
        <v>7</v>
      </c>
      <c r="B14" s="23" t="s">
        <v>11</v>
      </c>
      <c r="C14" s="85" t="s">
        <v>103</v>
      </c>
      <c r="D14" s="24">
        <v>862212385.4333781</v>
      </c>
      <c r="E14" s="71">
        <v>0.11588830929298105</v>
      </c>
      <c r="G14" s="24">
        <v>4721444.0582731226</v>
      </c>
      <c r="H14" s="24">
        <v>2679759.2504972774</v>
      </c>
      <c r="I14" s="24">
        <v>7401203.3087703995</v>
      </c>
      <c r="J14" s="24"/>
      <c r="K14" s="14">
        <v>3192499000</v>
      </c>
      <c r="L14" s="14"/>
      <c r="M14" s="38">
        <v>1.4790000000000001E-3</v>
      </c>
      <c r="N14" s="38">
        <v>8.3900000000000001E-4</v>
      </c>
      <c r="O14" s="38">
        <v>2.3180000000000002E-3</v>
      </c>
    </row>
    <row r="15" spans="1:16" x14ac:dyDescent="0.2">
      <c r="A15" s="16">
        <v>8</v>
      </c>
      <c r="B15" s="23" t="s">
        <v>12</v>
      </c>
      <c r="C15" s="84" t="s">
        <v>94</v>
      </c>
      <c r="D15" s="7">
        <v>512367189.60346317</v>
      </c>
      <c r="E15" s="73">
        <v>6.8866289029815383E-2</v>
      </c>
      <c r="G15" s="7">
        <v>2805704.3297881167</v>
      </c>
      <c r="H15" s="7">
        <v>1592439.1010702595</v>
      </c>
      <c r="I15" s="7">
        <v>4398143.4308583764</v>
      </c>
      <c r="J15" s="7"/>
      <c r="K15" s="8">
        <v>1993671000</v>
      </c>
      <c r="L15" s="8"/>
      <c r="M15" s="40">
        <v>1.407E-3</v>
      </c>
      <c r="N15" s="38">
        <v>7.9900000000000001E-4</v>
      </c>
      <c r="O15" s="40">
        <v>2.2060000000000001E-3</v>
      </c>
    </row>
    <row r="16" spans="1:16" x14ac:dyDescent="0.2">
      <c r="A16" s="16">
        <v>9</v>
      </c>
      <c r="B16" s="15" t="s">
        <v>13</v>
      </c>
      <c r="D16" s="6">
        <v>2270878503.4359579</v>
      </c>
      <c r="E16" s="72">
        <v>0.30522441433115188</v>
      </c>
      <c r="G16" s="6">
        <v>12435249.131475534</v>
      </c>
      <c r="H16" s="6">
        <v>7057898.7023935895</v>
      </c>
      <c r="I16" s="6">
        <v>19493147.833869122</v>
      </c>
      <c r="J16" s="6"/>
      <c r="K16" s="5">
        <v>8207179000</v>
      </c>
      <c r="L16" s="8"/>
      <c r="M16" s="39">
        <v>1.5150000000000001E-3</v>
      </c>
      <c r="N16" s="39">
        <v>8.5999999999999998E-4</v>
      </c>
      <c r="O16" s="39">
        <v>2.3749999999999999E-3</v>
      </c>
    </row>
    <row r="17" spans="1:15" x14ac:dyDescent="0.2">
      <c r="A17" s="16">
        <v>10</v>
      </c>
      <c r="D17" s="7"/>
      <c r="E17" s="73"/>
      <c r="G17" s="7"/>
      <c r="H17" s="7"/>
      <c r="I17" s="7"/>
      <c r="J17" s="7"/>
      <c r="K17" s="8"/>
      <c r="L17" s="8"/>
      <c r="M17" s="40"/>
      <c r="N17" s="40"/>
      <c r="O17" s="40"/>
    </row>
    <row r="18" spans="1:15" x14ac:dyDescent="0.2">
      <c r="A18" s="16">
        <v>11</v>
      </c>
      <c r="B18" s="12" t="s">
        <v>14</v>
      </c>
      <c r="D18" s="7"/>
      <c r="E18" s="73"/>
      <c r="G18" s="7"/>
      <c r="H18" s="7"/>
      <c r="I18" s="7"/>
      <c r="J18" s="7"/>
      <c r="K18" s="8"/>
      <c r="L18" s="8"/>
      <c r="M18" s="40"/>
      <c r="N18" s="40"/>
      <c r="O18" s="40"/>
    </row>
    <row r="19" spans="1:15" x14ac:dyDescent="0.2">
      <c r="A19" s="16">
        <v>12</v>
      </c>
      <c r="B19" s="23" t="s">
        <v>25</v>
      </c>
      <c r="C19" s="85" t="s">
        <v>104</v>
      </c>
      <c r="D19" s="24">
        <v>347606412</v>
      </c>
      <c r="E19" s="71">
        <v>4.6721109632206798E-2</v>
      </c>
      <c r="G19" s="24">
        <v>1903480.2286331255</v>
      </c>
      <c r="H19" s="24">
        <v>1080362.0010874264</v>
      </c>
      <c r="I19" s="24">
        <v>2983842.229720552</v>
      </c>
      <c r="J19" s="24"/>
      <c r="K19" s="14">
        <v>1357931000</v>
      </c>
      <c r="L19" s="14"/>
      <c r="M19" s="38">
        <v>1.402E-3</v>
      </c>
      <c r="N19" s="38">
        <v>7.9600000000000005E-4</v>
      </c>
      <c r="O19" s="38">
        <v>2.1980000000000003E-3</v>
      </c>
    </row>
    <row r="20" spans="1:15" x14ac:dyDescent="0.2">
      <c r="A20" s="16">
        <v>13</v>
      </c>
      <c r="B20" s="21" t="s">
        <v>15</v>
      </c>
      <c r="C20" s="84">
        <v>43</v>
      </c>
      <c r="D20" s="24">
        <v>53124070</v>
      </c>
      <c r="E20" s="71">
        <v>7.1403041281615596E-3</v>
      </c>
      <c r="G20" s="24">
        <v>290905.49949211569</v>
      </c>
      <c r="H20" s="24">
        <v>165109.80404788538</v>
      </c>
      <c r="I20" s="24">
        <v>456015.30354000104</v>
      </c>
      <c r="J20" s="24"/>
      <c r="K20" s="14">
        <v>121131000</v>
      </c>
      <c r="L20" s="14"/>
      <c r="M20" s="38">
        <v>2.4020000000000001E-3</v>
      </c>
      <c r="N20" s="38">
        <v>1.3630000000000001E-3</v>
      </c>
      <c r="O20" s="38">
        <v>3.7650000000000001E-3</v>
      </c>
    </row>
    <row r="21" spans="1:15" x14ac:dyDescent="0.2">
      <c r="A21" s="16">
        <v>14</v>
      </c>
      <c r="B21" s="19" t="s">
        <v>16</v>
      </c>
      <c r="D21" s="6">
        <v>400730482</v>
      </c>
      <c r="E21" s="72">
        <v>5.3861413760368355E-2</v>
      </c>
      <c r="G21" s="6">
        <v>2194385.7281252411</v>
      </c>
      <c r="H21" s="6">
        <v>1245471.8051353118</v>
      </c>
      <c r="I21" s="6">
        <v>3439857.5332605531</v>
      </c>
      <c r="J21" s="6"/>
      <c r="K21" s="5">
        <v>1479062000</v>
      </c>
      <c r="L21" s="8"/>
      <c r="M21" s="39">
        <v>1.4840000000000001E-3</v>
      </c>
      <c r="N21" s="39">
        <v>8.4199999999999998E-4</v>
      </c>
      <c r="O21" s="39">
        <v>2.3259999999999999E-3</v>
      </c>
    </row>
    <row r="22" spans="1:15" x14ac:dyDescent="0.2">
      <c r="A22" s="16">
        <v>15</v>
      </c>
      <c r="D22" s="13"/>
      <c r="E22" s="74"/>
      <c r="G22" s="13"/>
      <c r="H22" s="13"/>
      <c r="I22" s="13"/>
      <c r="J22" s="13"/>
      <c r="K22" s="33"/>
      <c r="L22" s="33"/>
      <c r="M22" s="37"/>
      <c r="N22" s="37"/>
      <c r="O22" s="37"/>
    </row>
    <row r="23" spans="1:15" x14ac:dyDescent="0.2">
      <c r="A23" s="16">
        <v>16</v>
      </c>
      <c r="B23" s="12" t="s">
        <v>17</v>
      </c>
      <c r="C23" s="84">
        <v>40</v>
      </c>
      <c r="D23" s="6">
        <v>182181512.15497708</v>
      </c>
      <c r="E23" s="72">
        <v>2.4486666840754075E-2</v>
      </c>
      <c r="G23" s="6">
        <v>997619.4179337644</v>
      </c>
      <c r="H23" s="6">
        <v>566220.80674646574</v>
      </c>
      <c r="I23" s="6">
        <v>1563840.22468023</v>
      </c>
      <c r="J23" s="6"/>
      <c r="K23" s="5">
        <v>665337000</v>
      </c>
      <c r="L23" s="8"/>
      <c r="M23" s="39">
        <v>1.4989999999999999E-3</v>
      </c>
      <c r="N23" s="39">
        <v>8.5099999999999998E-4</v>
      </c>
      <c r="O23" s="39">
        <v>2.3499999999999997E-3</v>
      </c>
    </row>
    <row r="24" spans="1:15" x14ac:dyDescent="0.2">
      <c r="A24" s="16">
        <v>17</v>
      </c>
      <c r="D24" s="13"/>
      <c r="E24" s="74"/>
      <c r="G24" s="13"/>
      <c r="H24" s="13"/>
      <c r="I24" s="13"/>
      <c r="J24" s="13"/>
      <c r="K24" s="33"/>
      <c r="L24" s="33"/>
      <c r="M24" s="37"/>
      <c r="N24" s="37"/>
      <c r="O24" s="37"/>
    </row>
    <row r="25" spans="1:15" x14ac:dyDescent="0.2">
      <c r="A25" s="16">
        <v>18</v>
      </c>
      <c r="B25" s="12" t="s">
        <v>27</v>
      </c>
      <c r="C25" s="85" t="s">
        <v>77</v>
      </c>
      <c r="D25" s="6">
        <v>118613433.2227883</v>
      </c>
      <c r="E25" s="72">
        <v>1.5942603548562653E-2</v>
      </c>
      <c r="G25" s="6">
        <v>649522.90060136467</v>
      </c>
      <c r="H25" s="6">
        <v>368650.98470169009</v>
      </c>
      <c r="I25" s="6">
        <v>1018173.8853030547</v>
      </c>
      <c r="J25" s="6"/>
      <c r="K25" s="5">
        <v>694791000</v>
      </c>
      <c r="L25" s="8"/>
      <c r="M25" s="39">
        <v>9.3499999999999996E-4</v>
      </c>
      <c r="N25" s="39">
        <v>5.31E-4</v>
      </c>
      <c r="O25" s="39">
        <v>1.4659999999999999E-3</v>
      </c>
    </row>
    <row r="26" spans="1:15" x14ac:dyDescent="0.2">
      <c r="A26" s="16">
        <v>19</v>
      </c>
      <c r="D26" s="13"/>
      <c r="E26" s="74"/>
      <c r="G26" s="13"/>
      <c r="H26" s="13"/>
      <c r="I26" s="13"/>
      <c r="J26" s="13"/>
      <c r="K26" s="33"/>
      <c r="L26" s="33"/>
      <c r="M26" s="37"/>
      <c r="N26" s="37"/>
      <c r="O26" s="37"/>
    </row>
    <row r="27" spans="1:15" x14ac:dyDescent="0.2">
      <c r="A27" s="16">
        <v>20</v>
      </c>
      <c r="B27" s="12" t="s">
        <v>19</v>
      </c>
      <c r="C27" s="84" t="s">
        <v>20</v>
      </c>
      <c r="D27" s="6">
        <v>86896433.930976748</v>
      </c>
      <c r="E27" s="72">
        <v>1.1679582643420798E-2</v>
      </c>
      <c r="G27" s="6">
        <v>475841.75152194517</v>
      </c>
      <c r="H27" s="6">
        <v>270074.43478640832</v>
      </c>
      <c r="I27" s="6">
        <v>745916.18630835344</v>
      </c>
      <c r="J27" s="6"/>
      <c r="K27" s="5">
        <v>72907000</v>
      </c>
      <c r="L27" s="8"/>
      <c r="M27" s="39">
        <v>6.5269999999999998E-3</v>
      </c>
      <c r="N27" s="39">
        <v>3.7039999999999998E-3</v>
      </c>
      <c r="O27" s="39">
        <v>1.0231000000000001E-2</v>
      </c>
    </row>
    <row r="28" spans="1:15" x14ac:dyDescent="0.2">
      <c r="A28" s="16">
        <v>21</v>
      </c>
      <c r="C28" s="84"/>
      <c r="D28" s="13"/>
      <c r="E28" s="74"/>
      <c r="G28" s="13"/>
      <c r="H28" s="13"/>
      <c r="I28" s="13"/>
      <c r="J28" s="13"/>
      <c r="K28" s="33"/>
      <c r="L28" s="33"/>
      <c r="M28" s="37"/>
      <c r="N28" s="37"/>
      <c r="O28" s="37"/>
    </row>
    <row r="29" spans="1:15" x14ac:dyDescent="0.2">
      <c r="A29" s="16">
        <v>22</v>
      </c>
      <c r="B29" s="19" t="s">
        <v>24</v>
      </c>
      <c r="C29" s="85" t="s">
        <v>78</v>
      </c>
      <c r="D29" s="6">
        <v>70553884.160327896</v>
      </c>
      <c r="E29" s="72">
        <v>9.4830119440739713E-3</v>
      </c>
      <c r="G29" s="6">
        <v>386350.53588268097</v>
      </c>
      <c r="H29" s="6">
        <v>219281.73026895235</v>
      </c>
      <c r="I29" s="6">
        <v>605632.26615163335</v>
      </c>
      <c r="J29" s="6"/>
      <c r="K29" s="5">
        <v>2021503000</v>
      </c>
      <c r="L29" s="8"/>
      <c r="M29" s="39">
        <v>1.9100000000000001E-4</v>
      </c>
      <c r="N29" s="39">
        <v>1.08E-4</v>
      </c>
      <c r="O29" s="39">
        <v>2.99E-4</v>
      </c>
    </row>
    <row r="30" spans="1:15" x14ac:dyDescent="0.2">
      <c r="A30" s="16">
        <v>23</v>
      </c>
      <c r="D30" s="13"/>
      <c r="E30" s="74"/>
      <c r="G30" s="13"/>
      <c r="H30" s="13"/>
      <c r="I30" s="13"/>
      <c r="J30" s="13"/>
      <c r="K30" s="33"/>
      <c r="L30" s="33"/>
      <c r="M30" s="37"/>
      <c r="N30" s="37"/>
      <c r="O30" s="37"/>
    </row>
    <row r="31" spans="1:15" ht="13.5" thickBot="1" x14ac:dyDescent="0.25">
      <c r="A31" s="16">
        <v>24</v>
      </c>
      <c r="B31" s="15" t="s">
        <v>21</v>
      </c>
      <c r="D31" s="11">
        <v>7430225622.5782251</v>
      </c>
      <c r="E31" s="75">
        <v>0.99868234278862855</v>
      </c>
      <c r="G31" s="11">
        <v>40687648.66990114</v>
      </c>
      <c r="H31" s="11">
        <v>23093168.437122155</v>
      </c>
      <c r="I31" s="11">
        <v>63780817.107023299</v>
      </c>
      <c r="J31" s="11"/>
      <c r="K31" s="18">
        <v>23382114000</v>
      </c>
      <c r="L31" s="8"/>
      <c r="M31" s="41">
        <v>1.74E-3</v>
      </c>
      <c r="N31" s="41">
        <v>9.8799999999999995E-4</v>
      </c>
      <c r="O31" s="41">
        <v>2.728E-3</v>
      </c>
    </row>
    <row r="32" spans="1:15" ht="13.5" thickTop="1" x14ac:dyDescent="0.2">
      <c r="A32" s="16">
        <v>25</v>
      </c>
      <c r="D32" s="17"/>
      <c r="E32" s="76"/>
      <c r="G32" s="17"/>
      <c r="H32" s="17"/>
      <c r="I32" s="17"/>
      <c r="J32" s="17"/>
      <c r="K32" s="34"/>
      <c r="L32" s="8"/>
      <c r="M32" s="63"/>
      <c r="N32" s="63"/>
      <c r="O32" s="63"/>
    </row>
    <row r="33" spans="1:16" x14ac:dyDescent="0.2">
      <c r="A33" s="16">
        <v>26</v>
      </c>
      <c r="B33" s="15" t="s">
        <v>23</v>
      </c>
      <c r="D33" s="6">
        <v>9803407.9048292413</v>
      </c>
      <c r="E33" s="72">
        <v>1.3176572113714913E-3</v>
      </c>
      <c r="G33" s="6">
        <v>53683.10962016476</v>
      </c>
      <c r="H33" s="6">
        <v>30469.02765860836</v>
      </c>
      <c r="I33" s="6">
        <v>84152.137278773123</v>
      </c>
      <c r="J33" s="6"/>
      <c r="K33" s="5">
        <v>6996000</v>
      </c>
      <c r="L33" s="8"/>
      <c r="M33" s="39">
        <v>7.6730000000000001E-3</v>
      </c>
      <c r="N33" s="39">
        <v>4.3550000000000004E-3</v>
      </c>
      <c r="O33" s="39">
        <v>1.2028E-2</v>
      </c>
    </row>
    <row r="34" spans="1:16" x14ac:dyDescent="0.2">
      <c r="A34" s="16">
        <v>27</v>
      </c>
      <c r="D34" s="13"/>
      <c r="E34" s="74"/>
      <c r="G34" s="13"/>
      <c r="H34" s="13"/>
      <c r="I34" s="13"/>
      <c r="J34" s="13"/>
      <c r="K34" s="33"/>
      <c r="L34" s="33"/>
      <c r="M34" s="37"/>
      <c r="N34" s="37"/>
      <c r="O34" s="37"/>
    </row>
    <row r="35" spans="1:16" ht="13.5" thickBot="1" x14ac:dyDescent="0.25">
      <c r="A35" s="16">
        <v>28</v>
      </c>
      <c r="B35" s="15" t="s">
        <v>22</v>
      </c>
      <c r="D35" s="11">
        <v>7440029030.4830542</v>
      </c>
      <c r="E35" s="75">
        <v>1</v>
      </c>
      <c r="G35" s="11">
        <v>40741331.779521301</v>
      </c>
      <c r="H35" s="11">
        <v>23123637.464780763</v>
      </c>
      <c r="I35" s="11">
        <v>63864969.244302072</v>
      </c>
      <c r="J35" s="11"/>
      <c r="K35" s="18">
        <v>23389110000</v>
      </c>
      <c r="L35" s="8"/>
      <c r="M35" s="41">
        <v>1.7420000000000001E-3</v>
      </c>
      <c r="N35" s="41">
        <v>9.8900000000000008E-4</v>
      </c>
      <c r="O35" s="41">
        <v>2.7309999999999999E-3</v>
      </c>
      <c r="P35" s="58"/>
    </row>
    <row r="36" spans="1:16" ht="13.5" thickTop="1" x14ac:dyDescent="0.2">
      <c r="A36" s="16">
        <v>29</v>
      </c>
      <c r="P36" s="59"/>
    </row>
    <row r="37" spans="1:16" ht="13.5" thickBot="1" x14ac:dyDescent="0.25">
      <c r="A37" s="16">
        <v>30</v>
      </c>
      <c r="B37" s="12" t="s">
        <v>82</v>
      </c>
      <c r="D37" s="13"/>
      <c r="G37" s="57">
        <v>40741331.779521301</v>
      </c>
      <c r="H37" s="57">
        <v>23123637.464780763</v>
      </c>
      <c r="I37" s="57">
        <v>63864969.244302064</v>
      </c>
    </row>
    <row r="38" spans="1:16" ht="13.5" thickTop="1" x14ac:dyDescent="0.2">
      <c r="G38" s="56" t="s">
        <v>6</v>
      </c>
      <c r="H38" s="56" t="s">
        <v>7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75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2018-03-27T07:00:00+00:00</OpenedDate>
    <SignificantOrder xmlns="dc463f71-b30c-4ab2-9473-d307f9d35888">false</SignificantOrder>
    <Date1 xmlns="dc463f71-b30c-4ab2-9473-d307f9d35888">2018-04-13T07:00:00+00:00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180257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08A17D4459EA42BB9689BF41845FF9" ma:contentTypeVersion="76" ma:contentTypeDescription="" ma:contentTypeScope="" ma:versionID="f574f313f1bfae73110230ce242bbd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93CE9-74B3-4515-B04F-22916B98AED9}"/>
</file>

<file path=customXml/itemProps2.xml><?xml version="1.0" encoding="utf-8"?>
<ds:datastoreItem xmlns:ds="http://schemas.openxmlformats.org/officeDocument/2006/customXml" ds:itemID="{10BEEF1A-1F22-45A5-9715-BC3B7D85A72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a7bd91e-004b-490a-8704-e368d63d59a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97FC358-DDFE-4795-B13D-FF541D85E0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F1D1E6-4365-4768-B448-11A074954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2018 Prop Tax Rate Impacts</vt:lpstr>
      <vt:lpstr>2018 Prop Tax Rate Design</vt:lpstr>
      <vt:lpstr>UE-170033 Compliance ECOS </vt:lpstr>
      <vt:lpstr>UE-111048 Compliance ECOS </vt:lpstr>
      <vt:lpstr>Final 2018 Rev Req</vt:lpstr>
      <vt:lpstr>2018 Street &amp; Area Lighting</vt:lpstr>
      <vt:lpstr>Typical Res Customer Sch 140</vt:lpstr>
      <vt:lpstr>Projected Revenue on F2017</vt:lpstr>
      <vt:lpstr>2017 Prop Tax Rate Design</vt:lpstr>
      <vt:lpstr>'2018 Prop Tax Rate Design'!Print_Area</vt:lpstr>
      <vt:lpstr>'2018 Prop Tax Rate Impacts'!Print_Area</vt:lpstr>
      <vt:lpstr>'2018 Street &amp; Area Lighting'!Print_Area</vt:lpstr>
      <vt:lpstr>'Projected Revenue on F2017'!Print_Area</vt:lpstr>
      <vt:lpstr>'Typical Res Customer Sch 140'!Print_Area</vt:lpstr>
      <vt:lpstr>'UE-111048 Compliance ECOS '!Print_Area</vt:lpstr>
      <vt:lpstr>'UE-170033 Compliance ECOS '!Print_Area</vt:lpstr>
      <vt:lpstr>'2018 Street &amp; Area Lighting'!Print_Titles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Huey, Lorilyn (UTC)</cp:lastModifiedBy>
  <cp:lastPrinted>2018-03-23T22:43:26Z</cp:lastPrinted>
  <dcterms:created xsi:type="dcterms:W3CDTF">2014-04-04T17:25:38Z</dcterms:created>
  <dcterms:modified xsi:type="dcterms:W3CDTF">2018-04-13T22:36:36Z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0x0101006E56B4D1795A2E4DB2F0B01679ED314A005908A17D4459EA42BB9689BF41845FF9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