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 tabRatio="867" firstSheet="2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B4" i="16" l="1"/>
  <c r="B3" i="3"/>
  <c r="B3" i="10"/>
  <c r="B3" i="13"/>
  <c r="B3" i="1"/>
  <c r="B3" i="8"/>
  <c r="B3" i="18"/>
  <c r="A3" i="5"/>
  <c r="A3" i="12"/>
  <c r="C22" i="16" l="1"/>
  <c r="C20" i="16"/>
  <c r="C19" i="16"/>
  <c r="C49" i="13"/>
  <c r="D37" i="13"/>
  <c r="D28" i="13"/>
  <c r="D21" i="13"/>
  <c r="D20" i="13"/>
  <c r="D16" i="13"/>
  <c r="D13" i="13"/>
  <c r="C11" i="8" l="1"/>
  <c r="D11" i="8"/>
  <c r="C42" i="12"/>
  <c r="C22" i="12"/>
  <c r="F14" i="18" l="1"/>
  <c r="C24" i="16" l="1"/>
  <c r="E19" i="3" l="1"/>
  <c r="D19" i="3"/>
  <c r="C21" i="16" l="1"/>
  <c r="C25" i="16" s="1"/>
  <c r="D47" i="10" l="1"/>
  <c r="D22" i="10"/>
  <c r="E54" i="13"/>
  <c r="D54" i="10" s="1"/>
  <c r="D53" i="13"/>
  <c r="C53" i="13"/>
  <c r="E52" i="13"/>
  <c r="D52" i="10" s="1"/>
  <c r="E51" i="13"/>
  <c r="D51" i="10" s="1"/>
  <c r="E50" i="13"/>
  <c r="E53" i="13" s="1"/>
  <c r="E48" i="13"/>
  <c r="D48" i="10" s="1"/>
  <c r="E47" i="13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50" i="10" l="1"/>
  <c r="D21" i="10"/>
  <c r="C25" i="13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58" i="13"/>
  <c r="G35" i="5"/>
  <c r="G28" i="5"/>
  <c r="G13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D35" i="12"/>
  <c r="C35" i="5" s="1"/>
  <c r="I34" i="12"/>
  <c r="I37" i="12" s="1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E15" i="18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5" i="1" l="1"/>
  <c r="C15" i="10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I45" i="2"/>
  <c r="F45" i="5" s="1"/>
  <c r="F46" i="5" s="1"/>
  <c r="F48" i="5" s="1"/>
  <c r="H45" i="2"/>
  <c r="C49" i="1"/>
  <c r="C58" i="1"/>
  <c r="C57" i="1"/>
  <c r="H46" i="2"/>
  <c r="H48" i="2" s="1"/>
  <c r="D34" i="2"/>
  <c r="D41" i="10"/>
  <c r="D49" i="10" s="1"/>
  <c r="G48" i="2"/>
  <c r="B48" i="2"/>
  <c r="B46" i="5"/>
  <c r="G48" i="5"/>
  <c r="B25" i="5"/>
  <c r="C48" i="5"/>
  <c r="F15" i="18" l="1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comments1.xml><?xml version="1.0" encoding="utf-8"?>
<comments xmlns="http://schemas.openxmlformats.org/spreadsheetml/2006/main">
  <authors>
    <author>Chad Holzer</author>
  </authors>
  <commentList>
    <comment ref="D41" authorId="0">
      <text>
        <r>
          <rPr>
            <b/>
            <sz val="9"/>
            <color indexed="81"/>
            <rFont val="Tahoma"/>
            <family val="2"/>
          </rPr>
          <t>Chad Holzer:</t>
        </r>
        <r>
          <rPr>
            <sz val="9"/>
            <color indexed="81"/>
            <rFont val="Tahoma"/>
            <family val="2"/>
          </rPr>
          <t xml:space="preserve">
Does not balance because of the nonoperating Net income Adjustment</t>
        </r>
      </text>
    </comment>
  </commentList>
</comments>
</file>

<file path=xl/sharedStrings.xml><?xml version="1.0" encoding="utf-8"?>
<sst xmlns="http://schemas.openxmlformats.org/spreadsheetml/2006/main" count="634" uniqueCount="269">
  <si>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</si>
  <si>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</si>
  <si>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</si>
  <si>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</si>
  <si>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</si>
  <si>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</si>
  <si>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</si>
  <si>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</si>
  <si>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</si>
  <si>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</si>
  <si>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</si>
  <si>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</si>
  <si>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</si>
  <si>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</si>
  <si>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</si>
  <si>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</si>
  <si>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</si>
  <si>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</si>
  <si>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</si>
  <si>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</si>
  <si>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</si>
  <si>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</si>
  <si>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</si>
  <si>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</si>
  <si>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</si>
  <si>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</si>
  <si>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</si>
  <si>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</si>
  <si>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</si>
  <si>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</si>
  <si>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</si>
  <si>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</si>
  <si>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</si>
  <si>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</si>
  <si>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</si>
  <si>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</si>
  <si>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</si>
  <si>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</si>
  <si>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</si>
  <si>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</si>
  <si>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</si>
  <si>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</si>
  <si>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</si>
  <si>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</si>
  <si>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</si>
  <si>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</si>
  <si>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</si>
  <si>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</si>
  <si>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</si>
  <si>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</si>
  <si>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</si>
  <si>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</si>
  <si>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</si>
  <si>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</si>
  <si>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</si>
  <si>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</si>
  <si>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</si>
  <si>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</si>
  <si>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</si>
  <si>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</si>
  <si>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</si>
  <si>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</si>
  <si>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</si>
  <si>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</si>
  <si>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</si>
  <si>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</si>
  <si>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</si>
  <si>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</si>
  <si>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</si>
  <si>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</si>
  <si>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</si>
  <si>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</si>
  <si>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</si>
  <si>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</si>
  <si>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</si>
  <si>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</si>
  <si>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</si>
  <si>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</si>
  <si>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</si>
  <si>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</si>
  <si>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</si>
  <si>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</si>
  <si>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</si>
  <si>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</si>
  <si>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</si>
  <si>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</si>
  <si>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</si>
  <si>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</si>
  <si>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</si>
  <si>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</si>
  <si>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</si>
  <si>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</si>
  <si>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</si>
  <si>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</si>
  <si>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</si>
  <si>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</si>
  <si>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</si>
  <si>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</si>
  <si>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</si>
  <si>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</si>
  <si>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</si>
  <si>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</si>
  <si>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</si>
  <si>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</si>
  <si>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</si>
  <si>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</si>
  <si>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</si>
  <si>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</si>
  <si>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</si>
  <si>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</si>
  <si>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</si>
  <si>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</si>
  <si>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</si>
  <si>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</si>
  <si>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</si>
  <si>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</si>
  <si>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</si>
  <si>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</si>
  <si>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</si>
  <si>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</si>
  <si>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</si>
  <si>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</si>
  <si>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</si>
  <si>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</si>
  <si>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</si>
  <si>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</si>
  <si>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</si>
  <si>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</si>
  <si>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</si>
  <si>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</si>
  <si>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</si>
  <si>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</si>
  <si>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</si>
  <si>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</si>
  <si>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</si>
  <si>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</si>
  <si>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</si>
  <si>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</si>
  <si>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</si>
  <si>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</si>
  <si>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</si>
  <si>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</si>
  <si>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</si>
  <si>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</si>
  <si>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</si>
  <si>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</si>
  <si>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</si>
  <si>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</si>
  <si>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</si>
  <si>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</si>
  <si>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</si>
  <si>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</si>
  <si>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</si>
  <si>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</si>
  <si>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</si>
  <si>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</si>
  <si>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</si>
  <si>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</si>
  <si>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</si>
  <si>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</si>
  <si>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</si>
  <si>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</si>
  <si>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</si>
  <si>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</si>
  <si>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</si>
  <si>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</si>
  <si>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</si>
  <si>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</si>
  <si>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</si>
  <si>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</si>
  <si>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</si>
  <si>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</si>
  <si>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</si>
  <si>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</si>
  <si>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</si>
  <si>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</si>
  <si>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</si>
  <si>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</si>
  <si>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</si>
  <si>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</si>
  <si>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</si>
  <si>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</si>
  <si>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</si>
  <si>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</si>
  <si>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</si>
  <si>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</si>
  <si>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</si>
  <si>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</si>
  <si>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</si>
  <si>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</si>
  <si>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</si>
  <si>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</si>
  <si>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</si>
  <si>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</si>
  <si>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</si>
  <si>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</si>
  <si>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</si>
  <si>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</si>
  <si>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</si>
  <si>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</si>
  <si>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</si>
  <si>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</si>
  <si>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</si>
  <si>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</si>
  <si>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</si>
  <si>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</si>
  <si>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</si>
  <si>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</si>
  <si>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</si>
  <si>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</si>
  <si>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</si>
  <si>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</si>
  <si>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</si>
  <si>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</si>
  <si>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</si>
  <si>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</si>
  <si>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</si>
  <si>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</si>
  <si>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</si>
  <si>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</si>
  <si>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</si>
  <si>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</si>
  <si>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</si>
  <si>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</si>
  <si>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</si>
  <si>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</si>
  <si>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</si>
  <si>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</si>
  <si>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</si>
  <si>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</si>
  <si>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</si>
  <si>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</si>
  <si>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</si>
  <si>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</si>
  <si>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</si>
  <si>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</si>
  <si>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</si>
  <si>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</si>
  <si>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</si>
  <si>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</si>
  <si>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</si>
  <si>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</si>
  <si>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</si>
  <si>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</si>
  <si>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</si>
  <si>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</si>
  <si>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</si>
  <si>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</si>
  <si>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</si>
  <si>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</si>
  <si>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</si>
  <si>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</si>
  <si>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</si>
  <si>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</si>
  <si>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</si>
  <si>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</si>
  <si>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</si>
  <si>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</si>
  <si>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</si>
  <si>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</si>
  <si>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</si>
  <si>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</si>
  <si>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</si>
  <si>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</si>
  <si>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</si>
  <si>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</si>
  <si>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</si>
  <si>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</si>
  <si>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Pend Oreille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</si>
</sst>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A25" sqref="A25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B4" sqref="B4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tr">
        <f>+IncomeStmtSummary!B3</f>
        <v>Pend Oreille Telephone Company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207356</v>
      </c>
      <c r="E9" s="56">
        <v>198134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139966.71</v>
      </c>
      <c r="E11" s="53">
        <v>104407</v>
      </c>
    </row>
    <row r="12" spans="1:5" x14ac:dyDescent="0.25">
      <c r="A12" s="11" t="s">
        <v>217</v>
      </c>
      <c r="B12" s="18" t="s">
        <v>260</v>
      </c>
      <c r="C12" s="11"/>
      <c r="D12" s="53">
        <v>331599</v>
      </c>
      <c r="E12" s="53">
        <v>30993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98911.53</v>
      </c>
      <c r="E14" s="53">
        <v>111417</v>
      </c>
    </row>
    <row r="15" spans="1:5" x14ac:dyDescent="0.25">
      <c r="A15" s="11" t="s">
        <v>219</v>
      </c>
      <c r="B15" s="18" t="s">
        <v>169</v>
      </c>
      <c r="C15" s="11"/>
      <c r="D15" s="53">
        <v>308228.21000000002</v>
      </c>
      <c r="E15" s="53">
        <v>302822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1062348</v>
      </c>
      <c r="E16" s="53">
        <v>1158803</v>
      </c>
    </row>
    <row r="17" spans="1:5" x14ac:dyDescent="0.25">
      <c r="A17" s="11">
        <v>5</v>
      </c>
      <c r="B17" s="18" t="s">
        <v>241</v>
      </c>
      <c r="C17" s="11"/>
      <c r="D17" s="53">
        <v>0</v>
      </c>
      <c r="E17" s="53">
        <v>-1444</v>
      </c>
    </row>
    <row r="18" spans="1:5" x14ac:dyDescent="0.25">
      <c r="A18" s="11">
        <v>6</v>
      </c>
      <c r="B18" s="18" t="s">
        <v>194</v>
      </c>
      <c r="C18" s="12"/>
      <c r="D18" s="54">
        <v>0</v>
      </c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2148409.4500000002</v>
      </c>
      <c r="E19" s="36">
        <f>E9+E11+E12+E14+E15+E16+E17+E18</f>
        <v>1905132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2148409.58</v>
      </c>
      <c r="E20" s="38">
        <f>IncomeStmtSummary!D10</f>
        <v>1905132.29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-0.12999999988824129</v>
      </c>
      <c r="E21" s="35">
        <f>E19-E20</f>
        <v>-0.2900000000372529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>
      <selection activeCell="A25" sqref="A25"/>
    </sheetView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zoomScaleNormal="100" workbookViewId="0">
      <selection activeCell="K35" sqref="K35"/>
    </sheetView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tr">
        <f>+AccessRevDetail!B3</f>
        <v>Pend Oreille Telephone Company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2834579.9999999991</v>
      </c>
    </row>
    <row r="11" spans="1:3" x14ac:dyDescent="0.25">
      <c r="A11" s="78">
        <v>2</v>
      </c>
      <c r="B11" s="83" t="s">
        <v>206</v>
      </c>
      <c r="C11" s="105">
        <f>'RateBase '!E15</f>
        <v>2525250.6100000003</v>
      </c>
    </row>
    <row r="12" spans="1:3" x14ac:dyDescent="0.25">
      <c r="A12" s="78">
        <v>3</v>
      </c>
      <c r="B12" s="98" t="s">
        <v>207</v>
      </c>
      <c r="C12" s="85">
        <f>(C10+C11)/2</f>
        <v>2679915.3049999997</v>
      </c>
    </row>
    <row r="13" spans="1:3" x14ac:dyDescent="0.25">
      <c r="A13" s="78">
        <v>4</v>
      </c>
      <c r="B13" s="83" t="s">
        <v>208</v>
      </c>
      <c r="C13" s="60">
        <f>IncomeStmtSummary!D31</f>
        <v>130207.13999999961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130207.13999999961</v>
      </c>
    </row>
    <row r="16" spans="1:3" x14ac:dyDescent="0.25">
      <c r="A16" s="78">
        <v>7</v>
      </c>
      <c r="B16" s="98" t="s">
        <v>209</v>
      </c>
      <c r="C16" s="86">
        <f>C15/C12</f>
        <v>4.8586289184985872E-2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f>+'BalanceSheet(Summary)'!F46</f>
        <v>2650518.36</v>
      </c>
    </row>
    <row r="20" spans="1:7" x14ac:dyDescent="0.25">
      <c r="A20" s="78">
        <v>9</v>
      </c>
      <c r="B20" s="83" t="s">
        <v>214</v>
      </c>
      <c r="C20" s="88">
        <f>+'BalanceSheet(Summary)'!G46</f>
        <v>2354771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2502644.6799999997</v>
      </c>
    </row>
    <row r="22" spans="1:7" x14ac:dyDescent="0.25">
      <c r="A22" s="78">
        <v>11</v>
      </c>
      <c r="B22" s="83" t="s">
        <v>215</v>
      </c>
      <c r="C22" s="53">
        <f>+'CurrentYearIncomeStmt '!C41</f>
        <v>-295747.58000000083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-295747.58000000083</v>
      </c>
    </row>
    <row r="25" spans="1:7" x14ac:dyDescent="0.25">
      <c r="A25" s="95">
        <v>14</v>
      </c>
      <c r="B25" s="102" t="s">
        <v>211</v>
      </c>
      <c r="C25" s="89">
        <f>C24/C21</f>
        <v>-0.11817401901415781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="70" zoomScaleNormal="7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317801.31</v>
      </c>
      <c r="C10" s="57"/>
      <c r="D10" s="60">
        <f>SUM(B10:C10)</f>
        <v>317801.31</v>
      </c>
      <c r="E10" s="18"/>
      <c r="F10" s="18" t="s">
        <v>78</v>
      </c>
      <c r="G10" s="53">
        <v>124045.75999999999</v>
      </c>
      <c r="H10" s="57"/>
      <c r="I10" s="60">
        <f>SUM(G10:H10)</f>
        <v>124045.75999999999</v>
      </c>
    </row>
    <row r="11" spans="1:9" x14ac:dyDescent="0.25">
      <c r="A11" s="18" t="s">
        <v>148</v>
      </c>
      <c r="B11" s="53">
        <v>864.5</v>
      </c>
      <c r="C11" s="57"/>
      <c r="D11" s="60">
        <f>SUM(B11:C11)</f>
        <v>864.5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0</v>
      </c>
      <c r="H12" s="57"/>
      <c r="I12" s="60">
        <f t="shared" si="0"/>
        <v>0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3670</v>
      </c>
      <c r="H13" s="57"/>
      <c r="I13" s="60">
        <f t="shared" si="0"/>
        <v>3670</v>
      </c>
    </row>
    <row r="14" spans="1:9" x14ac:dyDescent="0.25">
      <c r="A14" s="18" t="s">
        <v>47</v>
      </c>
      <c r="B14" s="53">
        <v>184463.79</v>
      </c>
      <c r="C14" s="57"/>
      <c r="D14" s="60">
        <f t="shared" ref="D14:D15" si="1">SUM(B14:C14)</f>
        <v>184463.79</v>
      </c>
      <c r="E14" s="18"/>
      <c r="F14" s="18" t="s">
        <v>84</v>
      </c>
      <c r="G14" s="53">
        <v>87435</v>
      </c>
      <c r="H14" s="57"/>
      <c r="I14" s="60">
        <f t="shared" si="0"/>
        <v>87435</v>
      </c>
    </row>
    <row r="15" spans="1:9" x14ac:dyDescent="0.25">
      <c r="A15" s="18" t="s">
        <v>45</v>
      </c>
      <c r="B15" s="53">
        <v>78745.91</v>
      </c>
      <c r="C15" s="57"/>
      <c r="D15" s="60">
        <f t="shared" si="1"/>
        <v>78745.91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46546.46</v>
      </c>
      <c r="C17" s="57"/>
      <c r="D17" s="60">
        <f>SUM(B17:C17)</f>
        <v>46546.46</v>
      </c>
      <c r="E17" s="19"/>
      <c r="F17" s="18" t="s">
        <v>87</v>
      </c>
      <c r="G17" s="53">
        <v>0</v>
      </c>
      <c r="H17" s="57"/>
      <c r="I17" s="60">
        <f t="shared" si="0"/>
        <v>0</v>
      </c>
    </row>
    <row r="18" spans="1:9" x14ac:dyDescent="0.25">
      <c r="A18" s="18" t="s">
        <v>47</v>
      </c>
      <c r="B18" s="53">
        <v>265892.08</v>
      </c>
      <c r="C18" s="57"/>
      <c r="D18" s="60">
        <f t="shared" ref="D18:D24" si="2">SUM(B18:C18)</f>
        <v>265892.08</v>
      </c>
      <c r="E18" s="18"/>
      <c r="F18" s="18" t="s">
        <v>88</v>
      </c>
      <c r="G18" s="53">
        <v>0</v>
      </c>
      <c r="H18" s="57"/>
      <c r="I18" s="60">
        <f t="shared" si="0"/>
        <v>0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54770.98</v>
      </c>
      <c r="H19" s="67"/>
      <c r="I19" s="61">
        <f t="shared" si="0"/>
        <v>54770.98</v>
      </c>
    </row>
    <row r="20" spans="1:9" x14ac:dyDescent="0.25">
      <c r="A20" s="18" t="s">
        <v>48</v>
      </c>
      <c r="B20" s="53">
        <v>0</v>
      </c>
      <c r="C20" s="57"/>
      <c r="D20" s="60">
        <f t="shared" si="2"/>
        <v>0</v>
      </c>
      <c r="E20" s="18"/>
      <c r="F20" s="18" t="s">
        <v>120</v>
      </c>
      <c r="G20" s="60">
        <f>SUM(G10:G19)</f>
        <v>269921.74</v>
      </c>
      <c r="H20" s="60">
        <f>SUM(H10:H19)</f>
        <v>0</v>
      </c>
      <c r="I20" s="60">
        <f t="shared" ref="I20" si="3">SUM(I10:I19)</f>
        <v>269921.74</v>
      </c>
    </row>
    <row r="21" spans="1:9" x14ac:dyDescent="0.25">
      <c r="A21" s="18" t="s">
        <v>49</v>
      </c>
      <c r="B21" s="53">
        <v>220525.79</v>
      </c>
      <c r="C21" s="55">
        <v>0</v>
      </c>
      <c r="D21" s="60">
        <f t="shared" si="2"/>
        <v>220525.79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5862.46</v>
      </c>
      <c r="C22" s="57"/>
      <c r="D22" s="60">
        <f t="shared" si="2"/>
        <v>5862.46</v>
      </c>
      <c r="E22" s="18"/>
      <c r="F22" s="18" t="s">
        <v>92</v>
      </c>
      <c r="G22" s="53">
        <v>1295829.3999999999</v>
      </c>
      <c r="H22" s="57"/>
      <c r="I22" s="60">
        <f>SUM(G22:H22)</f>
        <v>1295829.3999999999</v>
      </c>
    </row>
    <row r="23" spans="1:9" x14ac:dyDescent="0.25">
      <c r="A23" s="18" t="s">
        <v>51</v>
      </c>
      <c r="B23" s="53">
        <v>0</v>
      </c>
      <c r="C23" s="57"/>
      <c r="D23" s="60">
        <f t="shared" si="2"/>
        <v>0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67389.59</v>
      </c>
      <c r="C24" s="67"/>
      <c r="D24" s="61">
        <f t="shared" si="2"/>
        <v>67389.59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1188091.8900000001</v>
      </c>
      <c r="C25" s="60">
        <f>C10+C11+C13+C14+C15+C17+C18+C19+C20+C21+C22+C23+C24</f>
        <v>0</v>
      </c>
      <c r="D25" s="60">
        <f t="shared" ref="D25" si="5">D10+D11+D13+D14+D15+D17+D18+D19+D20+D21+D22+D23+D24</f>
        <v>1188091.8900000001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1295829.3999999999</v>
      </c>
      <c r="H32" s="60">
        <f>SUM(H22:H31)</f>
        <v>0</v>
      </c>
      <c r="I32" s="60">
        <f t="shared" ref="I32" si="6">SUM(I22:I31)</f>
        <v>1295829.3999999999</v>
      </c>
    </row>
    <row r="33" spans="1:9" x14ac:dyDescent="0.25">
      <c r="A33" s="18" t="s">
        <v>58</v>
      </c>
      <c r="B33" s="53">
        <v>367589.57</v>
      </c>
      <c r="C33" s="57"/>
      <c r="D33" s="60">
        <f t="shared" ref="D33:D37" si="7">SUM(B33:C33)</f>
        <v>367589.57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0</v>
      </c>
      <c r="C34" s="72">
        <f>-1*(C25+C29+C30+C32+C33+C35+C36+C37+C46)</f>
        <v>6563</v>
      </c>
      <c r="D34" s="60">
        <f t="shared" si="7"/>
        <v>6563</v>
      </c>
      <c r="E34" s="18"/>
      <c r="F34" s="18" t="s">
        <v>103</v>
      </c>
      <c r="G34" s="53">
        <v>0</v>
      </c>
      <c r="H34" s="57"/>
      <c r="I34" s="60">
        <f>SUM(G34:H34)</f>
        <v>0</v>
      </c>
    </row>
    <row r="35" spans="1:9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0</v>
      </c>
      <c r="H35" s="53"/>
      <c r="I35" s="60">
        <f t="shared" ref="I35:I36" si="8">SUM(G35:H35)</f>
        <v>0</v>
      </c>
    </row>
    <row r="36" spans="1:9" x14ac:dyDescent="0.25">
      <c r="A36" s="18" t="s">
        <v>63</v>
      </c>
      <c r="B36" s="53">
        <v>0</v>
      </c>
      <c r="C36" s="57"/>
      <c r="D36" s="60">
        <f t="shared" si="7"/>
        <v>0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9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9" x14ac:dyDescent="0.25">
      <c r="A38" s="18" t="s">
        <v>65</v>
      </c>
      <c r="B38" s="60">
        <f>B29+B30+B32+B33+B34+B35+B36+B37</f>
        <v>367589.57</v>
      </c>
      <c r="C38" s="60">
        <f>C29+C30+C32+C33+C34+C35+C36+C37</f>
        <v>6563</v>
      </c>
      <c r="D38" s="60">
        <f t="shared" ref="D38" si="10">D29+D30+D32+D33+D34+D35+D36+D37</f>
        <v>374152.57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2666346</v>
      </c>
      <c r="H39" s="23"/>
      <c r="I39" s="60">
        <f>SUM(G39:H39)</f>
        <v>2666346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60">
        <f t="shared" ref="I40:I45" si="11">SUM(G40:H40)</f>
        <v>0</v>
      </c>
    </row>
    <row r="41" spans="1:9" x14ac:dyDescent="0.25">
      <c r="A41" s="18" t="s">
        <v>190</v>
      </c>
      <c r="B41" s="53">
        <v>16617821.869999999</v>
      </c>
      <c r="C41" s="53">
        <v>-30841</v>
      </c>
      <c r="D41" s="60">
        <f>SUM(B41:C41)</f>
        <v>16586980.869999999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9" x14ac:dyDescent="0.25">
      <c r="A42" s="18" t="s">
        <v>68</v>
      </c>
      <c r="B42" s="53">
        <v>1250</v>
      </c>
      <c r="C42" s="53"/>
      <c r="D42" s="60">
        <f t="shared" ref="D42:D45" si="12">SUM(B42:C42)</f>
        <v>1250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9" x14ac:dyDescent="0.25">
      <c r="A43" s="18" t="s">
        <v>69</v>
      </c>
      <c r="B43" s="53">
        <v>39970.83</v>
      </c>
      <c r="C43" s="53"/>
      <c r="D43" s="60">
        <f t="shared" si="12"/>
        <v>39970.83</v>
      </c>
      <c r="E43" s="18"/>
      <c r="F43" s="18" t="s">
        <v>111</v>
      </c>
      <c r="G43" s="53">
        <v>0</v>
      </c>
      <c r="H43" s="23"/>
      <c r="I43" s="60">
        <f t="shared" si="11"/>
        <v>0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9" x14ac:dyDescent="0.25">
      <c r="A45" s="18" t="s">
        <v>121</v>
      </c>
      <c r="B45" s="54">
        <v>-13998454.66</v>
      </c>
      <c r="C45" s="54">
        <v>24278</v>
      </c>
      <c r="D45" s="61">
        <f t="shared" si="12"/>
        <v>-13974176.66</v>
      </c>
      <c r="E45" s="18"/>
      <c r="F45" s="18" t="s">
        <v>181</v>
      </c>
      <c r="G45" s="54">
        <v>-15827.64</v>
      </c>
      <c r="H45" s="106">
        <f>-1*(H20+H32+H37)</f>
        <v>0</v>
      </c>
      <c r="I45" s="61">
        <f t="shared" si="11"/>
        <v>-15827.64</v>
      </c>
    </row>
    <row r="46" spans="1:9" x14ac:dyDescent="0.25">
      <c r="A46" s="18" t="s">
        <v>71</v>
      </c>
      <c r="B46" s="60">
        <f>B41+B42+B43+B44+B45</f>
        <v>2660588.0399999991</v>
      </c>
      <c r="C46" s="60">
        <f t="shared" ref="C46:D46" si="13">C41+C42+C43+C44+C45</f>
        <v>-6563</v>
      </c>
      <c r="D46" s="60">
        <f t="shared" si="13"/>
        <v>2654025.0399999991</v>
      </c>
      <c r="E46" s="18"/>
      <c r="F46" s="18" t="s">
        <v>114</v>
      </c>
      <c r="G46" s="60">
        <f>SUM(G39:G45)</f>
        <v>2650518.36</v>
      </c>
      <c r="H46" s="63">
        <f t="shared" ref="H46:I46" si="14">SUM(H39:H45)</f>
        <v>0</v>
      </c>
      <c r="I46" s="60">
        <f t="shared" si="14"/>
        <v>2650518.36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4216269.4999999991</v>
      </c>
      <c r="C48" s="62">
        <f t="shared" ref="C48:D48" si="15">C25+C38+C46</f>
        <v>0</v>
      </c>
      <c r="D48" s="62">
        <f t="shared" si="15"/>
        <v>4216269.4999999991</v>
      </c>
      <c r="E48" s="18"/>
      <c r="F48" s="22" t="s">
        <v>115</v>
      </c>
      <c r="G48" s="62">
        <f>G20+G32+G37+G46</f>
        <v>4216269.5</v>
      </c>
      <c r="H48" s="62">
        <f t="shared" ref="H48:I48" si="16">H20+H32+H37+H46</f>
        <v>0</v>
      </c>
      <c r="I48" s="62">
        <f t="shared" si="16"/>
        <v>4216269.5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tr">
        <f>+PriorYearBalanceSheet!A3</f>
        <v>Pend Oreille Telephone Company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566520.74</v>
      </c>
      <c r="C10" s="57"/>
      <c r="D10" s="60">
        <f>SUM(B10:C10)</f>
        <v>566520.74</v>
      </c>
      <c r="E10" s="18"/>
      <c r="F10" s="18" t="s">
        <v>78</v>
      </c>
      <c r="G10" s="53">
        <v>142660.13</v>
      </c>
      <c r="H10" s="57"/>
      <c r="I10" s="60">
        <f>SUM(G10:H10)</f>
        <v>142660.13</v>
      </c>
    </row>
    <row r="11" spans="1:9" x14ac:dyDescent="0.25">
      <c r="A11" s="18" t="s">
        <v>148</v>
      </c>
      <c r="B11" s="53">
        <v>864.5</v>
      </c>
      <c r="C11" s="57"/>
      <c r="D11" s="60">
        <f>SUM(B11:C11)</f>
        <v>864.5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0</v>
      </c>
      <c r="H12" s="57"/>
      <c r="I12" s="60">
        <f t="shared" si="0"/>
        <v>0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4910</v>
      </c>
      <c r="H13" s="57"/>
      <c r="I13" s="60">
        <f t="shared" si="0"/>
        <v>4910</v>
      </c>
    </row>
    <row r="14" spans="1:9" x14ac:dyDescent="0.25">
      <c r="A14" s="18" t="s">
        <v>47</v>
      </c>
      <c r="B14" s="53">
        <v>293881.59999999998</v>
      </c>
      <c r="C14" s="57"/>
      <c r="D14" s="60">
        <f t="shared" ref="D14:D15" si="1">SUM(B14:C14)</f>
        <v>293881.59999999998</v>
      </c>
      <c r="E14" s="18"/>
      <c r="F14" s="18" t="s">
        <v>84</v>
      </c>
      <c r="G14" s="53">
        <v>93408</v>
      </c>
      <c r="H14" s="57"/>
      <c r="I14" s="60">
        <f t="shared" si="0"/>
        <v>93408</v>
      </c>
    </row>
    <row r="15" spans="1:9" x14ac:dyDescent="0.25">
      <c r="A15" s="18" t="s">
        <v>45</v>
      </c>
      <c r="B15" s="53">
        <v>80746.720000000001</v>
      </c>
      <c r="C15" s="57"/>
      <c r="D15" s="60">
        <f t="shared" si="1"/>
        <v>80746.720000000001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57788.34</v>
      </c>
      <c r="C17" s="57"/>
      <c r="D17" s="60">
        <f>SUM(B17:C17)</f>
        <v>57788.34</v>
      </c>
      <c r="E17" s="19"/>
      <c r="F17" s="18" t="s">
        <v>87</v>
      </c>
      <c r="G17" s="53">
        <v>0</v>
      </c>
      <c r="H17" s="57"/>
      <c r="I17" s="60">
        <f t="shared" si="0"/>
        <v>0</v>
      </c>
    </row>
    <row r="18" spans="1:9" x14ac:dyDescent="0.25">
      <c r="A18" s="18" t="s">
        <v>47</v>
      </c>
      <c r="B18" s="53">
        <v>209746.9</v>
      </c>
      <c r="C18" s="57"/>
      <c r="D18" s="60">
        <f t="shared" ref="D18:D24" si="2">SUM(B18:C18)</f>
        <v>209746.9</v>
      </c>
      <c r="E18" s="18"/>
      <c r="F18" s="18" t="s">
        <v>88</v>
      </c>
      <c r="G18" s="53">
        <v>0</v>
      </c>
      <c r="H18" s="57"/>
      <c r="I18" s="60">
        <f t="shared" si="0"/>
        <v>0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52379.13</v>
      </c>
      <c r="H19" s="67"/>
      <c r="I19" s="61">
        <f t="shared" si="0"/>
        <v>52379.13</v>
      </c>
    </row>
    <row r="20" spans="1:9" x14ac:dyDescent="0.25">
      <c r="A20" s="18" t="s">
        <v>48</v>
      </c>
      <c r="B20" s="53">
        <v>0</v>
      </c>
      <c r="C20" s="57"/>
      <c r="D20" s="60">
        <f t="shared" si="2"/>
        <v>0</v>
      </c>
      <c r="E20" s="18"/>
      <c r="F20" s="18" t="s">
        <v>120</v>
      </c>
      <c r="G20" s="60">
        <f>SUM(G10:G19)</f>
        <v>293357.26</v>
      </c>
      <c r="H20" s="60">
        <f>SUM(H10:H19)</f>
        <v>0</v>
      </c>
      <c r="I20" s="60">
        <f t="shared" ref="I20" si="3">SUM(I10:I19)</f>
        <v>293357.26</v>
      </c>
    </row>
    <row r="21" spans="1:9" x14ac:dyDescent="0.25">
      <c r="A21" s="18" t="s">
        <v>49</v>
      </c>
      <c r="B21" s="53">
        <v>218892.38</v>
      </c>
      <c r="C21" s="55"/>
      <c r="D21" s="60">
        <f t="shared" si="2"/>
        <v>218892.38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9717.2800000000007</v>
      </c>
      <c r="C22" s="108">
        <f>-B22</f>
        <v>-9717.2800000000007</v>
      </c>
      <c r="D22" s="60">
        <f t="shared" si="2"/>
        <v>0</v>
      </c>
      <c r="E22" s="18"/>
      <c r="F22" s="18" t="s">
        <v>92</v>
      </c>
      <c r="G22" s="53">
        <v>1200832.21</v>
      </c>
      <c r="H22" s="57"/>
      <c r="I22" s="60">
        <f>SUM(G22:H22)</f>
        <v>1200832.21</v>
      </c>
    </row>
    <row r="23" spans="1:9" x14ac:dyDescent="0.25">
      <c r="A23" s="18" t="s">
        <v>51</v>
      </c>
      <c r="B23" s="53">
        <v>0</v>
      </c>
      <c r="C23" s="57"/>
      <c r="D23" s="60">
        <f t="shared" si="2"/>
        <v>0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67799.14</v>
      </c>
      <c r="C24" s="67"/>
      <c r="D24" s="61">
        <f t="shared" si="2"/>
        <v>67799.14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1505957.5999999996</v>
      </c>
      <c r="C25" s="60">
        <f>C10+C11+C13+C14+C15+C17+C18+C19+C20+C21+C22+C23+C24</f>
        <v>-9717.2800000000007</v>
      </c>
      <c r="D25" s="60">
        <f t="shared" ref="D25" si="5">D10+D11+D13+D14+D15+D17+D18+D19+D20+D21+D22+D23+D24</f>
        <v>1496240.3199999996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1200832.21</v>
      </c>
      <c r="H32" s="60">
        <f>SUM(H22:H31)</f>
        <v>0</v>
      </c>
      <c r="I32" s="60">
        <f t="shared" ref="I32" si="6">SUM(I22:I31)</f>
        <v>1200832.21</v>
      </c>
    </row>
    <row r="33" spans="1:11" x14ac:dyDescent="0.25">
      <c r="A33" s="18" t="s">
        <v>58</v>
      </c>
      <c r="B33" s="53">
        <v>367590</v>
      </c>
      <c r="C33" s="57"/>
      <c r="D33" s="60">
        <f t="shared" ref="D33:D37" si="7">SUM(B33:C33)</f>
        <v>367590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0</v>
      </c>
      <c r="C34" s="72">
        <f>-1*(C25+C29+C30+C32+C33+C35+C36+C37+C46)</f>
        <v>14516.28</v>
      </c>
      <c r="D34" s="60">
        <f t="shared" si="7"/>
        <v>14516.28</v>
      </c>
      <c r="E34" s="18"/>
      <c r="F34" s="18" t="s">
        <v>103</v>
      </c>
      <c r="G34" s="53">
        <v>342946</v>
      </c>
      <c r="H34" s="57"/>
      <c r="I34" s="60">
        <f>SUM(G34:H34)</f>
        <v>342946</v>
      </c>
    </row>
    <row r="35" spans="1:11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0</v>
      </c>
      <c r="H35" s="53"/>
      <c r="I35" s="60">
        <f t="shared" ref="I35:I36" si="8">SUM(G35:H35)</f>
        <v>0</v>
      </c>
    </row>
    <row r="36" spans="1:11" x14ac:dyDescent="0.25">
      <c r="A36" s="18" t="s">
        <v>63</v>
      </c>
      <c r="B36" s="53">
        <v>0</v>
      </c>
      <c r="C36" s="57"/>
      <c r="D36" s="60">
        <f t="shared" si="7"/>
        <v>0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11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342946</v>
      </c>
      <c r="H37" s="60">
        <f t="shared" ref="H37:I37" si="9">SUM(H34:H36)</f>
        <v>0</v>
      </c>
      <c r="I37" s="60">
        <f t="shared" si="9"/>
        <v>342946</v>
      </c>
    </row>
    <row r="38" spans="1:11" x14ac:dyDescent="0.25">
      <c r="A38" s="18" t="s">
        <v>65</v>
      </c>
      <c r="B38" s="60">
        <f>B29+B30+B32+B33+B34+B35+B36+B37</f>
        <v>367590</v>
      </c>
      <c r="C38" s="60">
        <f>C29+C30+C32+C33+C34+C35+C36+C37</f>
        <v>14516.28</v>
      </c>
      <c r="D38" s="60">
        <f t="shared" ref="D38" si="10">D29+D30+D32+D33+D34+D35+D36+D37</f>
        <v>382106.28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2666346</v>
      </c>
      <c r="H39" s="23"/>
      <c r="I39" s="60">
        <f>SUM(G39:H39)</f>
        <v>2666346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60">
        <f t="shared" ref="I40:I45" si="11">SUM(G40:H40)</f>
        <v>0</v>
      </c>
    </row>
    <row r="41" spans="1:11" x14ac:dyDescent="0.25">
      <c r="A41" s="18" t="s">
        <v>190</v>
      </c>
      <c r="B41" s="53">
        <v>16626706.99</v>
      </c>
      <c r="C41" s="53">
        <v>-31050</v>
      </c>
      <c r="D41" s="60">
        <f>SUM(B41:C41)</f>
        <v>16595656.99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11" x14ac:dyDescent="0.25">
      <c r="A42" s="18" t="s">
        <v>68</v>
      </c>
      <c r="B42" s="53">
        <v>1250</v>
      </c>
      <c r="C42" s="53">
        <f>-B42</f>
        <v>-1250</v>
      </c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11" x14ac:dyDescent="0.25">
      <c r="A43" s="18" t="s">
        <v>69</v>
      </c>
      <c r="B43" s="53">
        <v>40128.33</v>
      </c>
      <c r="C43" s="53">
        <v>2397</v>
      </c>
      <c r="D43" s="60">
        <f t="shared" si="12"/>
        <v>42525.33</v>
      </c>
      <c r="E43" s="18"/>
      <c r="F43" s="18" t="s">
        <v>111</v>
      </c>
      <c r="G43" s="53">
        <v>0</v>
      </c>
      <c r="H43" s="23"/>
      <c r="I43" s="60">
        <f t="shared" si="11"/>
        <v>0</v>
      </c>
      <c r="K43" s="68"/>
    </row>
    <row r="44" spans="1:11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11" x14ac:dyDescent="0.25">
      <c r="A45" s="18" t="s">
        <v>121</v>
      </c>
      <c r="B45" s="54">
        <v>-14314402.76</v>
      </c>
      <c r="C45" s="54">
        <v>25104</v>
      </c>
      <c r="D45" s="61">
        <f t="shared" si="12"/>
        <v>-14289298.76</v>
      </c>
      <c r="E45" s="18"/>
      <c r="F45" s="18" t="s">
        <v>181</v>
      </c>
      <c r="G45" s="54">
        <v>-311575</v>
      </c>
      <c r="H45" s="106">
        <f>-1*(H20+H32+H37)</f>
        <v>0</v>
      </c>
      <c r="I45" s="61">
        <f t="shared" si="11"/>
        <v>-311575</v>
      </c>
    </row>
    <row r="46" spans="1:11" x14ac:dyDescent="0.25">
      <c r="A46" s="18" t="s">
        <v>71</v>
      </c>
      <c r="B46" s="60">
        <f>B41+B42+B43+B44+B45</f>
        <v>2353682.5600000005</v>
      </c>
      <c r="C46" s="60">
        <f t="shared" ref="C46:D46" si="13">C41+C42+C43+C44+C45</f>
        <v>-4799</v>
      </c>
      <c r="D46" s="60">
        <f t="shared" si="13"/>
        <v>2348883.5600000005</v>
      </c>
      <c r="E46" s="18"/>
      <c r="F46" s="18" t="s">
        <v>114</v>
      </c>
      <c r="G46" s="60">
        <f>SUM(G39:G45)</f>
        <v>2354771</v>
      </c>
      <c r="H46" s="63">
        <f t="shared" ref="H46:I46" si="14">SUM(H39:H45)</f>
        <v>0</v>
      </c>
      <c r="I46" s="60">
        <f t="shared" si="14"/>
        <v>2354771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4227230.16</v>
      </c>
      <c r="C48" s="62">
        <f t="shared" ref="C48:D48" si="15">C25+C38+C46</f>
        <v>0</v>
      </c>
      <c r="D48" s="62">
        <f t="shared" si="15"/>
        <v>4227230.16</v>
      </c>
      <c r="E48" s="18"/>
      <c r="F48" s="22" t="s">
        <v>115</v>
      </c>
      <c r="G48" s="62">
        <f>G20+G32+G37+G46</f>
        <v>4191906.4699999997</v>
      </c>
      <c r="H48" s="62">
        <f t="shared" ref="H48:I48" si="16">H20+H32+H37+H46</f>
        <v>0</v>
      </c>
      <c r="I48" s="62">
        <f t="shared" si="16"/>
        <v>4191906.4699999997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tr">
        <f>+PriorYearBalanceSheet!A3</f>
        <v>Pend Oreille Telephone Company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317801.31</v>
      </c>
      <c r="C10" s="33">
        <f>'CurrentYearBalanceSheet '!D10</f>
        <v>566520.74</v>
      </c>
      <c r="D10" s="18"/>
      <c r="E10" s="18" t="s">
        <v>78</v>
      </c>
      <c r="F10" s="33">
        <f>PriorYearBalanceSheet!I10</f>
        <v>124045.75999999999</v>
      </c>
      <c r="G10" s="33">
        <f>'CurrentYearBalanceSheet '!I10</f>
        <v>142660.13</v>
      </c>
    </row>
    <row r="11" spans="1:7" x14ac:dyDescent="0.25">
      <c r="A11" s="18" t="s">
        <v>148</v>
      </c>
      <c r="B11" s="33">
        <f>PriorYearBalanceSheet!D11</f>
        <v>864.5</v>
      </c>
      <c r="C11" s="33">
        <f>'CurrentYearBalanceSheet '!D11</f>
        <v>864.5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3670</v>
      </c>
      <c r="G13" s="33">
        <f>'CurrentYearBalanceSheet '!I13</f>
        <v>4910</v>
      </c>
    </row>
    <row r="14" spans="1:7" x14ac:dyDescent="0.25">
      <c r="A14" s="18" t="s">
        <v>47</v>
      </c>
      <c r="B14" s="33">
        <f>PriorYearBalanceSheet!D14</f>
        <v>184463.79</v>
      </c>
      <c r="C14" s="33">
        <f>'CurrentYearBalanceSheet '!D14</f>
        <v>293881.59999999998</v>
      </c>
      <c r="D14" s="18"/>
      <c r="E14" s="18" t="s">
        <v>84</v>
      </c>
      <c r="F14" s="33">
        <f>PriorYearBalanceSheet!I14</f>
        <v>87435</v>
      </c>
      <c r="G14" s="33">
        <f>'CurrentYearBalanceSheet '!I14</f>
        <v>93408</v>
      </c>
    </row>
    <row r="15" spans="1:7" x14ac:dyDescent="0.25">
      <c r="A15" s="18" t="s">
        <v>45</v>
      </c>
      <c r="B15" s="33">
        <f>PriorYearBalanceSheet!D15</f>
        <v>78745.91</v>
      </c>
      <c r="C15" s="33">
        <f>'CurrentYearBalanceSheet '!D15</f>
        <v>80746.720000000001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46546.46</v>
      </c>
      <c r="C17" s="33">
        <f>'CurrentYearBalanceSheet '!D17</f>
        <v>57788.34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265892.08</v>
      </c>
      <c r="C18" s="33">
        <f>'CurrentYearBalanceSheet '!D18</f>
        <v>209746.9</v>
      </c>
      <c r="D18" s="18"/>
      <c r="E18" s="18" t="s">
        <v>88</v>
      </c>
      <c r="F18" s="33">
        <f>PriorYearBalanceSheet!I18</f>
        <v>0</v>
      </c>
      <c r="G18" s="33">
        <f>'CurrentYearBalanceSheet '!I18</f>
        <v>0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54770.98</v>
      </c>
      <c r="G19" s="33">
        <f>'CurrentYearBalanceSheet '!I19</f>
        <v>52379.13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269921.74</v>
      </c>
      <c r="G20" s="36">
        <f>SUM(G10:G19)</f>
        <v>293357.26</v>
      </c>
    </row>
    <row r="21" spans="1:7" x14ac:dyDescent="0.25">
      <c r="A21" s="18" t="s">
        <v>49</v>
      </c>
      <c r="B21" s="33">
        <f>PriorYearBalanceSheet!D21</f>
        <v>220525.79</v>
      </c>
      <c r="C21" s="33">
        <f>'CurrentYearBalanceSheet '!D21</f>
        <v>218892.38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5862.46</v>
      </c>
      <c r="C22" s="33">
        <f>'CurrentYearBalanceSheet '!D22</f>
        <v>0</v>
      </c>
      <c r="D22" s="18"/>
      <c r="E22" s="18" t="s">
        <v>92</v>
      </c>
      <c r="F22" s="33">
        <f>PriorYearBalanceSheet!I22</f>
        <v>1295829.3999999999</v>
      </c>
      <c r="G22" s="33">
        <f>'CurrentYearBalanceSheet '!I22</f>
        <v>1200832.21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67389.59</v>
      </c>
      <c r="C24" s="34">
        <f>'CurrentYearBalanceSheet '!D24</f>
        <v>67799.14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1188091.8900000001</v>
      </c>
      <c r="C25" s="33">
        <f>C10+C11+C13+C14+C15+C17+C18+C19+C20+C21+C22+C23+C24</f>
        <v>1496240.3199999996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1295829.3999999999</v>
      </c>
      <c r="G32" s="33">
        <f>SUM(G22:G31)</f>
        <v>1200832.21</v>
      </c>
    </row>
    <row r="33" spans="1:7" x14ac:dyDescent="0.25">
      <c r="A33" s="18" t="s">
        <v>58</v>
      </c>
      <c r="B33" s="33">
        <f>PriorYearBalanceSheet!D33</f>
        <v>367589.57</v>
      </c>
      <c r="C33" s="33">
        <f>'CurrentYearBalanceSheet '!D33</f>
        <v>367590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6563</v>
      </c>
      <c r="C34" s="33">
        <f>'CurrentYearBalanceSheet '!D34</f>
        <v>14516.28</v>
      </c>
      <c r="D34" s="18"/>
      <c r="E34" s="18" t="s">
        <v>103</v>
      </c>
      <c r="F34" s="33">
        <f>PriorYearBalanceSheet!I34</f>
        <v>0</v>
      </c>
      <c r="G34" s="33">
        <f>'CurrentYearBalanceSheet '!I34</f>
        <v>342946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222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0</v>
      </c>
      <c r="G37" s="33">
        <f>SUM(G34:G36)</f>
        <v>342946</v>
      </c>
    </row>
    <row r="38" spans="1:7" x14ac:dyDescent="0.25">
      <c r="A38" s="18" t="s">
        <v>65</v>
      </c>
      <c r="B38" s="33">
        <f>B29+B30+B32+B33+B34+B35+B36+B37</f>
        <v>374152.57</v>
      </c>
      <c r="C38" s="33">
        <f>C29+C30+C32+C33+C34+C35+C36+C37</f>
        <v>382106.28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2666346</v>
      </c>
      <c r="G39" s="33">
        <f>'CurrentYearBalanceSheet '!I39</f>
        <v>2666346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16586980.869999999</v>
      </c>
      <c r="C41" s="33">
        <f>'CurrentYearBalanceSheet '!D41</f>
        <v>16595656.99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1250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39970.83</v>
      </c>
      <c r="C43" s="33">
        <f>'CurrentYearBalanceSheet '!D43</f>
        <v>42525.33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-13974176.66</v>
      </c>
      <c r="C45" s="34">
        <f>'CurrentYearBalanceSheet '!D45</f>
        <v>-14289298.76</v>
      </c>
      <c r="D45" s="18"/>
      <c r="E45" s="18" t="s">
        <v>113</v>
      </c>
      <c r="F45" s="34">
        <f>PriorYearBalanceSheet!I45</f>
        <v>-15827.64</v>
      </c>
      <c r="G45" s="34">
        <f>'CurrentYearBalanceSheet '!I45</f>
        <v>-311575</v>
      </c>
    </row>
    <row r="46" spans="1:7" x14ac:dyDescent="0.25">
      <c r="A46" s="18" t="s">
        <v>71</v>
      </c>
      <c r="B46" s="33">
        <f>SUM(B41:B45)</f>
        <v>2654025.0399999991</v>
      </c>
      <c r="C46" s="33">
        <f>SUM(C41:C45)</f>
        <v>2348883.5600000005</v>
      </c>
      <c r="D46" s="18"/>
      <c r="E46" s="18" t="s">
        <v>114</v>
      </c>
      <c r="F46" s="33">
        <f>SUM(F39:F45)</f>
        <v>2650518.36</v>
      </c>
      <c r="G46" s="33">
        <f>SUM(G39:G45)</f>
        <v>2354771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4216269.4999999991</v>
      </c>
      <c r="C48" s="35">
        <f>C25+C38+C46</f>
        <v>4227230.16</v>
      </c>
      <c r="D48" s="18"/>
      <c r="E48" s="22" t="s">
        <v>115</v>
      </c>
      <c r="F48" s="35">
        <f>F20+F32+F37+F46</f>
        <v>4216269.5</v>
      </c>
      <c r="G48" s="35">
        <f>G20+G32+G37+G46</f>
        <v>4191906.4699999997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4" sqref="B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tr">
        <f>+'BalanceSheet(Summary)'!A3</f>
        <v>Pend Oreille Telephone Company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16586980.869999999</v>
      </c>
      <c r="E10" s="60">
        <f>'BalanceSheet(Summary)'!C41</f>
        <v>16595656.99</v>
      </c>
      <c r="F10" s="60">
        <f>(D10+E10)/2</f>
        <v>16591318.93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1250</v>
      </c>
      <c r="E11" s="60">
        <f>'BalanceSheet(Summary)'!C42</f>
        <v>0</v>
      </c>
      <c r="F11" s="60">
        <f>(D11+E11)/2</f>
        <v>625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-13974176.66</v>
      </c>
      <c r="E12" s="60">
        <f>'BalanceSheet(Summary)'!C45</f>
        <v>-14289298.76</v>
      </c>
      <c r="F12" s="60">
        <f t="shared" ref="F12:F15" si="0">(D12+E12)/2</f>
        <v>-14131737.710000001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220525.79</v>
      </c>
      <c r="E13" s="60">
        <f>'BalanceSheet(Summary)'!C21</f>
        <v>218892.38</v>
      </c>
      <c r="F13" s="60">
        <f t="shared" si="0"/>
        <v>219709.08500000002</v>
      </c>
    </row>
    <row r="14" spans="1:6" x14ac:dyDescent="0.25">
      <c r="A14" s="11">
        <v>5</v>
      </c>
      <c r="B14" s="18" t="s">
        <v>132</v>
      </c>
      <c r="C14" s="20"/>
      <c r="D14" s="53"/>
      <c r="E14" s="53"/>
      <c r="F14" s="60">
        <f t="shared" si="0"/>
        <v>0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2834579.9999999991</v>
      </c>
      <c r="E15" s="64">
        <f>SUM(E10:E14)</f>
        <v>2525250.6100000003</v>
      </c>
      <c r="F15" s="65">
        <f t="shared" si="0"/>
        <v>2679915.3049999997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tr">
        <f>+'RateBase '!B3</f>
        <v>Pend Oreille Telephone Company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1261</v>
      </c>
      <c r="D10" s="53">
        <v>1166</v>
      </c>
      <c r="E10" s="33">
        <f>D10-C10</f>
        <v>-95</v>
      </c>
      <c r="F10" s="39">
        <f>E10/C10</f>
        <v>-7.5337034099920694E-2</v>
      </c>
    </row>
    <row r="11" spans="1:6" x14ac:dyDescent="0.25">
      <c r="A11" s="11">
        <v>2</v>
      </c>
      <c r="B11" s="20" t="s">
        <v>140</v>
      </c>
      <c r="C11" s="53">
        <f>79+274</f>
        <v>353</v>
      </c>
      <c r="D11" s="53">
        <f>74+273</f>
        <v>347</v>
      </c>
      <c r="E11" s="33">
        <f>D11-C11</f>
        <v>-6</v>
      </c>
      <c r="F11" s="39">
        <f t="shared" ref="F11:F12" si="0">E11/C11</f>
        <v>-1.69971671388102E-2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1614</v>
      </c>
      <c r="D12" s="35">
        <f t="shared" ref="D12:E12" si="1">SUM(D10:D11)</f>
        <v>1513</v>
      </c>
      <c r="E12" s="35">
        <f t="shared" si="1"/>
        <v>-101</v>
      </c>
      <c r="F12" s="40">
        <f t="shared" si="0"/>
        <v>-6.2577447335811651E-2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zoomScaleNormal="100" workbookViewId="0">
      <selection activeCell="B4" sqref="B4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tr">
        <f>+AccessLines!B3</f>
        <v>Pend Oreille Telephone Company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400948.91</v>
      </c>
      <c r="D9" s="53"/>
      <c r="E9" s="60">
        <f>SUM(C9:D9)</f>
        <v>400948.91</v>
      </c>
    </row>
    <row r="10" spans="1:6" x14ac:dyDescent="0.25">
      <c r="A10" s="11">
        <v>2</v>
      </c>
      <c r="B10" s="15" t="s">
        <v>2</v>
      </c>
      <c r="C10" s="53">
        <v>2148409.58</v>
      </c>
      <c r="D10" s="53"/>
      <c r="E10" s="60">
        <f t="shared" ref="E10:E14" si="0">SUM(C10:D10)</f>
        <v>2148409.58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-5281.7</v>
      </c>
      <c r="D12" s="53"/>
      <c r="E12" s="60">
        <f t="shared" si="0"/>
        <v>-5281.7</v>
      </c>
    </row>
    <row r="13" spans="1:6" x14ac:dyDescent="0.25">
      <c r="A13" s="11">
        <v>5</v>
      </c>
      <c r="B13" s="15" t="s">
        <v>5</v>
      </c>
      <c r="C13" s="53">
        <v>21344.65</v>
      </c>
      <c r="D13" s="53"/>
      <c r="E13" s="60">
        <f t="shared" si="0"/>
        <v>21344.65</v>
      </c>
    </row>
    <row r="14" spans="1:6" x14ac:dyDescent="0.25">
      <c r="A14" s="11">
        <v>6</v>
      </c>
      <c r="B14" s="15" t="s">
        <v>159</v>
      </c>
      <c r="C14" s="53">
        <v>-5840.57</v>
      </c>
      <c r="D14" s="53"/>
      <c r="E14" s="60">
        <f t="shared" si="0"/>
        <v>-5840.57</v>
      </c>
    </row>
    <row r="15" spans="1:6" x14ac:dyDescent="0.25">
      <c r="A15" s="11">
        <v>7</v>
      </c>
      <c r="B15" s="97" t="s">
        <v>158</v>
      </c>
      <c r="C15" s="109">
        <f>SUM(C9:C14)</f>
        <v>2559580.87</v>
      </c>
      <c r="D15" s="109">
        <f t="shared" ref="D15:E15" si="1">SUM(D9:D14)</f>
        <v>0</v>
      </c>
      <c r="E15" s="109">
        <f t="shared" si="1"/>
        <v>2559580.87</v>
      </c>
      <c r="F15" s="1"/>
    </row>
    <row r="16" spans="1:6" x14ac:dyDescent="0.25">
      <c r="A16" s="11">
        <v>8</v>
      </c>
      <c r="B16" s="15" t="s">
        <v>6</v>
      </c>
      <c r="C16" s="53">
        <v>623799.51</v>
      </c>
      <c r="D16" s="53">
        <v>-3124</v>
      </c>
      <c r="E16" s="42">
        <f>SUM(C16:D16)</f>
        <v>620675.51</v>
      </c>
    </row>
    <row r="17" spans="1:6" x14ac:dyDescent="0.25">
      <c r="A17" s="11">
        <v>9</v>
      </c>
      <c r="B17" s="15" t="s">
        <v>40</v>
      </c>
      <c r="C17" s="53">
        <v>172199.87</v>
      </c>
      <c r="D17" s="53">
        <v>0</v>
      </c>
      <c r="E17" s="42">
        <f t="shared" ref="E17:E21" si="2">SUM(C17:D17)</f>
        <v>172199.87</v>
      </c>
    </row>
    <row r="18" spans="1:6" x14ac:dyDescent="0.25">
      <c r="A18" s="11">
        <v>10</v>
      </c>
      <c r="B18" s="15" t="s">
        <v>7</v>
      </c>
      <c r="C18" s="53">
        <v>300875.8</v>
      </c>
      <c r="D18" s="53">
        <v>-629</v>
      </c>
      <c r="E18" s="42">
        <f t="shared" si="2"/>
        <v>300246.8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167108.68</v>
      </c>
      <c r="D20" s="53">
        <v>-3103</v>
      </c>
      <c r="E20" s="42">
        <f t="shared" si="2"/>
        <v>164005.68</v>
      </c>
    </row>
    <row r="21" spans="1:6" x14ac:dyDescent="0.25">
      <c r="A21" s="11">
        <v>13</v>
      </c>
      <c r="B21" s="15" t="s">
        <v>10</v>
      </c>
      <c r="C21" s="53">
        <v>783978.35</v>
      </c>
      <c r="D21" s="53">
        <v>-4962</v>
      </c>
      <c r="E21" s="42">
        <f t="shared" si="2"/>
        <v>779016.35</v>
      </c>
    </row>
    <row r="22" spans="1:6" x14ac:dyDescent="0.25">
      <c r="A22" s="11" t="s">
        <v>154</v>
      </c>
      <c r="B22" s="15" t="s">
        <v>160</v>
      </c>
      <c r="C22" s="110"/>
      <c r="D22" s="110"/>
      <c r="E22" s="88"/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783978.35</v>
      </c>
      <c r="D23" s="60">
        <f t="shared" ref="D23:E23" si="3">SUM(D21:D22)</f>
        <v>-4962</v>
      </c>
      <c r="E23" s="87">
        <f t="shared" si="3"/>
        <v>779016.35</v>
      </c>
    </row>
    <row r="24" spans="1:6" x14ac:dyDescent="0.25">
      <c r="A24" s="11">
        <v>14</v>
      </c>
      <c r="B24" s="92" t="s">
        <v>157</v>
      </c>
      <c r="C24" s="109">
        <f>C16+C17+C18+C19+C20+C23</f>
        <v>2047962.21</v>
      </c>
      <c r="D24" s="109">
        <f t="shared" ref="D24:E24" si="4">D16+D17+D18+D19+D20+D23</f>
        <v>-11818</v>
      </c>
      <c r="E24" s="111">
        <f t="shared" si="4"/>
        <v>2036144.21</v>
      </c>
      <c r="F24" s="1"/>
    </row>
    <row r="25" spans="1:6" x14ac:dyDescent="0.25">
      <c r="A25" s="11">
        <v>15</v>
      </c>
      <c r="B25" s="15" t="s">
        <v>14</v>
      </c>
      <c r="C25" s="60">
        <f>C15-C24</f>
        <v>511618.66000000015</v>
      </c>
      <c r="D25" s="60">
        <f t="shared" ref="D25:E25" si="5">D15-D24</f>
        <v>11818</v>
      </c>
      <c r="E25" s="60">
        <f t="shared" si="5"/>
        <v>523436.66000000015</v>
      </c>
    </row>
    <row r="26" spans="1:6" x14ac:dyDescent="0.25">
      <c r="A26" s="11">
        <v>16</v>
      </c>
      <c r="B26" s="15" t="s">
        <v>161</v>
      </c>
      <c r="C26" s="53">
        <v>0</v>
      </c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0</v>
      </c>
      <c r="D27" s="53">
        <v>0</v>
      </c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>
        <v>0</v>
      </c>
      <c r="D28" s="108">
        <v>0</v>
      </c>
      <c r="E28" s="60">
        <f t="shared" si="6"/>
        <v>0</v>
      </c>
    </row>
    <row r="29" spans="1:6" x14ac:dyDescent="0.25">
      <c r="A29" s="11">
        <v>19</v>
      </c>
      <c r="B29" s="15" t="s">
        <v>13</v>
      </c>
      <c r="C29" s="53">
        <v>52374.82</v>
      </c>
      <c r="D29" s="53">
        <v>-40</v>
      </c>
      <c r="E29" s="60">
        <f t="shared" si="6"/>
        <v>52334.82</v>
      </c>
    </row>
    <row r="30" spans="1:6" x14ac:dyDescent="0.25">
      <c r="A30" s="11">
        <v>20</v>
      </c>
      <c r="B30" s="97" t="s">
        <v>12</v>
      </c>
      <c r="C30" s="85">
        <f>SUM(C27:C29)</f>
        <v>52374.82</v>
      </c>
      <c r="D30" s="85">
        <f t="shared" ref="D30:E30" si="7">SUM(D27:D29)</f>
        <v>-40</v>
      </c>
      <c r="E30" s="112">
        <f t="shared" si="7"/>
        <v>52334.82</v>
      </c>
    </row>
    <row r="31" spans="1:6" x14ac:dyDescent="0.25">
      <c r="A31" s="11">
        <v>21</v>
      </c>
      <c r="B31" s="97" t="s">
        <v>23</v>
      </c>
      <c r="C31" s="85">
        <f>C25+C26-C30</f>
        <v>459243.84000000014</v>
      </c>
      <c r="D31" s="85">
        <f>D25+D26-D30</f>
        <v>11858</v>
      </c>
      <c r="E31" s="112">
        <f>E25+E26-E30</f>
        <v>471101.84000000014</v>
      </c>
    </row>
    <row r="32" spans="1:6" x14ac:dyDescent="0.25">
      <c r="A32" s="11">
        <v>22</v>
      </c>
      <c r="B32" s="15" t="s">
        <v>15</v>
      </c>
      <c r="C32" s="53">
        <v>69518</v>
      </c>
      <c r="D32" s="57"/>
      <c r="E32" s="60">
        <f>SUM(C32:D32)</f>
        <v>69518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1421.95</v>
      </c>
      <c r="D34" s="57"/>
      <c r="E34" s="60">
        <f t="shared" si="8"/>
        <v>1421.95</v>
      </c>
    </row>
    <row r="35" spans="1:10" x14ac:dyDescent="0.25">
      <c r="A35" s="11">
        <v>25</v>
      </c>
      <c r="B35" s="15" t="s">
        <v>175</v>
      </c>
      <c r="C35" s="53">
        <v>-12053.75</v>
      </c>
      <c r="D35" s="57"/>
      <c r="E35" s="61">
        <f t="shared" si="8"/>
        <v>-12053.75</v>
      </c>
    </row>
    <row r="36" spans="1:10" x14ac:dyDescent="0.25">
      <c r="A36" s="11">
        <v>26</v>
      </c>
      <c r="B36" s="97" t="s">
        <v>18</v>
      </c>
      <c r="C36" s="85">
        <f>SUM(C32:C35)</f>
        <v>58886.2</v>
      </c>
      <c r="D36" s="113">
        <f t="shared" ref="D36" si="9">SUM(D32:D35)</f>
        <v>0</v>
      </c>
      <c r="E36" s="85">
        <f>SUM(E32:E35)</f>
        <v>58886.2</v>
      </c>
    </row>
    <row r="37" spans="1:10" x14ac:dyDescent="0.25">
      <c r="A37" s="11">
        <v>27</v>
      </c>
      <c r="B37" s="15" t="s">
        <v>19</v>
      </c>
      <c r="C37" s="53">
        <v>32246.49</v>
      </c>
      <c r="D37" s="57"/>
      <c r="E37" s="33">
        <f>SUM(C37:D37)</f>
        <v>32246.49</v>
      </c>
    </row>
    <row r="38" spans="1:10" x14ac:dyDescent="0.25">
      <c r="A38" s="11">
        <v>28</v>
      </c>
      <c r="B38" s="15" t="s">
        <v>20</v>
      </c>
      <c r="C38" s="53">
        <v>0</v>
      </c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>
        <v>0</v>
      </c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48877.05</v>
      </c>
      <c r="D40" s="72">
        <f>-1*(D31-D36)</f>
        <v>-11858</v>
      </c>
      <c r="E40" s="33">
        <f t="shared" si="10"/>
        <v>37019.050000000003</v>
      </c>
    </row>
    <row r="41" spans="1:10" x14ac:dyDescent="0.25">
      <c r="A41" s="11">
        <v>31</v>
      </c>
      <c r="B41" s="97" t="s">
        <v>22</v>
      </c>
      <c r="C41" s="85">
        <f>C31-C36+C37+C38+C39+C40</f>
        <v>481481.18000000011</v>
      </c>
      <c r="D41" s="85">
        <f t="shared" ref="D41:E41" si="11">D31-D36+D37+D38+D39+D40</f>
        <v>0</v>
      </c>
      <c r="E41" s="85">
        <f t="shared" si="11"/>
        <v>481481.18000000011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-497312</v>
      </c>
      <c r="D43" s="57"/>
      <c r="E43" s="60">
        <f t="shared" ref="E43:E48" si="12">SUM(C43:D43)</f>
        <v>-497312</v>
      </c>
    </row>
    <row r="44" spans="1:10" x14ac:dyDescent="0.25">
      <c r="A44" s="11">
        <v>34</v>
      </c>
      <c r="B44" s="15" t="s">
        <v>26</v>
      </c>
      <c r="C44" s="53">
        <v>0</v>
      </c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>
        <v>0</v>
      </c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>
        <v>0</v>
      </c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0</v>
      </c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>
        <v>0</v>
      </c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-15830.819999999891</v>
      </c>
      <c r="D49" s="113">
        <f t="shared" ref="D49:E49" si="13">(D41+D43+D44)-(D45+D46+D47+D48)</f>
        <v>0</v>
      </c>
      <c r="E49" s="112">
        <f t="shared" si="13"/>
        <v>-15830.819999999891</v>
      </c>
    </row>
    <row r="50" spans="1:7" x14ac:dyDescent="0.25">
      <c r="A50" s="11">
        <v>40</v>
      </c>
      <c r="B50" s="15" t="s">
        <v>32</v>
      </c>
      <c r="C50" s="53">
        <v>0</v>
      </c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>
        <v>0</v>
      </c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>
        <v>0</v>
      </c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1365347</v>
      </c>
      <c r="D54" s="115"/>
      <c r="E54" s="33">
        <f>C54</f>
        <v>1365347</v>
      </c>
    </row>
    <row r="55" spans="1:7" x14ac:dyDescent="0.25">
      <c r="A55" s="11">
        <v>45</v>
      </c>
      <c r="B55" s="15" t="s">
        <v>36</v>
      </c>
      <c r="C55" s="116">
        <f>((C24+C30-C18-C19)/C15)</f>
        <v>0.70302964484962716</v>
      </c>
      <c r="D55" s="116" t="e">
        <f>((D24+D30-D18-D19)/D15)</f>
        <v>#DIV/0!</v>
      </c>
      <c r="E55" s="116">
        <f>((E24+E30-E18-E19)/E15)</f>
        <v>0.69864259846574017</v>
      </c>
    </row>
    <row r="56" spans="1:7" x14ac:dyDescent="0.25">
      <c r="A56" s="11">
        <v>46</v>
      </c>
      <c r="B56" s="15" t="s">
        <v>37</v>
      </c>
      <c r="C56" s="116">
        <f>((C24+C30+C36)/C15)</f>
        <v>0.84358468814466481</v>
      </c>
      <c r="D56" s="116" t="e">
        <f>((D24+D30+D36)/D15)</f>
        <v>#DIV/0!</v>
      </c>
      <c r="E56" s="116">
        <f>((E24+E30+E36)/E15)</f>
        <v>0.83895189840202233</v>
      </c>
    </row>
    <row r="57" spans="1:7" x14ac:dyDescent="0.25">
      <c r="A57" s="11">
        <v>47</v>
      </c>
      <c r="B57" s="15" t="s">
        <v>38</v>
      </c>
      <c r="C57" s="116">
        <f>((C41+C36)/C36)</f>
        <v>9.1764688500871205</v>
      </c>
      <c r="D57" s="116" t="e">
        <f t="shared" ref="D57:E57" si="16">((D41+D36)/D36)</f>
        <v>#DIV/0!</v>
      </c>
      <c r="E57" s="116">
        <f t="shared" si="16"/>
        <v>9.1764688500871205</v>
      </c>
    </row>
    <row r="58" spans="1:7" x14ac:dyDescent="0.25">
      <c r="A58" s="11">
        <v>48</v>
      </c>
      <c r="B58" s="15" t="s">
        <v>39</v>
      </c>
      <c r="C58" s="116">
        <f>(C41+C36+C18+C19)/C54</f>
        <v>0.61613873982218448</v>
      </c>
      <c r="D58" s="116" t="e">
        <f t="shared" ref="D58:E58" si="17">(D41+D36+D18+D19)/D54</f>
        <v>#DIV/0!</v>
      </c>
      <c r="E58" s="116">
        <f t="shared" si="17"/>
        <v>0.61567805107419593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0"/>
  <sheetViews>
    <sheetView zoomScaleNormal="100" workbookViewId="0">
      <selection activeCell="B4" sqref="B4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tr">
        <f>+PriorYearIncomeStmt!B3</f>
        <v>Pend Oreille Telephone Company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393106.3</v>
      </c>
      <c r="D9" s="53"/>
      <c r="E9" s="33">
        <f>SUM(C9:D9)</f>
        <v>393106.3</v>
      </c>
    </row>
    <row r="10" spans="1:6" x14ac:dyDescent="0.25">
      <c r="A10" s="11">
        <v>2</v>
      </c>
      <c r="B10" s="18" t="s">
        <v>2</v>
      </c>
      <c r="C10" s="53">
        <v>1905132.29</v>
      </c>
      <c r="D10" s="53"/>
      <c r="E10" s="33">
        <f t="shared" ref="E10:E14" si="0">SUM(C10:D10)</f>
        <v>1905132.29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0</v>
      </c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27027.279999999999</v>
      </c>
      <c r="D13" s="53">
        <f>13832-C13</f>
        <v>-13195.279999999999</v>
      </c>
      <c r="E13" s="33">
        <f t="shared" si="0"/>
        <v>13832</v>
      </c>
    </row>
    <row r="14" spans="1:6" x14ac:dyDescent="0.25">
      <c r="A14" s="11">
        <v>6</v>
      </c>
      <c r="B14" s="18" t="s">
        <v>159</v>
      </c>
      <c r="C14" s="53">
        <v>-9912.6200000000008</v>
      </c>
      <c r="D14" s="53"/>
      <c r="E14" s="33">
        <f t="shared" si="0"/>
        <v>-9912.6200000000008</v>
      </c>
    </row>
    <row r="15" spans="1:6" x14ac:dyDescent="0.25">
      <c r="A15" s="11">
        <v>7</v>
      </c>
      <c r="B15" s="92" t="s">
        <v>158</v>
      </c>
      <c r="C15" s="41">
        <f>SUM(C9:C14)</f>
        <v>2315353.2499999995</v>
      </c>
      <c r="D15" s="41">
        <f t="shared" ref="D15:E15" si="1">SUM(D9:D14)</f>
        <v>-13195.279999999999</v>
      </c>
      <c r="E15" s="41">
        <f t="shared" si="1"/>
        <v>2302157.9699999997</v>
      </c>
      <c r="F15" s="1"/>
    </row>
    <row r="16" spans="1:6" x14ac:dyDescent="0.25">
      <c r="A16" s="11">
        <v>8</v>
      </c>
      <c r="B16" s="18" t="s">
        <v>6</v>
      </c>
      <c r="C16" s="53">
        <v>673124.41</v>
      </c>
      <c r="D16" s="53">
        <f>-3161+4805</f>
        <v>1644</v>
      </c>
      <c r="E16" s="42">
        <f>SUM(C16:D16)</f>
        <v>674768.41</v>
      </c>
    </row>
    <row r="17" spans="1:6" x14ac:dyDescent="0.25">
      <c r="A17" s="11">
        <v>9</v>
      </c>
      <c r="B17" s="18" t="s">
        <v>40</v>
      </c>
      <c r="C17" s="53">
        <v>191956.88</v>
      </c>
      <c r="D17" s="53">
        <v>-1980</v>
      </c>
      <c r="E17" s="42">
        <f t="shared" ref="E17:E21" si="2">SUM(C17:D17)</f>
        <v>189976.88</v>
      </c>
    </row>
    <row r="18" spans="1:6" x14ac:dyDescent="0.25">
      <c r="A18" s="11">
        <v>10</v>
      </c>
      <c r="B18" s="18" t="s">
        <v>7</v>
      </c>
      <c r="C18" s="53">
        <v>315948.09999999998</v>
      </c>
      <c r="D18" s="53">
        <v>-633</v>
      </c>
      <c r="E18" s="42">
        <f t="shared" si="2"/>
        <v>315315.09999999998</v>
      </c>
    </row>
    <row r="19" spans="1:6" x14ac:dyDescent="0.25">
      <c r="A19" s="11">
        <v>11</v>
      </c>
      <c r="B19" s="18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165053</v>
      </c>
      <c r="D20" s="53">
        <f>-32807-4805</f>
        <v>-37612</v>
      </c>
      <c r="E20" s="42">
        <f t="shared" si="2"/>
        <v>127441</v>
      </c>
    </row>
    <row r="21" spans="1:6" x14ac:dyDescent="0.25">
      <c r="A21" s="11">
        <v>13</v>
      </c>
      <c r="B21" s="18" t="s">
        <v>10</v>
      </c>
      <c r="C21" s="53">
        <v>797210.76</v>
      </c>
      <c r="D21" s="53">
        <f>-26399-600</f>
        <v>-26999</v>
      </c>
      <c r="E21" s="42">
        <f t="shared" si="2"/>
        <v>770211.76</v>
      </c>
    </row>
    <row r="22" spans="1:6" x14ac:dyDescent="0.25">
      <c r="A22" s="11" t="s">
        <v>154</v>
      </c>
      <c r="B22" s="18" t="s">
        <v>160</v>
      </c>
      <c r="C22" s="103"/>
      <c r="D22" s="103"/>
      <c r="E22" s="88"/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797210.76</v>
      </c>
      <c r="D23" s="33">
        <f t="shared" ref="D23:E23" si="3">SUM(D21:D22)</f>
        <v>-26999</v>
      </c>
      <c r="E23" s="42">
        <f t="shared" si="3"/>
        <v>770211.76</v>
      </c>
    </row>
    <row r="24" spans="1:6" x14ac:dyDescent="0.25">
      <c r="A24" s="11">
        <v>14</v>
      </c>
      <c r="B24" s="92" t="s">
        <v>157</v>
      </c>
      <c r="C24" s="41">
        <f>C16+C17+C18+C19+C20+C23</f>
        <v>2143293.1500000004</v>
      </c>
      <c r="D24" s="41">
        <f t="shared" ref="D24:E24" si="4">D16+D17+D18+D19+D20+D23</f>
        <v>-65580</v>
      </c>
      <c r="E24" s="43">
        <f t="shared" si="4"/>
        <v>2077713.1500000001</v>
      </c>
      <c r="F24" s="1"/>
    </row>
    <row r="25" spans="1:6" x14ac:dyDescent="0.25">
      <c r="A25" s="11">
        <v>15</v>
      </c>
      <c r="B25" s="18" t="s">
        <v>14</v>
      </c>
      <c r="C25" s="33">
        <f>C15-C24</f>
        <v>172060.09999999916</v>
      </c>
      <c r="D25" s="33">
        <f t="shared" ref="D25:E25" si="5">D15-D24</f>
        <v>52384.72</v>
      </c>
      <c r="E25" s="33">
        <f t="shared" si="5"/>
        <v>224444.8199999996</v>
      </c>
    </row>
    <row r="26" spans="1:6" x14ac:dyDescent="0.25">
      <c r="A26" s="11">
        <v>16</v>
      </c>
      <c r="B26" s="18" t="s">
        <v>161</v>
      </c>
      <c r="C26" s="53">
        <v>0</v>
      </c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>
        <v>383585</v>
      </c>
      <c r="D28" s="108">
        <f>39719-C28</f>
        <v>-343866</v>
      </c>
      <c r="E28" s="33">
        <f t="shared" si="6"/>
        <v>39719</v>
      </c>
    </row>
    <row r="29" spans="1:6" x14ac:dyDescent="0.25">
      <c r="A29" s="11">
        <v>19</v>
      </c>
      <c r="B29" s="18" t="s">
        <v>13</v>
      </c>
      <c r="C29" s="53">
        <v>54555.68</v>
      </c>
      <c r="D29" s="53">
        <v>-37</v>
      </c>
      <c r="E29" s="33">
        <f t="shared" si="6"/>
        <v>54518.68</v>
      </c>
    </row>
    <row r="30" spans="1:6" x14ac:dyDescent="0.25">
      <c r="A30" s="11">
        <v>20</v>
      </c>
      <c r="B30" s="92" t="s">
        <v>12</v>
      </c>
      <c r="C30" s="38">
        <f>SUM(C27:C29)</f>
        <v>438140.68</v>
      </c>
      <c r="D30" s="38">
        <f t="shared" ref="D30:E30" si="7">SUM(D27:D29)</f>
        <v>-343903</v>
      </c>
      <c r="E30" s="44">
        <f t="shared" si="7"/>
        <v>94237.68</v>
      </c>
    </row>
    <row r="31" spans="1:6" x14ac:dyDescent="0.25">
      <c r="A31" s="11">
        <v>21</v>
      </c>
      <c r="B31" s="92" t="s">
        <v>23</v>
      </c>
      <c r="C31" s="38">
        <f>C25+C26-C30</f>
        <v>-266080.58000000083</v>
      </c>
      <c r="D31" s="38">
        <f>D25+D26-D30</f>
        <v>396287.72</v>
      </c>
      <c r="E31" s="44">
        <f>E25+E26-E30</f>
        <v>130207.13999999961</v>
      </c>
    </row>
    <row r="32" spans="1:6" x14ac:dyDescent="0.25">
      <c r="A32" s="11">
        <v>22</v>
      </c>
      <c r="B32" s="18" t="s">
        <v>15</v>
      </c>
      <c r="C32" s="53">
        <v>67118.31</v>
      </c>
      <c r="D32" s="57">
        <v>-16828</v>
      </c>
      <c r="E32" s="33">
        <f>SUM(C32:D32)</f>
        <v>50290.31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3296.84</v>
      </c>
      <c r="D34" s="57"/>
      <c r="E34" s="33">
        <f t="shared" si="8"/>
        <v>3296.84</v>
      </c>
    </row>
    <row r="35" spans="1:5" x14ac:dyDescent="0.25">
      <c r="A35" s="11">
        <v>25</v>
      </c>
      <c r="B35" s="18" t="s">
        <v>175</v>
      </c>
      <c r="C35" s="53">
        <v>-64.7</v>
      </c>
      <c r="D35" s="57"/>
      <c r="E35" s="34">
        <f t="shared" si="8"/>
        <v>-64.7</v>
      </c>
    </row>
    <row r="36" spans="1:5" x14ac:dyDescent="0.25">
      <c r="A36" s="11">
        <v>26</v>
      </c>
      <c r="B36" s="92" t="s">
        <v>18</v>
      </c>
      <c r="C36" s="38">
        <f>SUM(C32:C35)</f>
        <v>70350.45</v>
      </c>
      <c r="D36" s="66">
        <f t="shared" ref="D36" si="9">SUM(D32:D35)</f>
        <v>-16828</v>
      </c>
      <c r="E36" s="38">
        <f>SUM(E32:E35)</f>
        <v>53522.45</v>
      </c>
    </row>
    <row r="37" spans="1:5" x14ac:dyDescent="0.25">
      <c r="A37" s="11">
        <v>27</v>
      </c>
      <c r="B37" s="18" t="s">
        <v>19</v>
      </c>
      <c r="C37" s="53">
        <v>11916.21</v>
      </c>
      <c r="D37" s="108">
        <f>-C37</f>
        <v>-11916.21</v>
      </c>
      <c r="E37" s="33">
        <f>SUM(C37:D37)</f>
        <v>0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28767.24</v>
      </c>
      <c r="D40" s="72">
        <f>-1*(D31-D36)</f>
        <v>-413115.72</v>
      </c>
      <c r="E40" s="33">
        <f t="shared" si="10"/>
        <v>-384348.48</v>
      </c>
    </row>
    <row r="41" spans="1:5" x14ac:dyDescent="0.25">
      <c r="A41" s="11">
        <v>31</v>
      </c>
      <c r="B41" s="92" t="s">
        <v>22</v>
      </c>
      <c r="C41" s="38">
        <f>C31-C36+C37+C38+C39+C40</f>
        <v>-295747.58000000083</v>
      </c>
      <c r="D41" s="38">
        <f t="shared" ref="D41:E41" si="11">D31-D36+D37+D38+D39+D40</f>
        <v>-11916.210000000021</v>
      </c>
      <c r="E41" s="38">
        <f t="shared" si="11"/>
        <v>-307663.79000000039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-15827.64</v>
      </c>
      <c r="D43" s="57"/>
      <c r="E43" s="33">
        <f t="shared" ref="E43:E48" si="12">SUM(C43:D43)</f>
        <v>-15827.64</v>
      </c>
    </row>
    <row r="44" spans="1:5" x14ac:dyDescent="0.25">
      <c r="A44" s="11">
        <v>34</v>
      </c>
      <c r="B44" s="18" t="s">
        <v>26</v>
      </c>
      <c r="C44" s="53">
        <v>0</v>
      </c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>
        <v>0</v>
      </c>
      <c r="D45" s="57"/>
      <c r="E45" s="33">
        <f t="shared" si="12"/>
        <v>0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0</v>
      </c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-311575.22000000085</v>
      </c>
      <c r="D49" s="66">
        <f t="shared" ref="D49:E49" si="13">(D41+D43+D44)-(D45+D46+D47+D48)</f>
        <v>-11916.210000000021</v>
      </c>
      <c r="E49" s="44">
        <f t="shared" si="13"/>
        <v>-323491.4300000004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94997</v>
      </c>
      <c r="D54" s="107"/>
      <c r="E54" s="33">
        <f>C54</f>
        <v>94997</v>
      </c>
    </row>
    <row r="55" spans="1:7" x14ac:dyDescent="0.25">
      <c r="A55" s="11">
        <v>45</v>
      </c>
      <c r="B55" s="18" t="s">
        <v>36</v>
      </c>
      <c r="C55" s="47">
        <f>((C24+C30-C18-C19)/C15)</f>
        <v>0.97846224112886482</v>
      </c>
      <c r="D55" s="47">
        <f>((D24+D30-D18-D19)/D15)</f>
        <v>30.984564177493773</v>
      </c>
      <c r="E55" s="47">
        <f>((E24+E30-E18-E19)/E15)</f>
        <v>0.80647625149719859</v>
      </c>
    </row>
    <row r="56" spans="1:7" x14ac:dyDescent="0.25">
      <c r="A56" s="11">
        <v>46</v>
      </c>
      <c r="B56" s="18" t="s">
        <v>37</v>
      </c>
      <c r="C56" s="47">
        <f>((C24+C30+C36)/C15)</f>
        <v>1.1453044065738138</v>
      </c>
      <c r="D56" s="47">
        <f>((D24+D30+D36)/D15)</f>
        <v>32.307840379287143</v>
      </c>
      <c r="E56" s="47">
        <f>((E24+E30+E36)/E15)</f>
        <v>0.96669008339162776</v>
      </c>
    </row>
    <row r="57" spans="1:7" x14ac:dyDescent="0.25">
      <c r="A57" s="11">
        <v>47</v>
      </c>
      <c r="B57" s="18" t="s">
        <v>38</v>
      </c>
      <c r="C57" s="47">
        <f>((C41+C36)/C36)</f>
        <v>-3.2039188093324324</v>
      </c>
      <c r="D57" s="47">
        <f t="shared" ref="D57:E57" si="16">((D41+D36)/D36)</f>
        <v>1.7081180175897326</v>
      </c>
      <c r="E57" s="47">
        <f t="shared" si="16"/>
        <v>-4.7483129042112306</v>
      </c>
    </row>
    <row r="58" spans="1:7" x14ac:dyDescent="0.25">
      <c r="A58" s="11">
        <v>48</v>
      </c>
      <c r="B58" s="18" t="s">
        <v>39</v>
      </c>
      <c r="C58" s="47">
        <f>(C41+C36+C18+C19)/C54</f>
        <v>0.9531982062591362</v>
      </c>
      <c r="D58" s="47" t="e">
        <f t="shared" ref="D58:E58" si="17">(D41+D36+D18+D19)/D54</f>
        <v>#DIV/0!</v>
      </c>
      <c r="E58" s="47">
        <f t="shared" si="17"/>
        <v>0.64395465119950734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zoomScaleNormal="100" workbookViewId="0">
      <selection activeCell="B4" sqref="B4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tr">
        <f>+'CurrentYearIncomeStmt '!B3</f>
        <v>Pend Oreille Telephone Company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400948.91</v>
      </c>
      <c r="D9" s="42">
        <f>'CurrentYearIncomeStmt '!E9</f>
        <v>393106.3</v>
      </c>
    </row>
    <row r="10" spans="1:5" x14ac:dyDescent="0.25">
      <c r="A10" s="11">
        <v>2</v>
      </c>
      <c r="B10" s="18" t="s">
        <v>2</v>
      </c>
      <c r="C10" s="33">
        <f>PriorYearIncomeStmt!E10</f>
        <v>2148409.58</v>
      </c>
      <c r="D10" s="42">
        <f>'CurrentYearIncomeStmt '!E10</f>
        <v>1905132.29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-5281.7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21344.65</v>
      </c>
      <c r="D13" s="42">
        <f>'CurrentYearIncomeStmt '!E13</f>
        <v>13832</v>
      </c>
    </row>
    <row r="14" spans="1:5" x14ac:dyDescent="0.25">
      <c r="A14" s="11">
        <v>6</v>
      </c>
      <c r="B14" s="18" t="s">
        <v>159</v>
      </c>
      <c r="C14" s="33">
        <f>PriorYearIncomeStmt!E14</f>
        <v>-5840.57</v>
      </c>
      <c r="D14" s="42">
        <f>'CurrentYearIncomeStmt '!E14</f>
        <v>-9912.6200000000008</v>
      </c>
    </row>
    <row r="15" spans="1:5" x14ac:dyDescent="0.25">
      <c r="A15" s="11">
        <v>7</v>
      </c>
      <c r="B15" s="92" t="s">
        <v>158</v>
      </c>
      <c r="C15" s="41">
        <f>SUM(C9:C14)</f>
        <v>2559580.87</v>
      </c>
      <c r="D15" s="43">
        <f t="shared" ref="D15" si="0">SUM(D9:D14)</f>
        <v>2302157.9699999997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620675.51</v>
      </c>
      <c r="D16" s="42">
        <f>'CurrentYearIncomeStmt '!E16</f>
        <v>674768.41</v>
      </c>
    </row>
    <row r="17" spans="1:5" x14ac:dyDescent="0.25">
      <c r="A17" s="11">
        <v>9</v>
      </c>
      <c r="B17" s="18" t="s">
        <v>40</v>
      </c>
      <c r="C17" s="33">
        <f>PriorYearIncomeStmt!E17</f>
        <v>172199.87</v>
      </c>
      <c r="D17" s="42">
        <f>'CurrentYearIncomeStmt '!E17</f>
        <v>189976.88</v>
      </c>
    </row>
    <row r="18" spans="1:5" x14ac:dyDescent="0.25">
      <c r="A18" s="11">
        <v>10</v>
      </c>
      <c r="B18" s="18" t="s">
        <v>7</v>
      </c>
      <c r="C18" s="33">
        <f>PriorYearIncomeStmt!E18</f>
        <v>300246.8</v>
      </c>
      <c r="D18" s="42">
        <f>'CurrentYearIncomeStmt '!E18</f>
        <v>315315.09999999998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164005.68</v>
      </c>
      <c r="D20" s="42">
        <f>'CurrentYearIncomeStmt '!E20</f>
        <v>127441</v>
      </c>
    </row>
    <row r="21" spans="1:5" x14ac:dyDescent="0.25">
      <c r="A21" s="11">
        <v>13</v>
      </c>
      <c r="B21" s="18" t="s">
        <v>10</v>
      </c>
      <c r="C21" s="33">
        <f>PriorYearIncomeStmt!E21</f>
        <v>779016.35</v>
      </c>
      <c r="D21" s="42">
        <f>'CurrentYearIncomeStmt '!E21</f>
        <v>770211.76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779016.35</v>
      </c>
      <c r="D23" s="42">
        <f t="shared" ref="D23" si="1">SUM(D21:D22)</f>
        <v>770211.76</v>
      </c>
    </row>
    <row r="24" spans="1:5" x14ac:dyDescent="0.25">
      <c r="A24" s="11">
        <v>14</v>
      </c>
      <c r="B24" s="92" t="s">
        <v>157</v>
      </c>
      <c r="C24" s="41">
        <f>C16+C17+C18+C19+C20+C23</f>
        <v>2036144.21</v>
      </c>
      <c r="D24" s="43">
        <f t="shared" ref="D24" si="2">D16+D17+D18+D19+D20+D23</f>
        <v>2077713.1500000001</v>
      </c>
      <c r="E24" s="1"/>
    </row>
    <row r="25" spans="1:5" x14ac:dyDescent="0.25">
      <c r="A25" s="11">
        <v>15</v>
      </c>
      <c r="B25" s="18" t="s">
        <v>14</v>
      </c>
      <c r="C25" s="33">
        <f>C15-C24</f>
        <v>523436.66000000015</v>
      </c>
      <c r="D25" s="42">
        <f t="shared" ref="D25" si="3">D15-D24</f>
        <v>224444.8199999996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0</v>
      </c>
      <c r="D28" s="42">
        <f>'CurrentYearIncomeStmt '!E28</f>
        <v>39719</v>
      </c>
    </row>
    <row r="29" spans="1:5" x14ac:dyDescent="0.25">
      <c r="A29" s="11">
        <v>19</v>
      </c>
      <c r="B29" s="18" t="s">
        <v>13</v>
      </c>
      <c r="C29" s="33">
        <f>PriorYearIncomeStmt!E29</f>
        <v>52334.82</v>
      </c>
      <c r="D29" s="42">
        <f>'CurrentYearIncomeStmt '!E29</f>
        <v>54518.68</v>
      </c>
    </row>
    <row r="30" spans="1:5" x14ac:dyDescent="0.25">
      <c r="A30" s="11">
        <v>20</v>
      </c>
      <c r="B30" s="92" t="s">
        <v>12</v>
      </c>
      <c r="C30" s="38">
        <f>SUM(C27:C29)</f>
        <v>52334.82</v>
      </c>
      <c r="D30" s="44">
        <f t="shared" ref="D30" si="4">SUM(D27:D29)</f>
        <v>94237.68</v>
      </c>
    </row>
    <row r="31" spans="1:5" x14ac:dyDescent="0.25">
      <c r="A31" s="11">
        <v>21</v>
      </c>
      <c r="B31" s="92" t="s">
        <v>23</v>
      </c>
      <c r="C31" s="38">
        <f>C25+C26-C30</f>
        <v>471101.84000000014</v>
      </c>
      <c r="D31" s="44">
        <f>D25+D26-D30</f>
        <v>130207.13999999961</v>
      </c>
    </row>
    <row r="32" spans="1:5" x14ac:dyDescent="0.25">
      <c r="A32" s="11">
        <v>22</v>
      </c>
      <c r="B32" s="18" t="s">
        <v>15</v>
      </c>
      <c r="C32" s="33">
        <f>PriorYearIncomeStmt!E32</f>
        <v>69518</v>
      </c>
      <c r="D32" s="42">
        <f>'CurrentYearIncomeStmt '!E32</f>
        <v>50290.31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1421.95</v>
      </c>
      <c r="D34" s="42">
        <f>'CurrentYearIncomeStmt '!E34</f>
        <v>3296.84</v>
      </c>
    </row>
    <row r="35" spans="1:4" x14ac:dyDescent="0.25">
      <c r="A35" s="11">
        <v>25</v>
      </c>
      <c r="B35" s="18" t="s">
        <v>79</v>
      </c>
      <c r="C35" s="33">
        <f>PriorYearIncomeStmt!E35</f>
        <v>-12053.75</v>
      </c>
      <c r="D35" s="42">
        <f>'CurrentYearIncomeStmt '!E35</f>
        <v>-64.7</v>
      </c>
    </row>
    <row r="36" spans="1:4" x14ac:dyDescent="0.25">
      <c r="A36" s="11">
        <v>26</v>
      </c>
      <c r="B36" s="92" t="s">
        <v>18</v>
      </c>
      <c r="C36" s="38">
        <f>SUM(C32:C35)</f>
        <v>58886.2</v>
      </c>
      <c r="D36" s="44">
        <f t="shared" ref="D36" si="5">SUM(D32:D35)</f>
        <v>53522.45</v>
      </c>
    </row>
    <row r="37" spans="1:4" x14ac:dyDescent="0.25">
      <c r="A37" s="11">
        <v>27</v>
      </c>
      <c r="B37" s="18" t="s">
        <v>19</v>
      </c>
      <c r="C37" s="33">
        <f>PriorYearIncomeStmt!E37</f>
        <v>32246.49</v>
      </c>
      <c r="D37" s="42">
        <f>'CurrentYearIncomeStmt '!E37</f>
        <v>0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37019.050000000003</v>
      </c>
      <c r="D40" s="42">
        <f>'CurrentYearIncomeStmt '!E40</f>
        <v>-384348.48</v>
      </c>
    </row>
    <row r="41" spans="1:4" x14ac:dyDescent="0.25">
      <c r="A41" s="11">
        <v>31</v>
      </c>
      <c r="B41" s="92" t="s">
        <v>22</v>
      </c>
      <c r="C41" s="38">
        <f>C31-C36+C37+C38+C39+C40</f>
        <v>481481.18000000011</v>
      </c>
      <c r="D41" s="44">
        <f t="shared" ref="D41" si="6">D31-D36+D37+D38+D39+D40</f>
        <v>-307663.79000000039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-497312</v>
      </c>
      <c r="D43" s="42">
        <f>'CurrentYearIncomeStmt '!E43</f>
        <v>-15827.64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-15830.819999999891</v>
      </c>
      <c r="D49" s="44">
        <f t="shared" ref="D49" si="7">(D41+D43+D44)-(D45+D46+D47+D48)</f>
        <v>-323491.4300000004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1365347</v>
      </c>
      <c r="D54" s="42">
        <f>'CurrentYearIncomeStmt '!E54</f>
        <v>94997</v>
      </c>
    </row>
    <row r="55" spans="1:8" x14ac:dyDescent="0.25">
      <c r="A55" s="11">
        <v>45</v>
      </c>
      <c r="B55" s="18" t="s">
        <v>36</v>
      </c>
      <c r="C55" s="50">
        <f>((C24+C30-C18-C19)/C15)</f>
        <v>0.69864259846574017</v>
      </c>
      <c r="D55" s="50">
        <f>((D24+D30-D18-D19)/D15)</f>
        <v>0.80647625149719859</v>
      </c>
    </row>
    <row r="56" spans="1:8" x14ac:dyDescent="0.25">
      <c r="A56" s="11">
        <v>46</v>
      </c>
      <c r="B56" s="18" t="s">
        <v>37</v>
      </c>
      <c r="C56" s="50">
        <f>((C24+C30+C36)/C15)</f>
        <v>0.83895189840202233</v>
      </c>
      <c r="D56" s="50">
        <f>((D24+D30+D36)/D15)</f>
        <v>0.96669008339162776</v>
      </c>
    </row>
    <row r="57" spans="1:8" x14ac:dyDescent="0.25">
      <c r="A57" s="11">
        <v>47</v>
      </c>
      <c r="B57" s="18" t="s">
        <v>38</v>
      </c>
      <c r="C57" s="50">
        <f>((C41+C36)/C36)</f>
        <v>9.1764688500871205</v>
      </c>
      <c r="D57" s="50">
        <f t="shared" ref="D57" si="9">((D41+D36)/D36)</f>
        <v>-4.7483129042112306</v>
      </c>
    </row>
    <row r="58" spans="1:8" x14ac:dyDescent="0.25">
      <c r="A58" s="11">
        <v>48</v>
      </c>
      <c r="B58" s="18" t="s">
        <v>39</v>
      </c>
      <c r="C58" s="46">
        <f>(C41+C36+C18+C19)/C54</f>
        <v>0.61567805107419593</v>
      </c>
      <c r="D58" s="50">
        <f t="shared" ref="D58" si="10">(D41+D36+D18+D19)/D54</f>
        <v>0.64395465119950734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2015-07-29T07:00:00+00:00</OpenedDate>
    <Date1 xmlns="dc463f71-b30c-4ab2-9473-d307f9d35888">2015-07-29T07:00:00+00:00</Date1>
    <IsDocumentOrder xmlns="dc463f71-b30c-4ab2-9473-d307f9d35888" xsi:nil="true"/>
    <IsHighlyConfidential xmlns="dc463f71-b30c-4ab2-9473-d307f9d35888">false</IsHighlyConfidential>
    <CaseCompanyNames xmlns="dc463f71-b30c-4ab2-9473-d307f9d35888">Pend Oreille Telephone Company</CaseCompanyNames>
    <DocketNumber xmlns="dc463f71-b30c-4ab2-9473-d307f9d35888">151559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A31FE2804C1B4C9A035DA28F624524" ma:contentTypeVersion="119" ma:contentTypeDescription="" ma:contentTypeScope="" ma:versionID="a15f13b636dbd1940b354c1b40c27a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797C88-C4F7-4277-8EEA-4D6C13DA9084}"/>
</file>

<file path=customXml/itemProps2.xml><?xml version="1.0" encoding="utf-8"?>
<ds:datastoreItem xmlns:ds="http://schemas.openxmlformats.org/officeDocument/2006/customXml" ds:itemID="{B2C88FDA-55EE-4AC4-936C-1627627D4C27}"/>
</file>

<file path=customXml/itemProps3.xml><?xml version="1.0" encoding="utf-8"?>
<ds:datastoreItem xmlns:ds="http://schemas.openxmlformats.org/officeDocument/2006/customXml" ds:itemID="{8EF9C855-EA66-40AA-A011-2DA1CB108831}"/>
</file>

<file path=customXml/itemProps4.xml><?xml version="1.0" encoding="utf-8"?>
<ds:datastoreItem xmlns:ds="http://schemas.openxmlformats.org/officeDocument/2006/customXml" ds:itemID="{5E708780-1386-4256-8112-F55C2CB450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Chad Holzer</cp:lastModifiedBy>
  <cp:lastPrinted>2015-06-04T22:32:37Z</cp:lastPrinted>
  <dcterms:created xsi:type="dcterms:W3CDTF">2014-05-21T17:51:51Z</dcterms:created>
  <dcterms:modified xsi:type="dcterms:W3CDTF">2015-07-29T16:03:03Z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  <property fmtid="{D5CDD505-2E9C-101B-9397-08002B2CF9AE}" pid="5" name="ContentTypeId">
    <vt:lpwstr>0x0101006E56B4D1795A2E4DB2F0B01679ED314A008AA31FE2804C1B4C9A035DA28F624524</vt:lpwstr>
  </property>
  <property fmtid="{D5CDD505-2E9C-101B-9397-08002B2CF9AE}" pid="6" name="_docset_NoMedatataSyncRequired">
    <vt:lpwstr>False</vt:lpwstr>
  </property>
</Properties>
</file>