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80" windowHeight="10040" tabRatio="757" activeTab="8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D18" i="9" l="1"/>
  <c r="D12" i="3" l="1"/>
  <c r="C12" i="3"/>
  <c r="C16" i="3"/>
  <c r="C13" i="3"/>
  <c r="D13" i="3"/>
  <c r="D16" i="3"/>
  <c r="D17" i="3"/>
  <c r="C17" i="3"/>
  <c r="D10" i="3"/>
  <c r="C10" i="3"/>
  <c r="C44" i="9"/>
  <c r="C39" i="9"/>
  <c r="C31" i="9"/>
  <c r="C15" i="9"/>
  <c r="D18" i="1"/>
  <c r="C44" i="1"/>
  <c r="C39" i="1"/>
  <c r="C31" i="1"/>
  <c r="C15" i="1"/>
  <c r="C12" i="1"/>
  <c r="C11" i="1"/>
  <c r="C11" i="8"/>
  <c r="B11" i="8"/>
  <c r="G33" i="11"/>
  <c r="G9" i="11"/>
  <c r="G17" i="11"/>
  <c r="B21" i="11"/>
  <c r="B20" i="11"/>
  <c r="G34" i="2"/>
  <c r="G10" i="2"/>
  <c r="G18" i="2"/>
  <c r="B22" i="2" l="1"/>
  <c r="B21" i="2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<sst xmlns="http://schemas.openxmlformats.org/spreadsheetml/2006/main" count="597" uniqueCount="231">
  <si>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</si>
  <si>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</si>
  <si>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</si>
  <si>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</si>
  <si>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</si>
  <si>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</si>
  <si>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</si>
  <si>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</si>
  <si>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</si>
  <si>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</si>
  <si>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</si>
  <si>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</si>
  <si>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</si>
  <si>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</si>
  <si>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</si>
  <si>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</si>
  <si>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</si>
  <si>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</si>
  <si>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</si>
  <si>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</si>
  <si>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</si>
  <si>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</si>
  <si>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</si>
  <si>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</si>
  <si>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</si>
  <si>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</si>
  <si>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</si>
  <si>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</si>
  <si>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</si>
  <si>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</si>
  <si>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</si>
  <si>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</si>
  <si>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</si>
  <si>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</si>
  <si>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</si>
  <si>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</si>
  <si>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</si>
  <si>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</si>
  <si>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</si>
  <si>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</si>
  <si>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</si>
  <si>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</si>
  <si>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</si>
  <si>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</si>
  <si>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</si>
  <si>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</si>
  <si>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</si>
  <si>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</si>
  <si>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</si>
  <si>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</si>
  <si>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</si>
  <si>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</si>
  <si>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</si>
  <si>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</si>
  <si>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</si>
  <si>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</si>
  <si>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</si>
  <si>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</si>
  <si>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</si>
  <si>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</si>
  <si>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</si>
  <si>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</si>
  <si>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</si>
  <si>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</si>
  <si>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</si>
  <si>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</si>
  <si>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</si>
  <si>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</si>
  <si>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</si>
  <si>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</si>
  <si>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</si>
  <si>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</si>
  <si>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</si>
  <si>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</si>
  <si>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</si>
  <si>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</si>
  <si>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</si>
  <si>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</si>
  <si>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</si>
  <si>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</si>
  <si>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</si>
  <si>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</si>
  <si>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</si>
  <si>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</si>
  <si>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</si>
  <si>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</si>
  <si>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</si>
  <si>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</si>
  <si>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</si>
  <si>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</si>
  <si>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</si>
  <si>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</si>
  <si>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</si>
  <si>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</si>
  <si>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</si>
  <si>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</si>
  <si>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</si>
  <si>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</si>
  <si>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</si>
  <si>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</si>
  <si>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</si>
  <si>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</si>
  <si>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</si>
  <si>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</si>
  <si>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</si>
  <si>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</si>
  <si>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</si>
  <si>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</si>
  <si>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</si>
  <si>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</si>
  <si>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</si>
  <si>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</si>
  <si>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</si>
  <si>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</si>
  <si>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</si>
  <si>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</si>
  <si>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</si>
  <si>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</si>
  <si>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</si>
  <si>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</si>
  <si>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</si>
  <si>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</si>
  <si>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</si>
  <si>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</si>
  <si>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</si>
  <si>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</si>
  <si>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</si>
  <si>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</si>
  <si>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</si>
  <si>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</si>
  <si>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</si>
  <si>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</si>
  <si>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</si>
  <si>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</si>
  <si>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</si>
  <si>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</si>
  <si>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</si>
  <si>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</si>
  <si>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</si>
  <si>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</si>
  <si>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</si>
  <si>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</si>
  <si>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</si>
  <si>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</si>
  <si>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</si>
  <si>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</si>
  <si>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</si>
  <si>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</si>
  <si>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</si>
  <si>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</si>
  <si>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</si>
  <si>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</si>
  <si>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</si>
  <si>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</si>
  <si>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</si>
  <si>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</si>
  <si>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</si>
  <si>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</si>
  <si>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</si>
  <si>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</si>
  <si>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</si>
  <si>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</si>
  <si>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</si>
  <si>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</si>
  <si>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</si>
  <si>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</si>
  <si>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</si>
  <si>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</si>
  <si>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</si>
  <si>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</si>
  <si>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</si>
  <si>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</si>
  <si>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</si>
  <si>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</si>
  <si>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</si>
  <si>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</si>
  <si>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</si>
  <si>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</si>
  <si>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</si>
  <si>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</si>
  <si>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</si>
  <si>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</si>
  <si>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</si>
  <si>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</si>
  <si>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</si>
  <si>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</si>
  <si>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</si>
  <si>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</si>
  <si>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</si>
  <si>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</si>
  <si>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</si>
  <si>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</si>
  <si>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</si>
  <si>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</si>
  <si>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</si>
  <si>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</si>
  <si>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</si>
  <si>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</si>
  <si>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</si>
  <si>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</si>
  <si>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</si>
  <si>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</si>
  <si>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</si>
  <si>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</si>
  <si>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</si>
  <si>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</si>
  <si>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</si>
  <si>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</si>
  <si>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</si>
  <si>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</si>
  <si>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</si>
  <si>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</si>
  <si>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</si>
  <si>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</si>
  <si>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</si>
  <si>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</si>
  <si>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</si>
  <si>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</si>
  <si>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</si>
  <si>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</si>
  <si>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</si>
  <si>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</si>
  <si>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</si>
  <si>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</si>
  <si>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</si>
  <si>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</si>
  <si>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</si>
  <si>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</si>
  <si>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</si>
  <si>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YCOM Networks, Inc. d/b/a FairPoint Communications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</si>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</sst>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>
      <selection activeCell="F1" sqref="F1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F1" t="s">
        <v>230</v>
      </c>
    </row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405</v>
      </c>
      <c r="C10" s="24"/>
      <c r="D10" s="75">
        <f>SUM(B10:C10)</f>
        <v>405</v>
      </c>
      <c r="E10" s="19"/>
      <c r="F10" s="19" t="s">
        <v>83</v>
      </c>
      <c r="G10" s="65">
        <f>1679356.89-11.3+8160+8812.34+30069.7+25370.82+1237.64+1503.2+39916.22+1281.6+579.29+2210.06+6104.24+2337.89+28232.45+27004.27</f>
        <v>1862165.3099999998</v>
      </c>
      <c r="H10" s="24"/>
      <c r="I10" s="75">
        <f>SUM(G10:H10)</f>
        <v>1862165.3099999998</v>
      </c>
    </row>
    <row r="11" spans="1:9" x14ac:dyDescent="0.35">
      <c r="A11" s="19" t="s">
        <v>168</v>
      </c>
      <c r="B11" s="65">
        <v>0</v>
      </c>
      <c r="C11" s="24"/>
      <c r="D11" s="75">
        <f>SUM(B11:C11)</f>
        <v>0</v>
      </c>
      <c r="E11" s="19"/>
      <c r="F11" s="19" t="s">
        <v>86</v>
      </c>
      <c r="G11" s="65">
        <v>0</v>
      </c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284200</v>
      </c>
      <c r="H12" s="24"/>
      <c r="I12" s="75">
        <f t="shared" si="0"/>
        <v>284200</v>
      </c>
    </row>
    <row r="13" spans="1:9" x14ac:dyDescent="0.35">
      <c r="A13" s="19" t="s">
        <v>49</v>
      </c>
      <c r="B13" s="65">
        <v>1137492.5900000001</v>
      </c>
      <c r="C13" s="24"/>
      <c r="D13" s="75">
        <f>SUM(B13:C13)</f>
        <v>1137492.5900000001</v>
      </c>
      <c r="E13" s="19"/>
      <c r="F13" s="19" t="s">
        <v>88</v>
      </c>
      <c r="G13" s="65">
        <v>0</v>
      </c>
      <c r="H13" s="24"/>
      <c r="I13" s="75">
        <f t="shared" si="0"/>
        <v>0</v>
      </c>
    </row>
    <row r="14" spans="1:9" x14ac:dyDescent="0.35">
      <c r="A14" s="19" t="s">
        <v>52</v>
      </c>
      <c r="B14" s="65">
        <v>0</v>
      </c>
      <c r="C14" s="24"/>
      <c r="D14" s="75">
        <f t="shared" ref="D14:D15" si="1">SUM(B14:C14)</f>
        <v>0</v>
      </c>
      <c r="E14" s="19"/>
      <c r="F14" s="19" t="s">
        <v>89</v>
      </c>
      <c r="G14" s="65">
        <v>0</v>
      </c>
      <c r="H14" s="24"/>
      <c r="I14" s="75">
        <f t="shared" si="0"/>
        <v>0</v>
      </c>
    </row>
    <row r="15" spans="1:9" x14ac:dyDescent="0.35">
      <c r="A15" s="19" t="s">
        <v>50</v>
      </c>
      <c r="B15" s="65">
        <v>0</v>
      </c>
      <c r="C15" s="24"/>
      <c r="D15" s="75">
        <f t="shared" si="1"/>
        <v>0</v>
      </c>
      <c r="E15" s="19"/>
      <c r="F15" s="19" t="s">
        <v>90</v>
      </c>
      <c r="G15" s="65">
        <v>0</v>
      </c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5">
        <f t="shared" si="0"/>
        <v>0</v>
      </c>
    </row>
    <row r="17" spans="1:9" x14ac:dyDescent="0.35">
      <c r="A17" s="19" t="s">
        <v>49</v>
      </c>
      <c r="B17" s="65">
        <v>337652.02</v>
      </c>
      <c r="C17" s="24"/>
      <c r="D17" s="75">
        <f>SUM(B17:C17)</f>
        <v>337652.02</v>
      </c>
      <c r="E17" s="20"/>
      <c r="F17" s="19" t="s">
        <v>92</v>
      </c>
      <c r="G17" s="65">
        <v>844</v>
      </c>
      <c r="H17" s="24"/>
      <c r="I17" s="75">
        <f t="shared" si="0"/>
        <v>844</v>
      </c>
    </row>
    <row r="18" spans="1:9" x14ac:dyDescent="0.35">
      <c r="A18" s="19" t="s">
        <v>52</v>
      </c>
      <c r="B18" s="65">
        <v>246746.28</v>
      </c>
      <c r="C18" s="24"/>
      <c r="D18" s="75">
        <f t="shared" ref="D18:D24" si="2">SUM(B18:C18)</f>
        <v>246746.28</v>
      </c>
      <c r="E18" s="19"/>
      <c r="F18" s="19" t="s">
        <v>93</v>
      </c>
      <c r="G18" s="65">
        <f>170265.45+11389+10495.04+2019.27</f>
        <v>194168.76</v>
      </c>
      <c r="H18" s="24"/>
      <c r="I18" s="75">
        <f t="shared" si="0"/>
        <v>194168.76</v>
      </c>
    </row>
    <row r="19" spans="1:9" x14ac:dyDescent="0.35">
      <c r="A19" s="19" t="s">
        <v>50</v>
      </c>
      <c r="B19" s="65">
        <v>0</v>
      </c>
      <c r="C19" s="24"/>
      <c r="D19" s="75">
        <f t="shared" si="2"/>
        <v>0</v>
      </c>
      <c r="E19" s="19"/>
      <c r="F19" s="19" t="s">
        <v>94</v>
      </c>
      <c r="G19" s="66"/>
      <c r="H19" s="25"/>
      <c r="I19" s="76">
        <f t="shared" si="0"/>
        <v>0</v>
      </c>
    </row>
    <row r="20" spans="1:9" x14ac:dyDescent="0.35">
      <c r="A20" s="19" t="s">
        <v>53</v>
      </c>
      <c r="B20" s="65">
        <v>0</v>
      </c>
      <c r="C20" s="24"/>
      <c r="D20" s="75">
        <f t="shared" si="2"/>
        <v>0</v>
      </c>
      <c r="E20" s="19"/>
      <c r="F20" s="19" t="s">
        <v>125</v>
      </c>
      <c r="G20" s="75">
        <f>SUM(G10:G19)</f>
        <v>2341378.0699999994</v>
      </c>
      <c r="H20" s="24"/>
      <c r="I20" s="75">
        <f t="shared" ref="I20" si="3">SUM(I10:I19)</f>
        <v>2341378.0699999994</v>
      </c>
    </row>
    <row r="21" spans="1:9" x14ac:dyDescent="0.35">
      <c r="A21" s="19" t="s">
        <v>54</v>
      </c>
      <c r="B21" s="65">
        <f>187688.34+18106.35</f>
        <v>205794.69</v>
      </c>
      <c r="C21" s="67"/>
      <c r="D21" s="75">
        <f t="shared" si="2"/>
        <v>205794.69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f>-8739.15+5662.91</f>
        <v>-3076.24</v>
      </c>
      <c r="C22" s="24"/>
      <c r="D22" s="75">
        <f t="shared" si="2"/>
        <v>-3076.24</v>
      </c>
      <c r="E22" s="19"/>
      <c r="F22" s="19" t="s">
        <v>97</v>
      </c>
      <c r="G22" s="65">
        <v>0</v>
      </c>
      <c r="H22" s="24"/>
      <c r="I22" s="75">
        <f>SUM(G22:H22)</f>
        <v>0</v>
      </c>
    </row>
    <row r="23" spans="1:9" x14ac:dyDescent="0.35">
      <c r="A23" s="19" t="s">
        <v>56</v>
      </c>
      <c r="B23" s="65">
        <v>33320.15</v>
      </c>
      <c r="C23" s="24"/>
      <c r="D23" s="75">
        <f t="shared" si="2"/>
        <v>33320.15</v>
      </c>
      <c r="E23" s="19"/>
      <c r="F23" s="19" t="s">
        <v>98</v>
      </c>
      <c r="G23" s="65">
        <v>0</v>
      </c>
      <c r="H23" s="24"/>
      <c r="I23" s="75">
        <f t="shared" ref="I23:I31" si="4">SUM(G23:H23)</f>
        <v>0</v>
      </c>
    </row>
    <row r="24" spans="1:9" x14ac:dyDescent="0.35">
      <c r="A24" s="19" t="s">
        <v>57</v>
      </c>
      <c r="B24" s="66">
        <v>45947</v>
      </c>
      <c r="C24" s="25"/>
      <c r="D24" s="76">
        <f t="shared" si="2"/>
        <v>45947</v>
      </c>
      <c r="E24" s="19"/>
      <c r="F24" s="19" t="s">
        <v>99</v>
      </c>
      <c r="G24" s="65">
        <v>0</v>
      </c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2004281.49</v>
      </c>
      <c r="C25" s="77">
        <f>C21</f>
        <v>0</v>
      </c>
      <c r="D25" s="75">
        <f t="shared" ref="D25" si="5">D10+D11+D13+D14+D15+D17+D18+D19+D20+D21+D22+D23+D24</f>
        <v>2004281.49</v>
      </c>
      <c r="E25" s="19"/>
      <c r="F25" s="19" t="s">
        <v>100</v>
      </c>
      <c r="G25" s="65">
        <v>0</v>
      </c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5">
        <f t="shared" si="4"/>
        <v>0</v>
      </c>
    </row>
    <row r="29" spans="1:9" x14ac:dyDescent="0.35">
      <c r="A29" s="19" t="s">
        <v>60</v>
      </c>
      <c r="B29" s="65">
        <v>0</v>
      </c>
      <c r="C29" s="24"/>
      <c r="D29" s="75">
        <f>SUM(B29:C29)</f>
        <v>0</v>
      </c>
      <c r="E29" s="19"/>
      <c r="F29" s="19" t="s">
        <v>103</v>
      </c>
      <c r="G29" s="65">
        <v>0</v>
      </c>
      <c r="H29" s="24"/>
      <c r="I29" s="75">
        <f t="shared" si="4"/>
        <v>0</v>
      </c>
    </row>
    <row r="30" spans="1:9" x14ac:dyDescent="0.35">
      <c r="A30" s="19" t="s">
        <v>61</v>
      </c>
      <c r="B30" s="65">
        <v>0</v>
      </c>
      <c r="C30" s="24"/>
      <c r="D30" s="75">
        <f>SUM(B30:C30)</f>
        <v>0</v>
      </c>
      <c r="E30" s="19"/>
      <c r="F30" s="19" t="s">
        <v>104</v>
      </c>
      <c r="G30" s="65">
        <v>0</v>
      </c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6">
        <f t="shared" si="4"/>
        <v>0</v>
      </c>
    </row>
    <row r="32" spans="1:9" x14ac:dyDescent="0.35">
      <c r="A32" s="19" t="s">
        <v>62</v>
      </c>
      <c r="B32" s="65">
        <v>0</v>
      </c>
      <c r="C32" s="24"/>
      <c r="D32" s="75">
        <f>SUM(B32:C32)</f>
        <v>0</v>
      </c>
      <c r="E32" s="19"/>
      <c r="F32" s="19" t="s">
        <v>124</v>
      </c>
      <c r="G32" s="75">
        <f>SUM(G22:G31)</f>
        <v>0</v>
      </c>
      <c r="H32" s="24"/>
      <c r="I32" s="75">
        <f t="shared" ref="I32" si="6">SUM(I22:I31)</f>
        <v>0</v>
      </c>
    </row>
    <row r="33" spans="1:9" x14ac:dyDescent="0.35">
      <c r="A33" s="19" t="s">
        <v>63</v>
      </c>
      <c r="B33" s="65">
        <v>0</v>
      </c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4708768</v>
      </c>
      <c r="C34" s="78">
        <f>-1*(C46+C21)</f>
        <v>187823</v>
      </c>
      <c r="D34" s="75">
        <f t="shared" si="7"/>
        <v>4896591</v>
      </c>
      <c r="E34" s="19"/>
      <c r="F34" s="19" t="s">
        <v>108</v>
      </c>
      <c r="G34" s="65">
        <f>18650+1548448</f>
        <v>1567098</v>
      </c>
      <c r="H34" s="24"/>
      <c r="I34" s="75">
        <f>SUM(G34:H34)</f>
        <v>1567098</v>
      </c>
    </row>
    <row r="35" spans="1:9" x14ac:dyDescent="0.35">
      <c r="A35" s="19" t="s">
        <v>67</v>
      </c>
      <c r="B35" s="65">
        <v>18204</v>
      </c>
      <c r="C35" s="24"/>
      <c r="D35" s="75">
        <f t="shared" si="7"/>
        <v>18204</v>
      </c>
      <c r="E35" s="19"/>
      <c r="F35" s="19" t="s">
        <v>172</v>
      </c>
      <c r="G35" s="65">
        <v>-393164</v>
      </c>
      <c r="H35" s="65">
        <v>47587</v>
      </c>
      <c r="I35" s="75">
        <f t="shared" ref="I35:I36" si="8">SUM(G35:H35)</f>
        <v>-345577</v>
      </c>
    </row>
    <row r="36" spans="1:9" x14ac:dyDescent="0.35">
      <c r="A36" s="19" t="s">
        <v>68</v>
      </c>
      <c r="B36" s="65">
        <v>0</v>
      </c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>
        <v>0</v>
      </c>
      <c r="C37" s="25"/>
      <c r="D37" s="76">
        <f t="shared" si="7"/>
        <v>0</v>
      </c>
      <c r="E37" s="19"/>
      <c r="F37" s="19" t="s">
        <v>110</v>
      </c>
      <c r="G37" s="75">
        <f>SUM(G34:G36)</f>
        <v>1173934</v>
      </c>
      <c r="H37" s="75">
        <f t="shared" ref="H37:I37" si="9">SUM(H34:H36)</f>
        <v>47587</v>
      </c>
      <c r="I37" s="75">
        <f t="shared" si="9"/>
        <v>1221521</v>
      </c>
    </row>
    <row r="38" spans="1:9" x14ac:dyDescent="0.35">
      <c r="A38" s="19" t="s">
        <v>70</v>
      </c>
      <c r="B38" s="75">
        <f>B29+B30+B32+B33+B34+B35+B36+B37</f>
        <v>4726972</v>
      </c>
      <c r="C38" s="78">
        <f>C34</f>
        <v>187823</v>
      </c>
      <c r="D38" s="75">
        <f t="shared" ref="D38" si="10">D29+D30+D32+D33+D34+D35+D36+D37</f>
        <v>4914795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29400</v>
      </c>
      <c r="H39" s="24"/>
      <c r="I39" s="75">
        <f>SUM(G39:H39)</f>
        <v>29400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14167680.52</v>
      </c>
      <c r="H40" s="24"/>
      <c r="I40" s="75">
        <f t="shared" ref="I40:I45" si="11">SUM(G40:H40)</f>
        <v>14167680.52</v>
      </c>
    </row>
    <row r="41" spans="1:9" x14ac:dyDescent="0.35">
      <c r="A41" s="19" t="s">
        <v>222</v>
      </c>
      <c r="B41" s="65">
        <v>42161413</v>
      </c>
      <c r="C41" s="65">
        <v>-872574</v>
      </c>
      <c r="D41" s="75">
        <f>SUM(B41:C41)</f>
        <v>41288839</v>
      </c>
      <c r="E41" s="19"/>
      <c r="F41" s="19" t="s">
        <v>114</v>
      </c>
      <c r="G41" s="65">
        <v>0</v>
      </c>
      <c r="H41" s="24"/>
      <c r="I41" s="75">
        <f t="shared" si="11"/>
        <v>0</v>
      </c>
    </row>
    <row r="42" spans="1:9" x14ac:dyDescent="0.35">
      <c r="A42" s="19" t="s">
        <v>73</v>
      </c>
      <c r="B42" s="65">
        <v>0</v>
      </c>
      <c r="C42" s="24"/>
      <c r="D42" s="75">
        <f t="shared" ref="D42:D45" si="12">SUM(B42:C42)</f>
        <v>0</v>
      </c>
      <c r="E42" s="19"/>
      <c r="F42" s="19" t="s">
        <v>115</v>
      </c>
      <c r="G42" s="65">
        <v>0</v>
      </c>
      <c r="H42" s="24"/>
      <c r="I42" s="75">
        <f t="shared" si="11"/>
        <v>0</v>
      </c>
    </row>
    <row r="43" spans="1:9" x14ac:dyDescent="0.35">
      <c r="A43" s="19" t="s">
        <v>74</v>
      </c>
      <c r="B43" s="65">
        <v>794592.63</v>
      </c>
      <c r="C43" s="24"/>
      <c r="D43" s="75">
        <f t="shared" si="12"/>
        <v>794592.63</v>
      </c>
      <c r="E43" s="19"/>
      <c r="F43" s="19" t="s">
        <v>116</v>
      </c>
      <c r="G43" s="65">
        <v>265.76</v>
      </c>
      <c r="H43" s="24"/>
      <c r="I43" s="75">
        <f t="shared" si="11"/>
        <v>265.76</v>
      </c>
    </row>
    <row r="44" spans="1:9" x14ac:dyDescent="0.35">
      <c r="A44" s="19" t="s">
        <v>75</v>
      </c>
      <c r="B44" s="65">
        <v>140602</v>
      </c>
      <c r="C44" s="24"/>
      <c r="D44" s="75">
        <f t="shared" si="12"/>
        <v>140602</v>
      </c>
      <c r="E44" s="19"/>
      <c r="F44" s="19" t="s">
        <v>117</v>
      </c>
      <c r="G44" s="65">
        <v>0</v>
      </c>
      <c r="H44" s="24"/>
      <c r="I44" s="75">
        <f t="shared" si="11"/>
        <v>0</v>
      </c>
    </row>
    <row r="45" spans="1:9" x14ac:dyDescent="0.35">
      <c r="A45" s="19" t="s">
        <v>126</v>
      </c>
      <c r="B45" s="66">
        <v>-37176095</v>
      </c>
      <c r="C45" s="66">
        <v>684751</v>
      </c>
      <c r="D45" s="76">
        <f t="shared" si="12"/>
        <v>-36491344</v>
      </c>
      <c r="E45" s="19"/>
      <c r="F45" s="19" t="s">
        <v>207</v>
      </c>
      <c r="G45" s="66">
        <v>-5060892.0199999996</v>
      </c>
      <c r="H45" s="76">
        <f>-1*H37</f>
        <v>-47587</v>
      </c>
      <c r="I45" s="76">
        <f t="shared" si="11"/>
        <v>-5108479.0199999996</v>
      </c>
    </row>
    <row r="46" spans="1:9" x14ac:dyDescent="0.35">
      <c r="A46" s="19" t="s">
        <v>76</v>
      </c>
      <c r="B46" s="75">
        <f>B41+B42+B43+B44+B45</f>
        <v>5920512.6300000027</v>
      </c>
      <c r="C46" s="75">
        <f t="shared" ref="C46:D46" si="13">C41+C42+C43+C44+C45</f>
        <v>-187823</v>
      </c>
      <c r="D46" s="75">
        <f t="shared" si="13"/>
        <v>5732689.6300000027</v>
      </c>
      <c r="E46" s="19"/>
      <c r="F46" s="19" t="s">
        <v>119</v>
      </c>
      <c r="G46" s="75">
        <f>SUM(G39:G45)</f>
        <v>9136454.2599999998</v>
      </c>
      <c r="H46" s="80">
        <f t="shared" ref="H46:I46" si="14">SUM(H39:H45)</f>
        <v>-47587</v>
      </c>
      <c r="I46" s="75">
        <f t="shared" si="14"/>
        <v>9088867.2599999998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12651766.120000003</v>
      </c>
      <c r="C48" s="79">
        <f t="shared" ref="C48:D48" si="15">C25+C38+C46</f>
        <v>0</v>
      </c>
      <c r="D48" s="79">
        <f t="shared" si="15"/>
        <v>12651766.120000003</v>
      </c>
      <c r="E48" s="19"/>
      <c r="F48" s="23" t="s">
        <v>120</v>
      </c>
      <c r="G48" s="79">
        <f>G20+G32+G37+G46</f>
        <v>12651766.329999998</v>
      </c>
      <c r="H48" s="79">
        <f t="shared" ref="H48:I48" si="16">H20+H32+H37+H46</f>
        <v>0</v>
      </c>
      <c r="I48" s="79">
        <f t="shared" si="16"/>
        <v>12651766.329999998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F1" sqref="F1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  <c r="F1" t="s">
        <v>230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405</v>
      </c>
      <c r="C9" s="24"/>
      <c r="D9" s="38">
        <f>SUM(B9:C9)</f>
        <v>405</v>
      </c>
      <c r="E9" s="19"/>
      <c r="F9" s="19" t="s">
        <v>83</v>
      </c>
      <c r="G9" s="65">
        <f>1301787.01-68.32+7120.2+8907.78+59114.53+23071.26+1198.57+1450.6+2049.57+5681.79+30162.17+31307.13+36225.64</f>
        <v>1508007.93</v>
      </c>
      <c r="H9" s="24"/>
      <c r="I9" s="38">
        <f>SUM(G9:H9)</f>
        <v>1508007.93</v>
      </c>
    </row>
    <row r="10" spans="1:9" x14ac:dyDescent="0.3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288600</v>
      </c>
      <c r="H11" s="24"/>
      <c r="I11" s="38">
        <f t="shared" si="0"/>
        <v>288600</v>
      </c>
    </row>
    <row r="12" spans="1:9" x14ac:dyDescent="0.35">
      <c r="A12" s="19" t="s">
        <v>49</v>
      </c>
      <c r="B12" s="65">
        <v>1131936.94</v>
      </c>
      <c r="C12" s="24"/>
      <c r="D12" s="38">
        <f>SUM(B12:C12)</f>
        <v>1131936.94</v>
      </c>
      <c r="E12" s="19"/>
      <c r="F12" s="19" t="s">
        <v>88</v>
      </c>
      <c r="G12" s="65">
        <v>0</v>
      </c>
      <c r="H12" s="24"/>
      <c r="I12" s="38">
        <f t="shared" si="0"/>
        <v>0</v>
      </c>
    </row>
    <row r="13" spans="1:9" x14ac:dyDescent="0.35">
      <c r="A13" s="19" t="s">
        <v>52</v>
      </c>
      <c r="B13" s="65">
        <v>0</v>
      </c>
      <c r="C13" s="24"/>
      <c r="D13" s="38">
        <f t="shared" ref="D13:D14" si="1">SUM(B13:C13)</f>
        <v>0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3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35">
      <c r="A16" s="19" t="s">
        <v>49</v>
      </c>
      <c r="B16" s="65">
        <v>281190.09999999998</v>
      </c>
      <c r="C16" s="24"/>
      <c r="D16" s="38">
        <f>SUM(B16:C16)</f>
        <v>281190.09999999998</v>
      </c>
      <c r="E16" s="20"/>
      <c r="F16" s="19" t="s">
        <v>92</v>
      </c>
      <c r="G16" s="65">
        <v>448227</v>
      </c>
      <c r="H16" s="24"/>
      <c r="I16" s="38">
        <f t="shared" si="0"/>
        <v>448227</v>
      </c>
    </row>
    <row r="17" spans="1:9" x14ac:dyDescent="0.35">
      <c r="A17" s="19" t="s">
        <v>52</v>
      </c>
      <c r="B17" s="65">
        <v>206624.41</v>
      </c>
      <c r="C17" s="24"/>
      <c r="D17" s="38">
        <f t="shared" ref="D17:D23" si="2">SUM(B17:C17)</f>
        <v>206624.41</v>
      </c>
      <c r="E17" s="19"/>
      <c r="F17" s="19" t="s">
        <v>93</v>
      </c>
      <c r="G17" s="65">
        <f>150069.48+9246+11455.55+2355.9</f>
        <v>173126.93</v>
      </c>
      <c r="H17" s="24"/>
      <c r="I17" s="38">
        <f t="shared" si="0"/>
        <v>173126.93</v>
      </c>
    </row>
    <row r="18" spans="1:9" x14ac:dyDescent="0.3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/>
      <c r="H18" s="25"/>
      <c r="I18" s="39">
        <f t="shared" si="0"/>
        <v>0</v>
      </c>
    </row>
    <row r="19" spans="1:9" x14ac:dyDescent="0.35">
      <c r="A19" s="19" t="s">
        <v>53</v>
      </c>
      <c r="B19" s="65">
        <v>0</v>
      </c>
      <c r="C19" s="24"/>
      <c r="D19" s="38">
        <f t="shared" si="2"/>
        <v>0</v>
      </c>
      <c r="E19" s="19"/>
      <c r="F19" s="19" t="s">
        <v>125</v>
      </c>
      <c r="G19" s="38">
        <f>SUM(G9:G18)</f>
        <v>2417961.86</v>
      </c>
      <c r="H19" s="24"/>
      <c r="I19" s="38">
        <f t="shared" ref="I19" si="3">SUM(I9:I18)</f>
        <v>2417961.86</v>
      </c>
    </row>
    <row r="20" spans="1:9" x14ac:dyDescent="0.35">
      <c r="A20" s="19" t="s">
        <v>54</v>
      </c>
      <c r="B20" s="65">
        <f>185939.18+13031.56</f>
        <v>198970.74</v>
      </c>
      <c r="C20" s="67"/>
      <c r="D20" s="38">
        <f t="shared" si="2"/>
        <v>198970.74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f>-13060.05+6771.35</f>
        <v>-6288.6999999999989</v>
      </c>
      <c r="C21" s="24"/>
      <c r="D21" s="38">
        <f t="shared" si="2"/>
        <v>-6288.6999999999989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35">
      <c r="A22" s="19" t="s">
        <v>56</v>
      </c>
      <c r="B22" s="65">
        <v>38614.589999999997</v>
      </c>
      <c r="C22" s="24"/>
      <c r="D22" s="38">
        <f t="shared" si="2"/>
        <v>38614.589999999997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34376</v>
      </c>
      <c r="C23" s="25"/>
      <c r="D23" s="39">
        <f t="shared" si="2"/>
        <v>34376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1885829.08</v>
      </c>
      <c r="C24" s="57">
        <f>C20</f>
        <v>0</v>
      </c>
      <c r="D24" s="38">
        <f t="shared" ref="D24" si="5">D9+D10+D12+D13+D14+D16+D17+D18+D19+D20+D21+D22+D23</f>
        <v>1885829.08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3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3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3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4983297</v>
      </c>
      <c r="C33" s="80">
        <f>-1*(C45+C20)</f>
        <v>224661</v>
      </c>
      <c r="D33" s="38">
        <f t="shared" si="7"/>
        <v>5207958</v>
      </c>
      <c r="E33" s="19"/>
      <c r="F33" s="19" t="s">
        <v>108</v>
      </c>
      <c r="G33" s="65">
        <f>8530+1474965</f>
        <v>1483495</v>
      </c>
      <c r="H33" s="24"/>
      <c r="I33" s="38">
        <f>SUM(G33:H33)</f>
        <v>1483495</v>
      </c>
    </row>
    <row r="34" spans="1:9" x14ac:dyDescent="0.35">
      <c r="A34" s="19" t="s">
        <v>67</v>
      </c>
      <c r="B34" s="65">
        <v>18204</v>
      </c>
      <c r="C34" s="24"/>
      <c r="D34" s="38">
        <f t="shared" si="7"/>
        <v>18204</v>
      </c>
      <c r="E34" s="19"/>
      <c r="F34" s="19" t="s">
        <v>172</v>
      </c>
      <c r="G34" s="65">
        <v>-572220</v>
      </c>
      <c r="H34" s="65">
        <v>66833</v>
      </c>
      <c r="I34" s="38">
        <f t="shared" ref="I34:I35" si="8">SUM(G34:H34)</f>
        <v>-505387</v>
      </c>
    </row>
    <row r="35" spans="1:9" x14ac:dyDescent="0.35">
      <c r="A35" s="19" t="s">
        <v>68</v>
      </c>
      <c r="B35" s="65">
        <v>0</v>
      </c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911275</v>
      </c>
      <c r="H36" s="38">
        <f t="shared" ref="H36:I36" si="9">SUM(H33:H35)</f>
        <v>66833</v>
      </c>
      <c r="I36" s="38">
        <f t="shared" si="9"/>
        <v>978108</v>
      </c>
    </row>
    <row r="37" spans="1:9" x14ac:dyDescent="0.35">
      <c r="A37" s="19" t="s">
        <v>70</v>
      </c>
      <c r="B37" s="38">
        <f>B28+B29+B31+B32+B33+B34+B35+B36</f>
        <v>5001501</v>
      </c>
      <c r="C37" s="57">
        <f>C33</f>
        <v>224661</v>
      </c>
      <c r="D37" s="38">
        <f t="shared" ref="D37" si="10">D28+D29+D31+D32+D33+D34+D35+D36</f>
        <v>5226162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29400</v>
      </c>
      <c r="H38" s="24"/>
      <c r="I38" s="38">
        <f>SUM(G38:H38)</f>
        <v>29400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14167680.52</v>
      </c>
      <c r="H39" s="24"/>
      <c r="I39" s="38">
        <f t="shared" ref="I39:I44" si="11">SUM(G39:H39)</f>
        <v>14167680.52</v>
      </c>
    </row>
    <row r="40" spans="1:9" x14ac:dyDescent="0.35">
      <c r="A40" s="19" t="s">
        <v>222</v>
      </c>
      <c r="B40" s="65">
        <v>39437807</v>
      </c>
      <c r="C40" s="65">
        <v>-1001208</v>
      </c>
      <c r="D40" s="38">
        <f>SUM(B40:C40)</f>
        <v>38436599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3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35">
      <c r="A42" s="19" t="s">
        <v>74</v>
      </c>
      <c r="B42" s="65">
        <v>618490.63</v>
      </c>
      <c r="C42" s="24"/>
      <c r="D42" s="38">
        <f t="shared" si="12"/>
        <v>618490.63</v>
      </c>
      <c r="E42" s="19"/>
      <c r="F42" s="19" t="s">
        <v>116</v>
      </c>
      <c r="G42" s="65">
        <v>265.76</v>
      </c>
      <c r="H42" s="24"/>
      <c r="I42" s="38">
        <f t="shared" si="11"/>
        <v>265.76</v>
      </c>
    </row>
    <row r="43" spans="1:9" x14ac:dyDescent="0.35">
      <c r="A43" s="19" t="s">
        <v>75</v>
      </c>
      <c r="B43" s="65">
        <v>140602</v>
      </c>
      <c r="C43" s="24"/>
      <c r="D43" s="38">
        <f t="shared" si="12"/>
        <v>140602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35">
      <c r="A44" s="19" t="s">
        <v>126</v>
      </c>
      <c r="B44" s="66">
        <v>-35582964</v>
      </c>
      <c r="C44" s="66">
        <v>776547</v>
      </c>
      <c r="D44" s="39">
        <f t="shared" si="12"/>
        <v>-34806417</v>
      </c>
      <c r="E44" s="19"/>
      <c r="F44" s="19" t="s">
        <v>207</v>
      </c>
      <c r="G44" s="66">
        <v>-6025316.6600000001</v>
      </c>
      <c r="H44" s="83">
        <f>-1*H36</f>
        <v>-66833</v>
      </c>
      <c r="I44" s="39">
        <f t="shared" si="11"/>
        <v>-6092149.6600000001</v>
      </c>
    </row>
    <row r="45" spans="1:9" x14ac:dyDescent="0.35">
      <c r="A45" s="19" t="s">
        <v>76</v>
      </c>
      <c r="B45" s="38">
        <f>B40+B41+B42+B43+B44</f>
        <v>4613935.6300000027</v>
      </c>
      <c r="C45" s="38">
        <f t="shared" ref="C45:D45" si="13">C40+C41+C42+C43+C44</f>
        <v>-224661</v>
      </c>
      <c r="D45" s="38">
        <f t="shared" si="13"/>
        <v>4389274.6300000027</v>
      </c>
      <c r="E45" s="19"/>
      <c r="F45" s="19" t="s">
        <v>119</v>
      </c>
      <c r="G45" s="38">
        <f>SUM(G38:G44)</f>
        <v>8172029.6199999992</v>
      </c>
      <c r="H45" s="56">
        <f t="shared" ref="H45:I45" si="14">SUM(H38:H44)</f>
        <v>-66833</v>
      </c>
      <c r="I45" s="38">
        <f t="shared" si="14"/>
        <v>8105196.6199999992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11501265.710000003</v>
      </c>
      <c r="C47" s="40">
        <f t="shared" ref="C47:D47" si="15">C24+C37+C45</f>
        <v>0</v>
      </c>
      <c r="D47" s="40">
        <f t="shared" si="15"/>
        <v>11501265.710000003</v>
      </c>
      <c r="E47" s="19"/>
      <c r="F47" s="23" t="s">
        <v>120</v>
      </c>
      <c r="G47" s="40">
        <f>G19+G31+G36+G45</f>
        <v>11501266.479999999</v>
      </c>
      <c r="H47" s="40">
        <f t="shared" ref="H47:I47" si="16">H19+H31+H36+H45</f>
        <v>0</v>
      </c>
      <c r="I47" s="40">
        <f t="shared" si="16"/>
        <v>11501266.479999999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E1" sqref="E1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1" spans="1:7" x14ac:dyDescent="0.35">
      <c r="E1" t="s">
        <v>230</v>
      </c>
    </row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405</v>
      </c>
      <c r="C10" s="38">
        <f>'PartABalance Sheet(CY) '!D9</f>
        <v>405</v>
      </c>
      <c r="D10" s="19"/>
      <c r="E10" s="19" t="s">
        <v>83</v>
      </c>
      <c r="F10" s="38">
        <f>'PartABalance Sheet(PY)'!I10</f>
        <v>1862165.3099999998</v>
      </c>
      <c r="G10" s="38">
        <f>'PartABalance Sheet(CY) '!I9</f>
        <v>1508007.93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284200</v>
      </c>
      <c r="G12" s="38">
        <f>'PartABalance Sheet(CY) '!I11</f>
        <v>288600</v>
      </c>
    </row>
    <row r="13" spans="1:7" x14ac:dyDescent="0.35">
      <c r="A13" s="19" t="s">
        <v>49</v>
      </c>
      <c r="B13" s="38">
        <f>'PartABalance Sheet(PY)'!D13</f>
        <v>1137492.5900000001</v>
      </c>
      <c r="C13" s="38">
        <f>'PartABalance Sheet(CY) '!D12</f>
        <v>1131936.94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337652.02</v>
      </c>
      <c r="C17" s="38">
        <f>'PartABalance Sheet(CY) '!D16</f>
        <v>281190.09999999998</v>
      </c>
      <c r="D17" s="19"/>
      <c r="E17" s="19" t="s">
        <v>92</v>
      </c>
      <c r="F17" s="38">
        <f>'PartABalance Sheet(PY)'!I17</f>
        <v>844</v>
      </c>
      <c r="G17" s="38">
        <f>'PartABalance Sheet(CY) '!I16</f>
        <v>448227</v>
      </c>
    </row>
    <row r="18" spans="1:7" x14ac:dyDescent="0.35">
      <c r="A18" s="19" t="s">
        <v>52</v>
      </c>
      <c r="B18" s="38">
        <f>'PartABalance Sheet(PY)'!D18</f>
        <v>246746.28</v>
      </c>
      <c r="C18" s="38">
        <f>'PartABalance Sheet(CY) '!D17</f>
        <v>206624.41</v>
      </c>
      <c r="D18" s="19"/>
      <c r="E18" s="19" t="s">
        <v>93</v>
      </c>
      <c r="F18" s="38">
        <f>'PartABalance Sheet(PY)'!I18</f>
        <v>194168.76</v>
      </c>
      <c r="G18" s="38">
        <f>'PartABalance Sheet(CY) '!I17</f>
        <v>173126.93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0</v>
      </c>
      <c r="G19" s="39">
        <f>'PartABalance Sheet(CY) '!I18</f>
        <v>0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2341378.0699999994</v>
      </c>
      <c r="G20" s="41">
        <f>SUM(G10:G19)</f>
        <v>2417961.86</v>
      </c>
    </row>
    <row r="21" spans="1:7" x14ac:dyDescent="0.35">
      <c r="A21" s="19" t="s">
        <v>54</v>
      </c>
      <c r="B21" s="38">
        <f>'PartABalance Sheet(PY)'!D21</f>
        <v>205794.69</v>
      </c>
      <c r="C21" s="38">
        <f>'PartABalance Sheet(CY) '!D20</f>
        <v>198970.74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-3076.24</v>
      </c>
      <c r="C22" s="38">
        <f>'PartABalance Sheet(CY) '!D21</f>
        <v>-6288.6999999999989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33320.15</v>
      </c>
      <c r="C23" s="38">
        <f>'PartABalance Sheet(CY) '!D22</f>
        <v>38614.589999999997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45947</v>
      </c>
      <c r="C24" s="39">
        <f>'PartABalance Sheet(CY) '!D23</f>
        <v>34376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2004281.49</v>
      </c>
      <c r="C25" s="38">
        <f>C10+C11+C13+C14+C15+C17+C18+C19+C20+C21+C22+C23+C24</f>
        <v>1885829.08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4896591</v>
      </c>
      <c r="C34" s="38">
        <f>'PartABalance Sheet(CY) '!D33</f>
        <v>5207958</v>
      </c>
      <c r="D34" s="19"/>
      <c r="E34" s="19" t="s">
        <v>108</v>
      </c>
      <c r="F34" s="38">
        <f>'PartABalance Sheet(PY)'!I34</f>
        <v>1567098</v>
      </c>
      <c r="G34" s="38">
        <f>'PartABalance Sheet(CY) '!I33</f>
        <v>1483495</v>
      </c>
    </row>
    <row r="35" spans="1:7" x14ac:dyDescent="0.35">
      <c r="A35" s="19" t="s">
        <v>67</v>
      </c>
      <c r="B35" s="38">
        <f>'PartABalance Sheet(PY)'!D35</f>
        <v>18204</v>
      </c>
      <c r="C35" s="38">
        <f>'PartABalance Sheet(CY) '!D34</f>
        <v>18204</v>
      </c>
      <c r="D35" s="19"/>
      <c r="E35" s="19" t="s">
        <v>128</v>
      </c>
      <c r="F35" s="38">
        <f>'PartABalance Sheet(PY)'!I35</f>
        <v>-345577</v>
      </c>
      <c r="G35" s="38">
        <f>'PartABalance Sheet(CY) '!I34</f>
        <v>-505387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1221521</v>
      </c>
      <c r="G37" s="38">
        <f>SUM(G34:G36)</f>
        <v>978108</v>
      </c>
    </row>
    <row r="38" spans="1:7" x14ac:dyDescent="0.35">
      <c r="A38" s="19" t="s">
        <v>70</v>
      </c>
      <c r="B38" s="38">
        <f>B29+B30+B32+B33+B34+B35+B36+B37</f>
        <v>4914795</v>
      </c>
      <c r="C38" s="38">
        <f>C29+C30+C32+C33+C34+C35+C36+C37</f>
        <v>5226162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29400</v>
      </c>
      <c r="G39" s="38">
        <f>'PartABalance Sheet(CY) '!I38</f>
        <v>29400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14167680.52</v>
      </c>
      <c r="G40" s="38">
        <f>'PartABalance Sheet(CY) '!I39</f>
        <v>14167680.52</v>
      </c>
    </row>
    <row r="41" spans="1:7" x14ac:dyDescent="0.35">
      <c r="A41" s="19" t="s">
        <v>72</v>
      </c>
      <c r="B41" s="38">
        <f>'PartABalance Sheet(PY)'!D41</f>
        <v>41288839</v>
      </c>
      <c r="C41" s="38">
        <f>'PartABalance Sheet(CY) '!D40</f>
        <v>38436599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794592.63</v>
      </c>
      <c r="C43" s="38">
        <f>'PartABalance Sheet(CY) '!D42</f>
        <v>618490.63</v>
      </c>
      <c r="D43" s="19"/>
      <c r="E43" s="19" t="s">
        <v>116</v>
      </c>
      <c r="F43" s="38">
        <f>'PartABalance Sheet(PY)'!I43</f>
        <v>265.76</v>
      </c>
      <c r="G43" s="38">
        <f>'PartABalance Sheet(CY) '!I42</f>
        <v>265.76</v>
      </c>
    </row>
    <row r="44" spans="1:7" x14ac:dyDescent="0.35">
      <c r="A44" s="19" t="s">
        <v>75</v>
      </c>
      <c r="B44" s="38">
        <f>'PartABalance Sheet(PY)'!D44</f>
        <v>140602</v>
      </c>
      <c r="C44" s="38">
        <f>'PartABalance Sheet(CY) '!D43</f>
        <v>140602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-36491344</v>
      </c>
      <c r="C45" s="39">
        <f>'PartABalance Sheet(CY) '!D44</f>
        <v>-34806417</v>
      </c>
      <c r="D45" s="19"/>
      <c r="E45" s="19" t="s">
        <v>118</v>
      </c>
      <c r="F45" s="39">
        <f>'PartABalance Sheet(PY)'!I45</f>
        <v>-5108479.0199999996</v>
      </c>
      <c r="G45" s="39">
        <f>'PartABalance Sheet(CY) '!I44</f>
        <v>-6092149.6600000001</v>
      </c>
    </row>
    <row r="46" spans="1:7" x14ac:dyDescent="0.35">
      <c r="A46" s="19" t="s">
        <v>76</v>
      </c>
      <c r="B46" s="38">
        <f>SUM(B41:B45)</f>
        <v>5732689.6300000027</v>
      </c>
      <c r="C46" s="38">
        <f>SUM(C41:C45)</f>
        <v>4389274.6300000027</v>
      </c>
      <c r="D46" s="19"/>
      <c r="E46" s="19" t="s">
        <v>119</v>
      </c>
      <c r="F46" s="38">
        <f>SUM(F39:F45)</f>
        <v>9088867.2599999998</v>
      </c>
      <c r="G46" s="38">
        <f>SUM(G39:G45)</f>
        <v>8105196.6199999992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12651766.120000003</v>
      </c>
      <c r="C48" s="40">
        <f>C25+C38+C46</f>
        <v>11501265.710000003</v>
      </c>
      <c r="D48" s="19"/>
      <c r="E48" s="23" t="s">
        <v>120</v>
      </c>
      <c r="F48" s="40">
        <f>F20+F32+F37+F46</f>
        <v>12651766.329999998</v>
      </c>
      <c r="G48" s="40">
        <f>G20+G32+G37+G46</f>
        <v>11501266.479999999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1" sqref="D1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1" spans="1:5" x14ac:dyDescent="0.35">
      <c r="D1" t="s">
        <v>230</v>
      </c>
    </row>
    <row r="2" spans="1:5" x14ac:dyDescent="0.35">
      <c r="A2" t="s">
        <v>226</v>
      </c>
    </row>
    <row r="3" spans="1:5" x14ac:dyDescent="0.35">
      <c r="A3" s="74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41288839</v>
      </c>
      <c r="D10" s="75">
        <f>'PartABalance Sheet (Summary)'!C41</f>
        <v>38436599</v>
      </c>
      <c r="E10" s="75">
        <f>(C10+D10)/2</f>
        <v>39862719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-36491344</v>
      </c>
      <c r="D12" s="75">
        <f>'PartABalance Sheet (Summary)'!C45</f>
        <v>-34806417</v>
      </c>
      <c r="E12" s="75">
        <f t="shared" ref="E12:E15" si="0">(C12+D12)/2</f>
        <v>-35648880.5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205794.69</v>
      </c>
      <c r="D13" s="75">
        <f>'PartABalance Sheet (Summary)'!C21</f>
        <v>198970.74</v>
      </c>
      <c r="E13" s="75">
        <f t="shared" si="0"/>
        <v>202382.715</v>
      </c>
    </row>
    <row r="14" spans="1:5" x14ac:dyDescent="0.35">
      <c r="A14" s="19" t="s">
        <v>144</v>
      </c>
      <c r="B14" s="19"/>
      <c r="C14" s="65">
        <v>345577</v>
      </c>
      <c r="D14" s="65">
        <v>505387</v>
      </c>
      <c r="E14" s="65">
        <f t="shared" si="0"/>
        <v>425482</v>
      </c>
    </row>
    <row r="15" spans="1:5" ht="15" thickBot="1" x14ac:dyDescent="0.4">
      <c r="A15" s="19" t="s">
        <v>213</v>
      </c>
      <c r="B15" s="19"/>
      <c r="C15" s="81">
        <f>SUM(C10:C14)</f>
        <v>5348866.6900000004</v>
      </c>
      <c r="D15" s="81">
        <f>SUM(D10:D14)</f>
        <v>4334539.74</v>
      </c>
      <c r="E15" s="82">
        <f t="shared" si="0"/>
        <v>4841703.2149999999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1" sqref="C1"/>
    </sheetView>
  </sheetViews>
  <sheetFormatPr defaultRowHeight="14.5" x14ac:dyDescent="0.35"/>
  <cols>
    <col min="1" max="1" width="52.26953125" customWidth="1"/>
    <col min="2" max="4" width="13.81640625" customWidth="1"/>
  </cols>
  <sheetData>
    <row r="1" spans="1:5" x14ac:dyDescent="0.35">
      <c r="C1" t="s">
        <v>230</v>
      </c>
    </row>
    <row r="2" spans="1:5" x14ac:dyDescent="0.35">
      <c r="A2" t="s">
        <v>226</v>
      </c>
    </row>
    <row r="3" spans="1:5" x14ac:dyDescent="0.35">
      <c r="A3" s="74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6682</v>
      </c>
      <c r="C10" s="65">
        <v>6126</v>
      </c>
      <c r="D10" s="38">
        <f>C10-B10</f>
        <v>-556</v>
      </c>
      <c r="E10" s="44">
        <f>D10/B10</f>
        <v>-8.3208620173600714E-2</v>
      </c>
    </row>
    <row r="11" spans="1:5" x14ac:dyDescent="0.35">
      <c r="A11" s="19" t="s">
        <v>153</v>
      </c>
      <c r="B11" s="65">
        <f>8179-6682</f>
        <v>1497</v>
      </c>
      <c r="C11" s="65">
        <f>287+1137</f>
        <v>1424</v>
      </c>
      <c r="D11" s="38">
        <f>C11-B11</f>
        <v>-73</v>
      </c>
      <c r="E11" s="44">
        <f t="shared" ref="E11:E12" si="0">D11/B11</f>
        <v>-4.876419505678023E-2</v>
      </c>
    </row>
    <row r="12" spans="1:5" ht="15" thickBot="1" x14ac:dyDescent="0.4">
      <c r="A12" s="19" t="s">
        <v>154</v>
      </c>
      <c r="B12" s="40">
        <f>SUM(B10:B11)</f>
        <v>8179</v>
      </c>
      <c r="C12" s="40">
        <f t="shared" ref="C12:D12" si="1">SUM(C10:C11)</f>
        <v>7550</v>
      </c>
      <c r="D12" s="40">
        <f t="shared" si="1"/>
        <v>-629</v>
      </c>
      <c r="E12" s="45">
        <f t="shared" si="0"/>
        <v>-7.6904267025308712E-2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6090</v>
      </c>
      <c r="C18" s="68">
        <v>6084</v>
      </c>
      <c r="D18" s="40">
        <f>C18-B18</f>
        <v>-6</v>
      </c>
      <c r="E18" s="45">
        <f>D18/B18</f>
        <v>-9.8522167487684722E-4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1357317.65</v>
      </c>
      <c r="C25" s="68">
        <v>991954.99</v>
      </c>
      <c r="D25" s="40">
        <f>C25-B25</f>
        <v>-365362.65999999992</v>
      </c>
      <c r="E25" s="45">
        <f>D25/B25</f>
        <v>-0.26917992262165008</v>
      </c>
    </row>
    <row r="26" spans="1:5" ht="15" thickTop="1" x14ac:dyDescent="0.35">
      <c r="A26" s="21"/>
      <c r="B26" s="30"/>
      <c r="C26" s="30"/>
      <c r="D26" s="30"/>
      <c r="E26" s="16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selection activeCell="C1" sqref="C1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  <c r="C1" t="s">
        <v>230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f>2425375-12840</f>
        <v>2412535</v>
      </c>
      <c r="D11" s="33"/>
      <c r="E11" s="38">
        <f>SUM(C11:D11)</f>
        <v>2412535</v>
      </c>
    </row>
    <row r="12" spans="1:5" x14ac:dyDescent="0.35">
      <c r="A12" s="11">
        <v>2</v>
      </c>
      <c r="B12" s="19" t="s">
        <v>5</v>
      </c>
      <c r="C12" s="65">
        <f>12840+4045760</f>
        <v>4058600</v>
      </c>
      <c r="D12" s="24"/>
      <c r="E12" s="38">
        <f t="shared" ref="E12:E16" si="0">SUM(C12:D12)</f>
        <v>4058600</v>
      </c>
    </row>
    <row r="13" spans="1:5" x14ac:dyDescent="0.35">
      <c r="A13" s="11">
        <v>3</v>
      </c>
      <c r="B13" s="19" t="s">
        <v>6</v>
      </c>
      <c r="C13" s="65">
        <v>0</v>
      </c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110761</v>
      </c>
      <c r="D14" s="65"/>
      <c r="E14" s="38">
        <f t="shared" si="0"/>
        <v>110761</v>
      </c>
    </row>
    <row r="15" spans="1:5" x14ac:dyDescent="0.35">
      <c r="A15" s="11">
        <v>5</v>
      </c>
      <c r="B15" s="19" t="s">
        <v>8</v>
      </c>
      <c r="C15" s="65">
        <f>36222+396357</f>
        <v>432579</v>
      </c>
      <c r="D15" s="65"/>
      <c r="E15" s="38">
        <f t="shared" si="0"/>
        <v>432579</v>
      </c>
    </row>
    <row r="16" spans="1:5" x14ac:dyDescent="0.35">
      <c r="A16" s="11">
        <v>6</v>
      </c>
      <c r="B16" s="19" t="s">
        <v>182</v>
      </c>
      <c r="C16" s="65">
        <v>-243002</v>
      </c>
      <c r="D16" s="65"/>
      <c r="E16" s="38">
        <f t="shared" si="0"/>
        <v>-243002</v>
      </c>
    </row>
    <row r="17" spans="1:6" x14ac:dyDescent="0.35">
      <c r="A17" s="11">
        <v>7</v>
      </c>
      <c r="B17" s="23" t="s">
        <v>181</v>
      </c>
      <c r="C17" s="46">
        <f>SUM(C11:C16)</f>
        <v>6771473</v>
      </c>
      <c r="D17" s="46">
        <f t="shared" ref="D17:E17" si="1">SUM(D11:D16)</f>
        <v>0</v>
      </c>
      <c r="E17" s="46">
        <f t="shared" si="1"/>
        <v>6771473</v>
      </c>
      <c r="F17" s="1"/>
    </row>
    <row r="18" spans="1:6" x14ac:dyDescent="0.35">
      <c r="A18" s="11">
        <v>8</v>
      </c>
      <c r="B18" s="19" t="s">
        <v>9</v>
      </c>
      <c r="C18" s="65">
        <v>2304110</v>
      </c>
      <c r="D18" s="65">
        <f>-170970+1368</f>
        <v>-169602</v>
      </c>
      <c r="E18" s="47">
        <f>SUM(C18:D18)</f>
        <v>2134508</v>
      </c>
    </row>
    <row r="19" spans="1:6" x14ac:dyDescent="0.35">
      <c r="A19" s="11">
        <v>9</v>
      </c>
      <c r="B19" s="19" t="s">
        <v>44</v>
      </c>
      <c r="C19" s="65">
        <v>781868</v>
      </c>
      <c r="D19" s="65">
        <v>0</v>
      </c>
      <c r="E19" s="47">
        <f t="shared" ref="E19:E24" si="2">SUM(C19:D19)</f>
        <v>781868</v>
      </c>
    </row>
    <row r="20" spans="1:6" x14ac:dyDescent="0.35">
      <c r="A20" s="11">
        <v>10</v>
      </c>
      <c r="B20" s="19" t="s">
        <v>10</v>
      </c>
      <c r="C20" s="65">
        <v>1805041</v>
      </c>
      <c r="D20" s="65">
        <v>-19609</v>
      </c>
      <c r="E20" s="47">
        <f t="shared" si="2"/>
        <v>1785432</v>
      </c>
    </row>
    <row r="21" spans="1:6" x14ac:dyDescent="0.35">
      <c r="A21" s="11">
        <v>11</v>
      </c>
      <c r="B21" s="19" t="s">
        <v>11</v>
      </c>
      <c r="C21" s="65">
        <v>0</v>
      </c>
      <c r="D21" s="65">
        <v>0</v>
      </c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835875</v>
      </c>
      <c r="D22" s="65">
        <v>-43510</v>
      </c>
      <c r="E22" s="47">
        <f t="shared" si="2"/>
        <v>792365</v>
      </c>
    </row>
    <row r="23" spans="1:6" x14ac:dyDescent="0.35">
      <c r="A23" s="11">
        <v>13</v>
      </c>
      <c r="B23" s="19" t="s">
        <v>13</v>
      </c>
      <c r="C23" s="65">
        <v>1351109</v>
      </c>
      <c r="D23" s="65">
        <v>-163607</v>
      </c>
      <c r="E23" s="47">
        <f t="shared" si="2"/>
        <v>1187502</v>
      </c>
    </row>
    <row r="24" spans="1:6" x14ac:dyDescent="0.35">
      <c r="A24" s="11" t="s">
        <v>177</v>
      </c>
      <c r="B24" s="19" t="s">
        <v>183</v>
      </c>
      <c r="C24" s="66">
        <v>0</v>
      </c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1351109</v>
      </c>
      <c r="D25" s="38">
        <f t="shared" ref="D25:E25" si="3">SUM(D23:D24)</f>
        <v>-163607</v>
      </c>
      <c r="E25" s="47">
        <f t="shared" si="3"/>
        <v>1187502</v>
      </c>
    </row>
    <row r="26" spans="1:6" x14ac:dyDescent="0.35">
      <c r="A26" s="11">
        <v>14</v>
      </c>
      <c r="B26" s="23" t="s">
        <v>180</v>
      </c>
      <c r="C26" s="46">
        <f>C18+C19+C20+C21+C22+C25</f>
        <v>7078003</v>
      </c>
      <c r="D26" s="46">
        <f t="shared" ref="D26:E26" si="4">D18+D19+D20+D21+D22+D25</f>
        <v>-396328</v>
      </c>
      <c r="E26" s="49">
        <f t="shared" si="4"/>
        <v>6681675</v>
      </c>
      <c r="F26" s="1"/>
    </row>
    <row r="27" spans="1:6" x14ac:dyDescent="0.35">
      <c r="A27" s="11">
        <v>15</v>
      </c>
      <c r="B27" s="19" t="s">
        <v>18</v>
      </c>
      <c r="C27" s="38">
        <f>C17-C26</f>
        <v>-306530</v>
      </c>
      <c r="D27" s="38">
        <f t="shared" ref="D27:E27" si="5">D17-D26</f>
        <v>396328</v>
      </c>
      <c r="E27" s="38">
        <f t="shared" si="5"/>
        <v>89798</v>
      </c>
    </row>
    <row r="28" spans="1:6" x14ac:dyDescent="0.35">
      <c r="A28" s="11">
        <v>16</v>
      </c>
      <c r="B28" s="19" t="s">
        <v>184</v>
      </c>
      <c r="C28" s="65">
        <v>-558</v>
      </c>
      <c r="D28" s="24"/>
      <c r="E28" s="38">
        <f>SUM(C28:D28)</f>
        <v>-558</v>
      </c>
    </row>
    <row r="29" spans="1:6" x14ac:dyDescent="0.35">
      <c r="A29" s="11">
        <v>17</v>
      </c>
      <c r="B29" s="19" t="s">
        <v>14</v>
      </c>
      <c r="C29" s="65">
        <v>0</v>
      </c>
      <c r="D29" s="65"/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55273</v>
      </c>
      <c r="D30" s="65"/>
      <c r="E30" s="38">
        <f t="shared" si="6"/>
        <v>55273</v>
      </c>
    </row>
    <row r="31" spans="1:6" x14ac:dyDescent="0.35">
      <c r="A31" s="11">
        <v>19</v>
      </c>
      <c r="B31" s="19" t="s">
        <v>17</v>
      </c>
      <c r="C31" s="65">
        <f>295750-210941</f>
        <v>84809</v>
      </c>
      <c r="D31" s="70">
        <v>-33822</v>
      </c>
      <c r="E31" s="38">
        <f t="shared" si="6"/>
        <v>50987</v>
      </c>
    </row>
    <row r="32" spans="1:6" x14ac:dyDescent="0.35">
      <c r="A32" s="11">
        <v>20</v>
      </c>
      <c r="B32" s="19" t="s">
        <v>16</v>
      </c>
      <c r="C32" s="43">
        <f>SUM(C29:C31)</f>
        <v>140082</v>
      </c>
      <c r="D32" s="43">
        <f t="shared" ref="D32:E32" si="7">SUM(D29:D31)</f>
        <v>-33822</v>
      </c>
      <c r="E32" s="50">
        <f t="shared" si="7"/>
        <v>106260</v>
      </c>
    </row>
    <row r="33" spans="1:5" x14ac:dyDescent="0.35">
      <c r="A33" s="11">
        <v>21</v>
      </c>
      <c r="B33" s="19" t="s">
        <v>27</v>
      </c>
      <c r="C33" s="43">
        <f>C27+C28-C32</f>
        <v>-447170</v>
      </c>
      <c r="D33" s="43">
        <f>D27+D28-D32</f>
        <v>430150</v>
      </c>
      <c r="E33" s="50">
        <f>E27+E28-E32</f>
        <v>-17020</v>
      </c>
    </row>
    <row r="34" spans="1:5" x14ac:dyDescent="0.35">
      <c r="A34" s="11">
        <v>22</v>
      </c>
      <c r="B34" s="19" t="s">
        <v>19</v>
      </c>
      <c r="C34" s="65">
        <v>0</v>
      </c>
      <c r="D34" s="24"/>
      <c r="E34" s="38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24"/>
      <c r="E36" s="38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f>-306534+72439+1</f>
        <v>-234094</v>
      </c>
      <c r="D39" s="24"/>
      <c r="E39" s="38">
        <f>SUM(C39:D39)</f>
        <v>-234094</v>
      </c>
    </row>
    <row r="40" spans="1:5" x14ac:dyDescent="0.3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714479</v>
      </c>
      <c r="D42" s="75">
        <f>-1*D33</f>
        <v>-430150</v>
      </c>
      <c r="E42" s="38">
        <f t="shared" si="10"/>
        <v>284329</v>
      </c>
    </row>
    <row r="43" spans="1:5" x14ac:dyDescent="0.35">
      <c r="A43" s="11">
        <v>31</v>
      </c>
      <c r="B43" s="19" t="s">
        <v>26</v>
      </c>
      <c r="C43" s="43">
        <f>C33-C38+C39+C40+C41+C42</f>
        <v>33215</v>
      </c>
      <c r="D43" s="43">
        <f t="shared" ref="D43:E43" si="11">D33-D38+D39+D40+D41+D42</f>
        <v>0</v>
      </c>
      <c r="E43" s="50">
        <f t="shared" si="11"/>
        <v>33215</v>
      </c>
    </row>
    <row r="44" spans="1:5" x14ac:dyDescent="0.35">
      <c r="A44" s="11">
        <v>32</v>
      </c>
      <c r="B44" s="19" t="s">
        <v>28</v>
      </c>
      <c r="C44" s="65">
        <f>C30</f>
        <v>55273</v>
      </c>
      <c r="D44" s="65"/>
      <c r="E44" s="38">
        <f>SUM(C44:D44)</f>
        <v>55273</v>
      </c>
    </row>
    <row r="45" spans="1:5" x14ac:dyDescent="0.35">
      <c r="A45" s="11">
        <v>33</v>
      </c>
      <c r="B45" s="19" t="s">
        <v>29</v>
      </c>
      <c r="C45" s="65">
        <v>-3680107</v>
      </c>
      <c r="D45" s="24"/>
      <c r="E45" s="38">
        <f t="shared" ref="E45:E50" si="12">SUM(C45:D45)</f>
        <v>-3680107</v>
      </c>
    </row>
    <row r="46" spans="1:5" x14ac:dyDescent="0.35">
      <c r="A46" s="11">
        <v>34</v>
      </c>
      <c r="B46" s="19" t="s">
        <v>30</v>
      </c>
      <c r="C46" s="65">
        <v>0</v>
      </c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>
        <v>1414000</v>
      </c>
      <c r="D49" s="24"/>
      <c r="E49" s="38">
        <f t="shared" si="12"/>
        <v>1414000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-5060892</v>
      </c>
      <c r="D51" s="51">
        <f t="shared" ref="D51:E51" si="13">(D43+D45+D46)-(D47+D48+D49+D50)</f>
        <v>0</v>
      </c>
      <c r="E51" s="50">
        <f t="shared" si="13"/>
        <v>-5060892</v>
      </c>
    </row>
    <row r="52" spans="1:5" x14ac:dyDescent="0.3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0.79938943860516021</v>
      </c>
      <c r="D57" s="58" t="e">
        <f>((D26+D32-D20-D21)/D17)</f>
        <v>#DIV/0!</v>
      </c>
      <c r="E57" s="58">
        <f>((E26+E32-E20-E21)/E17)</f>
        <v>0.73876141867508005</v>
      </c>
    </row>
    <row r="58" spans="1:5" x14ac:dyDescent="0.35">
      <c r="A58" s="11">
        <v>46</v>
      </c>
      <c r="B58" s="19" t="s">
        <v>41</v>
      </c>
      <c r="C58" s="58">
        <f>((C26+C32+C38)/C17)</f>
        <v>1.0659549259075536</v>
      </c>
      <c r="D58" s="58" t="e">
        <f>((D26+D32+D38)/D17)</f>
        <v>#DIV/0!</v>
      </c>
      <c r="E58" s="58">
        <f>((E26+E32+E38)/E17)</f>
        <v>1.0024310810956494</v>
      </c>
    </row>
    <row r="59" spans="1:5" x14ac:dyDescent="0.3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selection activeCell="C1" sqref="C1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C1" t="s">
        <v>230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2131169</v>
      </c>
      <c r="D11" s="33"/>
      <c r="E11" s="38">
        <f>SUM(C11:D11)</f>
        <v>2131169</v>
      </c>
    </row>
    <row r="12" spans="1:5" x14ac:dyDescent="0.35">
      <c r="A12" s="11">
        <v>2</v>
      </c>
      <c r="B12" s="19" t="s">
        <v>5</v>
      </c>
      <c r="C12" s="65">
        <v>4206957</v>
      </c>
      <c r="D12" s="24"/>
      <c r="E12" s="38">
        <f t="shared" ref="E12:E16" si="0">SUM(C12:D12)</f>
        <v>4206957</v>
      </c>
    </row>
    <row r="13" spans="1:5" x14ac:dyDescent="0.35">
      <c r="A13" s="11">
        <v>3</v>
      </c>
      <c r="B13" s="19" t="s">
        <v>6</v>
      </c>
      <c r="C13" s="65">
        <v>0</v>
      </c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97122</v>
      </c>
      <c r="D14" s="65"/>
      <c r="E14" s="38">
        <f t="shared" si="0"/>
        <v>97122</v>
      </c>
    </row>
    <row r="15" spans="1:5" x14ac:dyDescent="0.35">
      <c r="A15" s="11">
        <v>5</v>
      </c>
      <c r="B15" s="19" t="s">
        <v>8</v>
      </c>
      <c r="C15" s="65">
        <f>394260+28715</f>
        <v>422975</v>
      </c>
      <c r="D15" s="65"/>
      <c r="E15" s="38">
        <f t="shared" si="0"/>
        <v>422975</v>
      </c>
    </row>
    <row r="16" spans="1:5" x14ac:dyDescent="0.35">
      <c r="A16" s="11">
        <v>6</v>
      </c>
      <c r="B16" s="19" t="s">
        <v>182</v>
      </c>
      <c r="C16" s="65">
        <v>-35085</v>
      </c>
      <c r="D16" s="65"/>
      <c r="E16" s="38">
        <f t="shared" si="0"/>
        <v>-35085</v>
      </c>
    </row>
    <row r="17" spans="1:6" x14ac:dyDescent="0.35">
      <c r="A17" s="11">
        <v>7</v>
      </c>
      <c r="B17" s="23" t="s">
        <v>181</v>
      </c>
      <c r="C17" s="46">
        <f>SUM(C11:C16)</f>
        <v>6823138</v>
      </c>
      <c r="D17" s="52">
        <f t="shared" ref="D17:E17" si="1">SUM(D11:D16)</f>
        <v>0</v>
      </c>
      <c r="E17" s="49">
        <f t="shared" si="1"/>
        <v>6823138</v>
      </c>
      <c r="F17" s="1"/>
    </row>
    <row r="18" spans="1:6" x14ac:dyDescent="0.35">
      <c r="A18" s="11">
        <v>8</v>
      </c>
      <c r="B18" s="19" t="s">
        <v>9</v>
      </c>
      <c r="C18" s="65">
        <v>2332192</v>
      </c>
      <c r="D18" s="65">
        <f>-182580+1304</f>
        <v>-181276</v>
      </c>
      <c r="E18" s="47">
        <f>SUM(C18:D18)</f>
        <v>2150916</v>
      </c>
    </row>
    <row r="19" spans="1:6" x14ac:dyDescent="0.35">
      <c r="A19" s="11">
        <v>9</v>
      </c>
      <c r="B19" s="19" t="s">
        <v>44</v>
      </c>
      <c r="C19" s="65">
        <v>788559</v>
      </c>
      <c r="D19" s="65">
        <v>0</v>
      </c>
      <c r="E19" s="47">
        <f t="shared" ref="E19:E24" si="2">SUM(C19:D19)</f>
        <v>788559</v>
      </c>
    </row>
    <row r="20" spans="1:6" x14ac:dyDescent="0.35">
      <c r="A20" s="11">
        <v>10</v>
      </c>
      <c r="B20" s="19" t="s">
        <v>10</v>
      </c>
      <c r="C20" s="65">
        <v>1551777</v>
      </c>
      <c r="D20" s="65">
        <v>-27088</v>
      </c>
      <c r="E20" s="47">
        <f t="shared" si="2"/>
        <v>1524689</v>
      </c>
    </row>
    <row r="21" spans="1:6" x14ac:dyDescent="0.35">
      <c r="A21" s="11">
        <v>11</v>
      </c>
      <c r="B21" s="19" t="s">
        <v>11</v>
      </c>
      <c r="C21" s="65">
        <v>0</v>
      </c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799981</v>
      </c>
      <c r="D22" s="65">
        <v>-45817</v>
      </c>
      <c r="E22" s="47">
        <f t="shared" si="2"/>
        <v>754164</v>
      </c>
    </row>
    <row r="23" spans="1:6" x14ac:dyDescent="0.35">
      <c r="A23" s="11">
        <v>13</v>
      </c>
      <c r="B23" s="19" t="s">
        <v>13</v>
      </c>
      <c r="C23" s="65">
        <v>1118009</v>
      </c>
      <c r="D23" s="65">
        <v>-139291</v>
      </c>
      <c r="E23" s="47">
        <f t="shared" si="2"/>
        <v>978718</v>
      </c>
    </row>
    <row r="24" spans="1:6" x14ac:dyDescent="0.35">
      <c r="A24" s="11" t="s">
        <v>177</v>
      </c>
      <c r="B24" s="19" t="s">
        <v>183</v>
      </c>
      <c r="C24" s="66">
        <v>0</v>
      </c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1118009</v>
      </c>
      <c r="D25" s="38">
        <f t="shared" ref="D25:E25" si="3">SUM(D23:D24)</f>
        <v>-139291</v>
      </c>
      <c r="E25" s="47">
        <f t="shared" si="3"/>
        <v>978718</v>
      </c>
    </row>
    <row r="26" spans="1:6" x14ac:dyDescent="0.35">
      <c r="A26" s="11">
        <v>14</v>
      </c>
      <c r="B26" s="23" t="s">
        <v>180</v>
      </c>
      <c r="C26" s="46">
        <f>C18+C19+C20+C21+C22+C25</f>
        <v>6590518</v>
      </c>
      <c r="D26" s="46">
        <f t="shared" ref="D26:E26" si="4">D18+D19+D20+D21+D22+D25</f>
        <v>-393472</v>
      </c>
      <c r="E26" s="49">
        <f t="shared" si="4"/>
        <v>6197046</v>
      </c>
      <c r="F26" s="1"/>
    </row>
    <row r="27" spans="1:6" x14ac:dyDescent="0.35">
      <c r="A27" s="11">
        <v>15</v>
      </c>
      <c r="B27" s="19" t="s">
        <v>18</v>
      </c>
      <c r="C27" s="38">
        <f>C17-C26</f>
        <v>232620</v>
      </c>
      <c r="D27" s="38">
        <f t="shared" ref="D27:E27" si="5">D17-D26</f>
        <v>393472</v>
      </c>
      <c r="E27" s="47">
        <f t="shared" si="5"/>
        <v>626092</v>
      </c>
    </row>
    <row r="28" spans="1:6" x14ac:dyDescent="0.35">
      <c r="A28" s="11">
        <v>16</v>
      </c>
      <c r="B28" s="19" t="s">
        <v>184</v>
      </c>
      <c r="C28" s="65">
        <v>-1987</v>
      </c>
      <c r="D28" s="24"/>
      <c r="E28" s="47">
        <f>SUM(C28:D28)</f>
        <v>-1987</v>
      </c>
    </row>
    <row r="29" spans="1:6" x14ac:dyDescent="0.35">
      <c r="A29" s="11">
        <v>17</v>
      </c>
      <c r="B29" s="19" t="s">
        <v>14</v>
      </c>
      <c r="C29" s="65">
        <v>0</v>
      </c>
      <c r="D29" s="65"/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111968</v>
      </c>
      <c r="D30" s="65"/>
      <c r="E30" s="47">
        <f t="shared" si="6"/>
        <v>111968</v>
      </c>
    </row>
    <row r="31" spans="1:6" x14ac:dyDescent="0.35">
      <c r="A31" s="11">
        <v>19</v>
      </c>
      <c r="B31" s="19" t="s">
        <v>17</v>
      </c>
      <c r="C31" s="65">
        <f>406782-167485</f>
        <v>239297</v>
      </c>
      <c r="D31" s="70">
        <v>-45001</v>
      </c>
      <c r="E31" s="47">
        <f t="shared" si="6"/>
        <v>194296</v>
      </c>
    </row>
    <row r="32" spans="1:6" x14ac:dyDescent="0.35">
      <c r="A32" s="11">
        <v>20</v>
      </c>
      <c r="B32" s="19" t="s">
        <v>16</v>
      </c>
      <c r="C32" s="43">
        <f>SUM(C29:C31)</f>
        <v>351265</v>
      </c>
      <c r="D32" s="43">
        <f t="shared" ref="D32:E32" si="7">SUM(D29:D31)</f>
        <v>-45001</v>
      </c>
      <c r="E32" s="50">
        <f t="shared" si="7"/>
        <v>306264</v>
      </c>
    </row>
    <row r="33" spans="1:5" x14ac:dyDescent="0.35">
      <c r="A33" s="11">
        <v>21</v>
      </c>
      <c r="B33" s="19" t="s">
        <v>27</v>
      </c>
      <c r="C33" s="43">
        <f>C27+C28-C32</f>
        <v>-120632</v>
      </c>
      <c r="D33" s="43">
        <f>D27+D28-D32</f>
        <v>438473</v>
      </c>
      <c r="E33" s="50">
        <f>E27+E28-E32</f>
        <v>317841</v>
      </c>
    </row>
    <row r="34" spans="1:5" x14ac:dyDescent="0.3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3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0</v>
      </c>
      <c r="D36" s="53"/>
      <c r="E36" s="47">
        <f t="shared" si="8"/>
        <v>0</v>
      </c>
    </row>
    <row r="37" spans="1:5" x14ac:dyDescent="0.3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35">
      <c r="A39" s="11">
        <v>27</v>
      </c>
      <c r="B39" s="19" t="s">
        <v>23</v>
      </c>
      <c r="C39" s="65">
        <f>-335415+73483</f>
        <v>-261932</v>
      </c>
      <c r="D39" s="53"/>
      <c r="E39" s="54">
        <f>SUM(C39:D39)</f>
        <v>-261932</v>
      </c>
    </row>
    <row r="40" spans="1:5" x14ac:dyDescent="0.3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755139</v>
      </c>
      <c r="D42" s="78">
        <f>-1*D33</f>
        <v>-438473</v>
      </c>
      <c r="E42" s="54">
        <f t="shared" si="10"/>
        <v>316666</v>
      </c>
    </row>
    <row r="43" spans="1:5" x14ac:dyDescent="0.35">
      <c r="A43" s="11">
        <v>31</v>
      </c>
      <c r="B43" s="19" t="s">
        <v>26</v>
      </c>
      <c r="C43" s="43">
        <f>C33-C38+C39+C40+C41+C42</f>
        <v>372575</v>
      </c>
      <c r="D43" s="43">
        <f t="shared" ref="D43:E43" si="11">D33-D38+D39+D40+D41+D42</f>
        <v>0</v>
      </c>
      <c r="E43" s="50">
        <f t="shared" si="11"/>
        <v>372575</v>
      </c>
    </row>
    <row r="44" spans="1:5" x14ac:dyDescent="0.35">
      <c r="A44" s="11">
        <v>32</v>
      </c>
      <c r="B44" s="19" t="s">
        <v>28</v>
      </c>
      <c r="C44" s="65">
        <f>C30</f>
        <v>111968</v>
      </c>
      <c r="D44" s="65"/>
      <c r="E44" s="54">
        <f>SUM(C44:D44)</f>
        <v>111968</v>
      </c>
    </row>
    <row r="45" spans="1:5" x14ac:dyDescent="0.35">
      <c r="A45" s="11">
        <v>33</v>
      </c>
      <c r="B45" s="19" t="s">
        <v>29</v>
      </c>
      <c r="C45" s="65">
        <v>-5060892.0199999996</v>
      </c>
      <c r="D45" s="53"/>
      <c r="E45" s="54">
        <f t="shared" ref="E45:E50" si="12">SUM(C45:D45)</f>
        <v>-5060892.0199999996</v>
      </c>
    </row>
    <row r="46" spans="1:5" x14ac:dyDescent="0.35">
      <c r="A46" s="11">
        <v>34</v>
      </c>
      <c r="B46" s="19" t="s">
        <v>30</v>
      </c>
      <c r="C46" s="65">
        <v>0</v>
      </c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>
        <v>0</v>
      </c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1337000</v>
      </c>
      <c r="D49" s="53"/>
      <c r="E49" s="54">
        <f t="shared" si="12"/>
        <v>1337000</v>
      </c>
    </row>
    <row r="50" spans="1:5" x14ac:dyDescent="0.3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-6025317.0199999996</v>
      </c>
      <c r="D51" s="51">
        <f t="shared" ref="D51:E51" si="13">(D43+D45+D46)-(D47+D48+D49+D50)</f>
        <v>0</v>
      </c>
      <c r="E51" s="50">
        <f t="shared" si="13"/>
        <v>-6025317.0199999996</v>
      </c>
    </row>
    <row r="52" spans="1:5" x14ac:dyDescent="0.3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0.78995998615299878</v>
      </c>
      <c r="D57" s="61" t="e">
        <f>((D26+D32-D20-D21)/D17)</f>
        <v>#DIV/0!</v>
      </c>
      <c r="E57" s="61">
        <f>((E26+E32-E20-E21)/E17)</f>
        <v>0.72966734660796839</v>
      </c>
    </row>
    <row r="58" spans="1:5" x14ac:dyDescent="0.35">
      <c r="A58" s="11">
        <v>46</v>
      </c>
      <c r="B58" s="19" t="s">
        <v>41</v>
      </c>
      <c r="C58" s="61">
        <f>((C26+C32+C38)/C17)</f>
        <v>1.0173886267579522</v>
      </c>
      <c r="D58" s="61" t="e">
        <f>((D26+D32+D38)/D17)</f>
        <v>#DIV/0!</v>
      </c>
      <c r="E58" s="61">
        <f>((E26+E32+E38)/E17)</f>
        <v>0.95312596638086466</v>
      </c>
    </row>
    <row r="59" spans="1:5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Normal="100" workbookViewId="0">
      <selection activeCell="C1" sqref="C1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1" spans="1:4" x14ac:dyDescent="0.35">
      <c r="C1" t="s">
        <v>230</v>
      </c>
    </row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2412535</v>
      </c>
      <c r="D11" s="47">
        <f>'PartBIncomeStmt(CY) '!E11</f>
        <v>2131169</v>
      </c>
    </row>
    <row r="12" spans="1:4" x14ac:dyDescent="0.35">
      <c r="A12" s="11">
        <v>2</v>
      </c>
      <c r="B12" s="19" t="s">
        <v>5</v>
      </c>
      <c r="C12" s="38">
        <f>'PartBIncomeStmt(PY)'!E12</f>
        <v>4058600</v>
      </c>
      <c r="D12" s="47">
        <f>'PartBIncomeStmt(CY) '!E12</f>
        <v>4206957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110761</v>
      </c>
      <c r="D14" s="47">
        <f>'PartBIncomeStmt(CY) '!E14</f>
        <v>97122</v>
      </c>
    </row>
    <row r="15" spans="1:4" x14ac:dyDescent="0.35">
      <c r="A15" s="11">
        <v>5</v>
      </c>
      <c r="B15" s="19" t="s">
        <v>8</v>
      </c>
      <c r="C15" s="38">
        <f>'PartBIncomeStmt(PY)'!E15</f>
        <v>432579</v>
      </c>
      <c r="D15" s="47">
        <f>'PartBIncomeStmt(CY) '!E15</f>
        <v>422975</v>
      </c>
    </row>
    <row r="16" spans="1:4" x14ac:dyDescent="0.35">
      <c r="A16" s="11">
        <v>6</v>
      </c>
      <c r="B16" s="19" t="s">
        <v>182</v>
      </c>
      <c r="C16" s="38">
        <f>'PartBIncomeStmt(PY)'!E16</f>
        <v>-243002</v>
      </c>
      <c r="D16" s="47">
        <f>'PartBIncomeStmt(CY) '!E16</f>
        <v>-35085</v>
      </c>
    </row>
    <row r="17" spans="1:5" x14ac:dyDescent="0.35">
      <c r="A17" s="11">
        <v>7</v>
      </c>
      <c r="B17" s="23" t="s">
        <v>181</v>
      </c>
      <c r="C17" s="46">
        <f>SUM(C11:C16)</f>
        <v>6771473</v>
      </c>
      <c r="D17" s="49">
        <f t="shared" ref="D17" si="0">SUM(D11:D16)</f>
        <v>6823138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2134508</v>
      </c>
      <c r="D18" s="47">
        <f>'PartBIncomeStmt(CY) '!E18</f>
        <v>2150916</v>
      </c>
    </row>
    <row r="19" spans="1:5" x14ac:dyDescent="0.35">
      <c r="A19" s="11">
        <v>9</v>
      </c>
      <c r="B19" s="19" t="s">
        <v>44</v>
      </c>
      <c r="C19" s="38">
        <f>'PartBIncomeStmt(PY)'!E19</f>
        <v>781868</v>
      </c>
      <c r="D19" s="47">
        <f>'PartBIncomeStmt(CY) '!E19</f>
        <v>788559</v>
      </c>
    </row>
    <row r="20" spans="1:5" x14ac:dyDescent="0.35">
      <c r="A20" s="11">
        <v>10</v>
      </c>
      <c r="B20" s="19" t="s">
        <v>10</v>
      </c>
      <c r="C20" s="38">
        <f>'PartBIncomeStmt(PY)'!E20</f>
        <v>1785432</v>
      </c>
      <c r="D20" s="47">
        <f>'PartBIncomeStmt(CY) '!E20</f>
        <v>1524689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792365</v>
      </c>
      <c r="D22" s="47">
        <f>'PartBIncomeStmt(CY) '!E22</f>
        <v>754164</v>
      </c>
    </row>
    <row r="23" spans="1:5" x14ac:dyDescent="0.35">
      <c r="A23" s="11">
        <v>13</v>
      </c>
      <c r="B23" s="19" t="s">
        <v>13</v>
      </c>
      <c r="C23" s="38">
        <f>'PartBIncomeStmt(PY)'!E23</f>
        <v>1187502</v>
      </c>
      <c r="D23" s="47">
        <f>'PartBIncomeStmt(CY) '!E23</f>
        <v>978718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1187502</v>
      </c>
      <c r="D25" s="47">
        <f t="shared" ref="D25" si="1">SUM(D23:D24)</f>
        <v>978718</v>
      </c>
    </row>
    <row r="26" spans="1:5" x14ac:dyDescent="0.35">
      <c r="A26" s="11">
        <v>14</v>
      </c>
      <c r="B26" s="23" t="s">
        <v>180</v>
      </c>
      <c r="C26" s="46">
        <f>C18+C19+C20+C21+C22+C25</f>
        <v>6681675</v>
      </c>
      <c r="D26" s="49">
        <f t="shared" ref="D26" si="2">D18+D19+D20+D21+D22+D25</f>
        <v>6197046</v>
      </c>
      <c r="E26" s="1"/>
    </row>
    <row r="27" spans="1:5" x14ac:dyDescent="0.35">
      <c r="A27" s="11">
        <v>15</v>
      </c>
      <c r="B27" s="19" t="s">
        <v>18</v>
      </c>
      <c r="C27" s="38">
        <f>C17-C26</f>
        <v>89798</v>
      </c>
      <c r="D27" s="47">
        <f t="shared" ref="D27" si="3">D17-D26</f>
        <v>626092</v>
      </c>
    </row>
    <row r="28" spans="1:5" x14ac:dyDescent="0.35">
      <c r="A28" s="11">
        <v>16</v>
      </c>
      <c r="B28" s="19" t="s">
        <v>184</v>
      </c>
      <c r="C28" s="38">
        <f>'PartBIncomeStmt(PY)'!E28</f>
        <v>-558</v>
      </c>
      <c r="D28" s="47">
        <f>'PartBIncomeStmt(CY) '!E28</f>
        <v>-1987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55273</v>
      </c>
      <c r="D30" s="47">
        <f>'PartBIncomeStmt(CY) '!E30</f>
        <v>111968</v>
      </c>
    </row>
    <row r="31" spans="1:5" x14ac:dyDescent="0.35">
      <c r="A31" s="11">
        <v>19</v>
      </c>
      <c r="B31" s="19" t="s">
        <v>17</v>
      </c>
      <c r="C31" s="38">
        <f>'PartBIncomeStmt(PY)'!E31</f>
        <v>50987</v>
      </c>
      <c r="D31" s="47">
        <f>'PartBIncomeStmt(CY) '!E31</f>
        <v>194296</v>
      </c>
    </row>
    <row r="32" spans="1:5" x14ac:dyDescent="0.35">
      <c r="A32" s="11">
        <v>20</v>
      </c>
      <c r="B32" s="19" t="s">
        <v>16</v>
      </c>
      <c r="C32" s="43">
        <f>SUM(C29:C31)</f>
        <v>106260</v>
      </c>
      <c r="D32" s="50">
        <f t="shared" ref="D32" si="4">SUM(D29:D31)</f>
        <v>306264</v>
      </c>
    </row>
    <row r="33" spans="1:4" x14ac:dyDescent="0.35">
      <c r="A33" s="11">
        <v>21</v>
      </c>
      <c r="B33" s="19" t="s">
        <v>27</v>
      </c>
      <c r="C33" s="43">
        <f>C27+C28-C32</f>
        <v>-17020</v>
      </c>
      <c r="D33" s="50">
        <f>D27+D28-D32</f>
        <v>317841</v>
      </c>
    </row>
    <row r="34" spans="1:4" x14ac:dyDescent="0.3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35">
      <c r="A39" s="11">
        <v>27</v>
      </c>
      <c r="B39" s="19" t="s">
        <v>23</v>
      </c>
      <c r="C39" s="38">
        <f>'PartBIncomeStmt(PY)'!E39</f>
        <v>-234094</v>
      </c>
      <c r="D39" s="47">
        <f>'PartBIncomeStmt(CY) '!E39</f>
        <v>-261932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284329</v>
      </c>
      <c r="D42" s="47">
        <f>'PartBIncomeStmt(CY) '!E42</f>
        <v>316666</v>
      </c>
    </row>
    <row r="43" spans="1:4" x14ac:dyDescent="0.35">
      <c r="A43" s="11">
        <v>31</v>
      </c>
      <c r="B43" s="19" t="s">
        <v>26</v>
      </c>
      <c r="C43" s="43">
        <f>C33-C38+C39+C40+C41+C42</f>
        <v>33215</v>
      </c>
      <c r="D43" s="50">
        <f t="shared" ref="D43" si="6">D33-D38+D39+D40+D41+D42</f>
        <v>372575</v>
      </c>
    </row>
    <row r="44" spans="1:4" x14ac:dyDescent="0.35">
      <c r="A44" s="11">
        <v>32</v>
      </c>
      <c r="B44" s="19" t="s">
        <v>28</v>
      </c>
      <c r="C44" s="38">
        <f>'PartBIncomeStmt(PY)'!E44</f>
        <v>55273</v>
      </c>
      <c r="D44" s="47">
        <f>'PartBIncomeStmt(CY) '!E44</f>
        <v>111968</v>
      </c>
    </row>
    <row r="45" spans="1:4" x14ac:dyDescent="0.35">
      <c r="A45" s="11">
        <v>33</v>
      </c>
      <c r="B45" s="19" t="s">
        <v>29</v>
      </c>
      <c r="C45" s="38">
        <f>'PartBIncomeStmt(PY)'!E45</f>
        <v>-3680107</v>
      </c>
      <c r="D45" s="47">
        <f>'PartBIncomeStmt(CY) '!E45</f>
        <v>-5060892.0199999996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1414000</v>
      </c>
      <c r="D49" s="47">
        <f>'PartBIncomeStmt(CY) '!E49</f>
        <v>1337000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-5060892</v>
      </c>
      <c r="D51" s="50">
        <f t="shared" ref="D51" si="7">(D43+D45+D46)-(D47+D48+D49+D50)</f>
        <v>-6025317.0199999996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0.73876141867508005</v>
      </c>
      <c r="D57" s="61">
        <f>((D26+D32-D20-D21)/D17)</f>
        <v>0.72966734660796839</v>
      </c>
    </row>
    <row r="58" spans="1:4" x14ac:dyDescent="0.35">
      <c r="A58" s="11">
        <v>46</v>
      </c>
      <c r="B58" s="19" t="s">
        <v>41</v>
      </c>
      <c r="C58" s="61">
        <f>((C26+C32+C38)/C17)</f>
        <v>1.0024310810956494</v>
      </c>
      <c r="D58" s="61">
        <f>((D26+D32+D38)/D17)</f>
        <v>0.95312596638086466</v>
      </c>
    </row>
    <row r="59" spans="1:4" x14ac:dyDescent="0.3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C1" sqref="C1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1" spans="1:4" x14ac:dyDescent="0.35">
      <c r="C1" t="s">
        <v>230</v>
      </c>
    </row>
    <row r="3" spans="1:4" x14ac:dyDescent="0.35">
      <c r="A3" t="s">
        <v>226</v>
      </c>
    </row>
    <row r="4" spans="1:4" x14ac:dyDescent="0.35">
      <c r="A4" s="74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f>115451.24+151540.11+533033.34+156668.91+2939.52+885.59+55880+28367.66</f>
        <v>1044766.37</v>
      </c>
      <c r="D10" s="72">
        <f>111057.42+141531.29+493189.61+152626.23+3310.21-70713+76395.32</f>
        <v>907397.08000000007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f>280683.57+202402.01+72601.56+75790</f>
        <v>631477.14</v>
      </c>
      <c r="D12" s="72">
        <f>109828.45+238361.61+44982.28</f>
        <v>393172.33999999997</v>
      </c>
    </row>
    <row r="13" spans="1:4" x14ac:dyDescent="0.35">
      <c r="A13" s="19" t="s">
        <v>192</v>
      </c>
      <c r="B13" s="11"/>
      <c r="C13" s="65">
        <f>381050.41-139324</f>
        <v>241726.40999999997</v>
      </c>
      <c r="D13" s="72">
        <f>327495.59-2491</f>
        <v>325004.59000000003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61010.87</v>
      </c>
      <c r="D15" s="72">
        <v>62844.73</v>
      </c>
    </row>
    <row r="16" spans="1:4" x14ac:dyDescent="0.35">
      <c r="A16" s="19" t="s">
        <v>192</v>
      </c>
      <c r="B16" s="11"/>
      <c r="C16" s="65">
        <f>225910.74+881900.69-185601-111981</f>
        <v>810229.42999999993</v>
      </c>
      <c r="D16" s="72">
        <f>186050.01+906028.56+75274</f>
        <v>1167352.57</v>
      </c>
    </row>
    <row r="17" spans="1:4" x14ac:dyDescent="0.35">
      <c r="A17" s="19" t="s">
        <v>227</v>
      </c>
      <c r="B17" s="12" t="s">
        <v>194</v>
      </c>
      <c r="C17" s="66">
        <f>12840+924168+332382</f>
        <v>1269390</v>
      </c>
      <c r="D17" s="73">
        <f>509004+924168-81986</f>
        <v>1351186</v>
      </c>
    </row>
    <row r="18" spans="1:4" x14ac:dyDescent="0.35">
      <c r="A18" s="19" t="s">
        <v>195</v>
      </c>
      <c r="B18" s="7"/>
      <c r="C18" s="41">
        <f>C10+C12+C13+C15+C16+C17</f>
        <v>4058600.2199999997</v>
      </c>
      <c r="D18" s="41">
        <f>D10+D12+D13+D15+D16+D17</f>
        <v>4206957.3100000005</v>
      </c>
    </row>
    <row r="19" spans="1:4" x14ac:dyDescent="0.35">
      <c r="A19" s="20" t="s">
        <v>205</v>
      </c>
      <c r="B19" s="19"/>
      <c r="C19" s="43">
        <f>'PartBIncomeStmt(PY)'!E12</f>
        <v>4058600</v>
      </c>
      <c r="D19" s="43">
        <f>'PartBIncomeStmt(CY) '!E12</f>
        <v>4206957</v>
      </c>
    </row>
    <row r="20" spans="1:4" ht="15" thickBot="1" x14ac:dyDescent="0.4">
      <c r="A20" s="63" t="s">
        <v>163</v>
      </c>
      <c r="B20" s="21"/>
      <c r="C20" s="62">
        <f>C18-C19</f>
        <v>0.21999999973922968</v>
      </c>
      <c r="D20" s="40">
        <f>D18-D19</f>
        <v>0.31000000052154064</v>
      </c>
    </row>
    <row r="21" spans="1:4" ht="15" thickTop="1" x14ac:dyDescent="0.35"/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F183001A4BE74B8F5949AD58537E54" ma:contentTypeVersion="175" ma:contentTypeDescription="" ma:contentTypeScope="" ma:versionID="a67e6b0bb90a1f5679836a0eca3c8c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YCOM Networks, Inc.</CaseCompanyNames>
    <DocketNumber xmlns="dc463f71-b30c-4ab2-9473-d307f9d35888">143023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5E438B2-9B2A-43D2-B858-A2D98A400BEA}"/>
</file>

<file path=customXml/itemProps2.xml><?xml version="1.0" encoding="utf-8"?>
<ds:datastoreItem xmlns:ds="http://schemas.openxmlformats.org/officeDocument/2006/customXml" ds:itemID="{15D22353-8BE3-49D8-A136-52EC10F3C7DE}"/>
</file>

<file path=customXml/itemProps3.xml><?xml version="1.0" encoding="utf-8"?>
<ds:datastoreItem xmlns:ds="http://schemas.openxmlformats.org/officeDocument/2006/customXml" ds:itemID="{E1E3706B-B14B-465F-A5EB-25282D056B1B}"/>
</file>

<file path=customXml/itemProps4.xml><?xml version="1.0" encoding="utf-8"?>
<ds:datastoreItem xmlns:ds="http://schemas.openxmlformats.org/officeDocument/2006/customXml" ds:itemID="{68825A56-202A-475E-996F-E1BB6B556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2014-07-30T23:28:52Z</cp:lastPrinted>
  <dcterms:created xsi:type="dcterms:W3CDTF">2014-05-21T17:51:51Z</dcterms:created>
  <dcterms:modified xsi:type="dcterms:W3CDTF">2014-08-04T18:03:03Z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0x0101006E56B4D1795A2E4DB2F0B01679ED314A00F9F183001A4BE74B8F5949AD58537E54</vt:lpwstr>
  </property>
  <property fmtid="{D5CDD505-2E9C-101B-9397-08002B2CF9AE}" pid="3" name="_docset_NoMedatataSyncRequired">
    <vt:lpwstr>False</vt:lpwstr>
  </property>
</Properties>
</file>