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256" windowHeight="9132"/>
  </bookViews>
  <sheets>
    <sheet name="Labor Increase" sheetId="1" r:id="rId1"/>
  </sheets>
  <definedNames>
    <definedName name="_xlnm.Print_Area" localSheetId="0">'Labor Increase'!$A$1:$AF$56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9" i="1" l="1"/>
  <c r="T46" i="1"/>
  <c r="AA46" i="1"/>
  <c r="H46" i="1"/>
  <c r="I46" i="1" s="1"/>
  <c r="O46" i="1" s="1"/>
  <c r="AA45" i="1"/>
  <c r="H45" i="1"/>
  <c r="I45" i="1" s="1"/>
  <c r="O45" i="1" s="1"/>
  <c r="AA44" i="1"/>
  <c r="H44" i="1"/>
  <c r="N44" i="1" s="1"/>
  <c r="H43" i="1"/>
  <c r="N43" i="1" s="1"/>
  <c r="H42" i="1"/>
  <c r="I42" i="1" s="1"/>
  <c r="H41" i="1"/>
  <c r="I41" i="1" s="1"/>
  <c r="AA40" i="1"/>
  <c r="H40" i="1"/>
  <c r="I40" i="1" s="1"/>
  <c r="O40" i="1" s="1"/>
  <c r="H39" i="1"/>
  <c r="N39" i="1" s="1"/>
  <c r="AB37" i="1"/>
  <c r="H36" i="1"/>
  <c r="N36" i="1" s="1"/>
  <c r="I35" i="1"/>
  <c r="O35" i="1" s="1"/>
  <c r="H35" i="1"/>
  <c r="H34" i="1"/>
  <c r="I34" i="1" s="1"/>
  <c r="O34" i="1" s="1"/>
  <c r="AD37" i="1"/>
  <c r="AC37" i="1"/>
  <c r="H33" i="1"/>
  <c r="I33" i="1" s="1"/>
  <c r="K31" i="1"/>
  <c r="AA30" i="1"/>
  <c r="H30" i="1"/>
  <c r="N30" i="1" s="1"/>
  <c r="AD31" i="1"/>
  <c r="AC31" i="1"/>
  <c r="AA29" i="1"/>
  <c r="AA31" i="1" s="1"/>
  <c r="T29" i="1"/>
  <c r="L31" i="1"/>
  <c r="H29" i="1"/>
  <c r="N29" i="1" s="1"/>
  <c r="N31" i="1" s="1"/>
  <c r="AA26" i="1"/>
  <c r="I26" i="1"/>
  <c r="O26" i="1" s="1"/>
  <c r="H26" i="1"/>
  <c r="N26" i="1" s="1"/>
  <c r="H25" i="1"/>
  <c r="I25" i="1" s="1"/>
  <c r="O25" i="1" s="1"/>
  <c r="AA24" i="1"/>
  <c r="G24" i="1"/>
  <c r="H24" i="1" s="1"/>
  <c r="T23" i="1"/>
  <c r="AA23" i="1"/>
  <c r="G23" i="1"/>
  <c r="H23" i="1" s="1"/>
  <c r="N23" i="1" s="1"/>
  <c r="AA22" i="1"/>
  <c r="G22" i="1"/>
  <c r="H22" i="1" s="1"/>
  <c r="I22" i="1" s="1"/>
  <c r="O22" i="1" s="1"/>
  <c r="T21" i="1"/>
  <c r="AA21" i="1"/>
  <c r="G21" i="1"/>
  <c r="H21" i="1" s="1"/>
  <c r="AA20" i="1"/>
  <c r="G20" i="1"/>
  <c r="H20" i="1" s="1"/>
  <c r="I20" i="1" s="1"/>
  <c r="O20" i="1" s="1"/>
  <c r="AD27" i="1"/>
  <c r="H19" i="1"/>
  <c r="I19" i="1" s="1"/>
  <c r="O19" i="1" s="1"/>
  <c r="I16" i="1"/>
  <c r="O16" i="1" s="1"/>
  <c r="H16" i="1"/>
  <c r="AD17" i="1"/>
  <c r="H15" i="1"/>
  <c r="N15" i="1" s="1"/>
  <c r="AA14" i="1"/>
  <c r="H14" i="1"/>
  <c r="N14" i="1" s="1"/>
  <c r="AE11" i="1"/>
  <c r="U11" i="1"/>
  <c r="U54" i="1" s="1"/>
  <c r="AD12" i="1"/>
  <c r="L12" i="1"/>
  <c r="AA10" i="1"/>
  <c r="AA12" i="1" s="1"/>
  <c r="H10" i="1"/>
  <c r="N10" i="1" s="1"/>
  <c r="G10" i="1"/>
  <c r="Z7" i="1"/>
  <c r="Q4" i="1"/>
  <c r="Q2" i="1"/>
  <c r="I29" i="1" l="1"/>
  <c r="O29" i="1" s="1"/>
  <c r="I30" i="1"/>
  <c r="O30" i="1" s="1"/>
  <c r="U30" i="1" s="1"/>
  <c r="V30" i="1" s="1"/>
  <c r="I36" i="1"/>
  <c r="I39" i="1"/>
  <c r="O39" i="1" s="1"/>
  <c r="I15" i="1"/>
  <c r="I44" i="1"/>
  <c r="I14" i="1"/>
  <c r="O14" i="1" s="1"/>
  <c r="I43" i="1"/>
  <c r="O43" i="1" s="1"/>
  <c r="K12" i="1"/>
  <c r="L27" i="1"/>
  <c r="AC12" i="1"/>
  <c r="L37" i="1"/>
  <c r="AA43" i="1"/>
  <c r="O44" i="1"/>
  <c r="U44" i="1" s="1"/>
  <c r="V44" i="1" s="1"/>
  <c r="AC47" i="1"/>
  <c r="L17" i="1"/>
  <c r="N12" i="1"/>
  <c r="U14" i="1"/>
  <c r="U26" i="1"/>
  <c r="V26" i="1" s="1"/>
  <c r="U39" i="1"/>
  <c r="V45" i="1"/>
  <c r="V20" i="1"/>
  <c r="AA33" i="1"/>
  <c r="N33" i="1"/>
  <c r="N41" i="1"/>
  <c r="O41" i="1"/>
  <c r="I10" i="1"/>
  <c r="O10" i="1" s="1"/>
  <c r="O12" i="1" s="1"/>
  <c r="AC17" i="1"/>
  <c r="O15" i="1"/>
  <c r="U15" i="1" s="1"/>
  <c r="V15" i="1" s="1"/>
  <c r="AA15" i="1"/>
  <c r="K17" i="1"/>
  <c r="N20" i="1"/>
  <c r="O33" i="1"/>
  <c r="O36" i="1"/>
  <c r="U36" i="1" s="1"/>
  <c r="V36" i="1" s="1"/>
  <c r="AA36" i="1"/>
  <c r="K37" i="1"/>
  <c r="L47" i="1"/>
  <c r="N40" i="1"/>
  <c r="U40" i="1" s="1"/>
  <c r="V40" i="1" s="1"/>
  <c r="AC27" i="1"/>
  <c r="N22" i="1"/>
  <c r="U22" i="1" s="1"/>
  <c r="V22" i="1" s="1"/>
  <c r="O31" i="1"/>
  <c r="U29" i="1"/>
  <c r="N42" i="1"/>
  <c r="AA42" i="1"/>
  <c r="O42" i="1"/>
  <c r="AA35" i="1"/>
  <c r="N35" i="1"/>
  <c r="U35" i="1" s="1"/>
  <c r="V35" i="1" s="1"/>
  <c r="N24" i="1"/>
  <c r="I24" i="1"/>
  <c r="O24" i="1" s="1"/>
  <c r="AA34" i="1"/>
  <c r="N34" i="1"/>
  <c r="U34" i="1" s="1"/>
  <c r="V34" i="1" s="1"/>
  <c r="U43" i="1"/>
  <c r="V43" i="1" s="1"/>
  <c r="AA16" i="1"/>
  <c r="N16" i="1"/>
  <c r="U16" i="1" s="1"/>
  <c r="V16" i="1" s="1"/>
  <c r="AA19" i="1"/>
  <c r="N19" i="1"/>
  <c r="N21" i="1"/>
  <c r="I21" i="1"/>
  <c r="O21" i="1" s="1"/>
  <c r="I23" i="1"/>
  <c r="O23" i="1" s="1"/>
  <c r="U23" i="1" s="1"/>
  <c r="V23" i="1" s="1"/>
  <c r="AA25" i="1"/>
  <c r="N25" i="1"/>
  <c r="U25" i="1" s="1"/>
  <c r="V25" i="1" s="1"/>
  <c r="K27" i="1"/>
  <c r="K47" i="1"/>
  <c r="AD47" i="1"/>
  <c r="AD52" i="1" s="1"/>
  <c r="AA41" i="1"/>
  <c r="AA39" i="1"/>
  <c r="N45" i="1"/>
  <c r="N46" i="1"/>
  <c r="U46" i="1" s="1"/>
  <c r="V46" i="1" s="1"/>
  <c r="N49" i="1"/>
  <c r="U49" i="1" s="1"/>
  <c r="V49" i="1" s="1"/>
  <c r="AB30" i="1" l="1"/>
  <c r="X30" i="1"/>
  <c r="Z30" i="1"/>
  <c r="Y30" i="1"/>
  <c r="AC52" i="1"/>
  <c r="O27" i="1"/>
  <c r="U21" i="1"/>
  <c r="V21" i="1" s="1"/>
  <c r="U24" i="1"/>
  <c r="V24" i="1" s="1"/>
  <c r="AA17" i="1"/>
  <c r="O47" i="1"/>
  <c r="O17" i="1"/>
  <c r="Y36" i="1"/>
  <c r="Z36" i="1"/>
  <c r="X36" i="1"/>
  <c r="Z23" i="1"/>
  <c r="Y23" i="1"/>
  <c r="X23" i="1"/>
  <c r="AB23" i="1"/>
  <c r="AB15" i="1"/>
  <c r="X15" i="1"/>
  <c r="Y15" i="1"/>
  <c r="Z15" i="1"/>
  <c r="Z43" i="1"/>
  <c r="X43" i="1"/>
  <c r="Y43" i="1"/>
  <c r="X24" i="1"/>
  <c r="Y24" i="1"/>
  <c r="Z24" i="1"/>
  <c r="Z44" i="1"/>
  <c r="X44" i="1"/>
  <c r="Y44" i="1"/>
  <c r="N37" i="1"/>
  <c r="U33" i="1"/>
  <c r="N47" i="1"/>
  <c r="AA27" i="1"/>
  <c r="X34" i="1"/>
  <c r="Z34" i="1"/>
  <c r="Y34" i="1"/>
  <c r="Y40" i="1"/>
  <c r="Z40" i="1"/>
  <c r="X40" i="1"/>
  <c r="AB40" i="1"/>
  <c r="AA37" i="1"/>
  <c r="V39" i="1"/>
  <c r="Z26" i="1"/>
  <c r="Y26" i="1"/>
  <c r="X26" i="1"/>
  <c r="AA47" i="1"/>
  <c r="Z16" i="1"/>
  <c r="Y16" i="1"/>
  <c r="X16" i="1"/>
  <c r="X35" i="1"/>
  <c r="Z35" i="1"/>
  <c r="Y35" i="1"/>
  <c r="U42" i="1"/>
  <c r="V42" i="1" s="1"/>
  <c r="O37" i="1"/>
  <c r="U41" i="1"/>
  <c r="V41" i="1" s="1"/>
  <c r="Z20" i="1"/>
  <c r="Y20" i="1"/>
  <c r="X20" i="1"/>
  <c r="AB20" i="1"/>
  <c r="V14" i="1"/>
  <c r="U17" i="1"/>
  <c r="U10" i="1"/>
  <c r="Y22" i="1"/>
  <c r="Z22" i="1"/>
  <c r="X22" i="1"/>
  <c r="AB22" i="1"/>
  <c r="Y49" i="1"/>
  <c r="AB49" i="1"/>
  <c r="X49" i="1"/>
  <c r="Z49" i="1"/>
  <c r="AB25" i="1"/>
  <c r="X25" i="1"/>
  <c r="Y25" i="1"/>
  <c r="Z25" i="1"/>
  <c r="AB21" i="1"/>
  <c r="X21" i="1"/>
  <c r="Z21" i="1"/>
  <c r="Y21" i="1"/>
  <c r="V29" i="1"/>
  <c r="U31" i="1"/>
  <c r="AB45" i="1"/>
  <c r="X45" i="1"/>
  <c r="Y45" i="1"/>
  <c r="Z45" i="1"/>
  <c r="N17" i="1"/>
  <c r="Z46" i="1"/>
  <c r="Y46" i="1"/>
  <c r="X46" i="1"/>
  <c r="AB46" i="1"/>
  <c r="N27" i="1"/>
  <c r="U19" i="1"/>
  <c r="AE43" i="1" l="1"/>
  <c r="AE30" i="1"/>
  <c r="AE49" i="1"/>
  <c r="AE22" i="1"/>
  <c r="AE16" i="1"/>
  <c r="AE26" i="1"/>
  <c r="AE34" i="1"/>
  <c r="AE15" i="1"/>
  <c r="AE46" i="1"/>
  <c r="AE21" i="1"/>
  <c r="AE25" i="1"/>
  <c r="Y14" i="1"/>
  <c r="Y17" i="1" s="1"/>
  <c r="AB14" i="1"/>
  <c r="AB17" i="1" s="1"/>
  <c r="Z14" i="1"/>
  <c r="Z17" i="1" s="1"/>
  <c r="X14" i="1"/>
  <c r="V17" i="1"/>
  <c r="V19" i="1"/>
  <c r="U27" i="1"/>
  <c r="AB29" i="1"/>
  <c r="AB31" i="1" s="1"/>
  <c r="X29" i="1"/>
  <c r="Z29" i="1"/>
  <c r="Z31" i="1" s="1"/>
  <c r="V31" i="1"/>
  <c r="Y29" i="1"/>
  <c r="Y31" i="1" s="1"/>
  <c r="X41" i="1"/>
  <c r="Y41" i="1"/>
  <c r="Z41" i="1"/>
  <c r="AE44" i="1"/>
  <c r="AE24" i="1"/>
  <c r="AE36" i="1"/>
  <c r="AE45" i="1"/>
  <c r="V10" i="1"/>
  <c r="U12" i="1"/>
  <c r="AE20" i="1"/>
  <c r="AE35" i="1"/>
  <c r="AA52" i="1"/>
  <c r="V47" i="1"/>
  <c r="Z39" i="1"/>
  <c r="X39" i="1"/>
  <c r="AB39" i="1"/>
  <c r="Y39" i="1"/>
  <c r="AE40" i="1"/>
  <c r="V33" i="1"/>
  <c r="U37" i="1"/>
  <c r="AE23" i="1"/>
  <c r="AB42" i="1"/>
  <c r="X42" i="1"/>
  <c r="Y42" i="1"/>
  <c r="Z42" i="1"/>
  <c r="U47" i="1"/>
  <c r="U52" i="1" s="1"/>
  <c r="U53" i="1" s="1"/>
  <c r="Z47" i="1" l="1"/>
  <c r="AE41" i="1"/>
  <c r="X31" i="1"/>
  <c r="AE29" i="1"/>
  <c r="AE31" i="1" s="1"/>
  <c r="AB47" i="1"/>
  <c r="Y10" i="1"/>
  <c r="Y12" i="1" s="1"/>
  <c r="AB10" i="1"/>
  <c r="AB12" i="1" s="1"/>
  <c r="Z10" i="1"/>
  <c r="Z12" i="1" s="1"/>
  <c r="V12" i="1"/>
  <c r="X10" i="1"/>
  <c r="X17" i="1"/>
  <c r="AE14" i="1"/>
  <c r="AE17" i="1" s="1"/>
  <c r="AB19" i="1"/>
  <c r="AB27" i="1" s="1"/>
  <c r="X19" i="1"/>
  <c r="V27" i="1"/>
  <c r="Z19" i="1"/>
  <c r="Z27" i="1" s="1"/>
  <c r="Z52" i="1" s="1"/>
  <c r="Y19" i="1"/>
  <c r="Y27" i="1" s="1"/>
  <c r="Y47" i="1"/>
  <c r="AE42" i="1"/>
  <c r="V37" i="1"/>
  <c r="X33" i="1"/>
  <c r="Z33" i="1"/>
  <c r="Z37" i="1" s="1"/>
  <c r="Y33" i="1"/>
  <c r="Y37" i="1" s="1"/>
  <c r="X47" i="1"/>
  <c r="AE39" i="1"/>
  <c r="AE47" i="1" l="1"/>
  <c r="V52" i="1"/>
  <c r="V53" i="1" s="1"/>
  <c r="V56" i="1" s="1"/>
  <c r="AE10" i="1"/>
  <c r="AE12" i="1" s="1"/>
  <c r="X12" i="1"/>
  <c r="X37" i="1"/>
  <c r="AE33" i="1"/>
  <c r="AE37" i="1" s="1"/>
  <c r="X52" i="1"/>
  <c r="Y54" i="1" s="1"/>
  <c r="Y52" i="1"/>
  <c r="X27" i="1"/>
  <c r="AE19" i="1"/>
  <c r="AE27" i="1" s="1"/>
  <c r="AB52" i="1"/>
  <c r="AE52" i="1" l="1"/>
</calcChain>
</file>

<file path=xl/sharedStrings.xml><?xml version="1.0" encoding="utf-8"?>
<sst xmlns="http://schemas.openxmlformats.org/spreadsheetml/2006/main" count="264" uniqueCount="112">
  <si>
    <t>WORKPAPER 3 - LABOR ANALYSIS, Continued</t>
  </si>
  <si>
    <t>Reg. Customers</t>
  </si>
  <si>
    <t>COLA</t>
  </si>
  <si>
    <t>Non-Reg Customers</t>
  </si>
  <si>
    <t>wage base</t>
  </si>
  <si>
    <t>Collection</t>
  </si>
  <si>
    <t>Test</t>
  </si>
  <si>
    <t>COLA Effective</t>
  </si>
  <si>
    <t>Effective</t>
  </si>
  <si>
    <t>STAFF ADJ</t>
  </si>
  <si>
    <t>UI rate</t>
  </si>
  <si>
    <t>Clerical</t>
  </si>
  <si>
    <t>Salary/</t>
  </si>
  <si>
    <t>Overtime</t>
  </si>
  <si>
    <t>Eligible for</t>
  </si>
  <si>
    <t>Life</t>
  </si>
  <si>
    <t>Medical/</t>
  </si>
  <si>
    <t>Period</t>
  </si>
  <si>
    <t>Test Year Totals</t>
  </si>
  <si>
    <t>Months at</t>
  </si>
  <si>
    <t>Months OT</t>
  </si>
  <si>
    <t>Salaried</t>
  </si>
  <si>
    <t>Projected</t>
  </si>
  <si>
    <t>Staff</t>
  </si>
  <si>
    <t>Employment</t>
  </si>
  <si>
    <t>Total</t>
  </si>
  <si>
    <t>Employee</t>
  </si>
  <si>
    <t>Hourly</t>
  </si>
  <si>
    <t>Rate</t>
  </si>
  <si>
    <t>7% SEP</t>
  </si>
  <si>
    <t>Insurance</t>
  </si>
  <si>
    <t>Dental</t>
  </si>
  <si>
    <t>STAFF HOURS</t>
  </si>
  <si>
    <t>Amount</t>
  </si>
  <si>
    <t>13 Rate</t>
  </si>
  <si>
    <t>14 Rate</t>
  </si>
  <si>
    <t>at 13 Rate</t>
  </si>
  <si>
    <t>at 14 Rate</t>
  </si>
  <si>
    <t>Holiday</t>
  </si>
  <si>
    <t>Commissions</t>
  </si>
  <si>
    <t>Bonus</t>
  </si>
  <si>
    <t>Annual</t>
  </si>
  <si>
    <t>Allocation to Reg.</t>
  </si>
  <si>
    <t>FICA</t>
  </si>
  <si>
    <t>FUTA</t>
  </si>
  <si>
    <t>Security</t>
  </si>
  <si>
    <t>L&amp;I</t>
  </si>
  <si>
    <t>SEP</t>
  </si>
  <si>
    <t>Fringe</t>
  </si>
  <si>
    <t>S</t>
  </si>
  <si>
    <t>$45.74 hr over 46hrs</t>
  </si>
  <si>
    <t>Y</t>
  </si>
  <si>
    <t>Richard Ensign - db mg (all cos)</t>
  </si>
  <si>
    <t>Management fees</t>
  </si>
  <si>
    <t>MANAGEMENT</t>
  </si>
  <si>
    <t>H</t>
  </si>
  <si>
    <t>1.5 over 40 hrs</t>
  </si>
  <si>
    <t>Terri Turner - office mg</t>
  </si>
  <si>
    <t>Kami Dykstra</t>
  </si>
  <si>
    <t>N</t>
  </si>
  <si>
    <t>Lacey Gray</t>
  </si>
  <si>
    <t>SUPER/BILLING/OFFICE</t>
  </si>
  <si>
    <t>1.5 over 40hrs</t>
  </si>
  <si>
    <t>12/13</t>
  </si>
  <si>
    <t>Jason Bebout</t>
  </si>
  <si>
    <t>1.5 over 40hrs - term eff 06/15/13--see Walker</t>
  </si>
  <si>
    <t>Kyle Miller</t>
  </si>
  <si>
    <t>Rafael Garcia</t>
  </si>
  <si>
    <t>Kevin Salinas</t>
  </si>
  <si>
    <t>Jeff Sugg</t>
  </si>
  <si>
    <t>6/16</t>
  </si>
  <si>
    <t>09/13</t>
  </si>
  <si>
    <t>Josh Walker</t>
  </si>
  <si>
    <t>1.5 over 40hrs - term eff 10/26/12</t>
  </si>
  <si>
    <t>Shae Schoonover</t>
  </si>
  <si>
    <t>1.5 over 40hrs - hired 10/10/12 replace Schoonover</t>
  </si>
  <si>
    <t>10/15</t>
  </si>
  <si>
    <t>04/13</t>
  </si>
  <si>
    <t>Cody Bartel</t>
  </si>
  <si>
    <t>DRIVERS</t>
  </si>
  <si>
    <t>1.5 over 40 hrs plus paper brokering commissions $363.06 monthly</t>
  </si>
  <si>
    <t>Dave Ritola (100% drop box)</t>
  </si>
  <si>
    <t>Henry Peltier (100% drop box)</t>
  </si>
  <si>
    <t>DROP BOX</t>
  </si>
  <si>
    <t>Josiah Willis</t>
  </si>
  <si>
    <t>Micah Willis</t>
  </si>
  <si>
    <t>Nicholas Willis</t>
  </si>
  <si>
    <t>Casey Tilton</t>
  </si>
  <si>
    <t>OTHER LABOR</t>
  </si>
  <si>
    <t>Larry Lamkin - maint super</t>
  </si>
  <si>
    <t>Glen Miller</t>
  </si>
  <si>
    <t>1.5 over 40hrs - term eff 08/01/12 (replaced by Ryan Larson)</t>
  </si>
  <si>
    <t>term 08/12</t>
  </si>
  <si>
    <t>Dayne Crawford</t>
  </si>
  <si>
    <t>10/12</t>
  </si>
  <si>
    <t>Devon Curtis</t>
  </si>
  <si>
    <t>Ryan Larson</t>
  </si>
  <si>
    <t>03/16</t>
  </si>
  <si>
    <t>08/13</t>
  </si>
  <si>
    <t>Trevor Marchan</t>
  </si>
  <si>
    <t>1.5 over 40hrs - term eff 12/17/12</t>
  </si>
  <si>
    <t>Kyler Lane</t>
  </si>
  <si>
    <t>Travis Smith</t>
  </si>
  <si>
    <t>MECHANICS</t>
  </si>
  <si>
    <t>Normalized Overtime</t>
  </si>
  <si>
    <t xml:space="preserve">Normalized OT </t>
  </si>
  <si>
    <t>Wages</t>
  </si>
  <si>
    <t>Mgt fees</t>
  </si>
  <si>
    <t>Per Staff</t>
  </si>
  <si>
    <t>Exhibit No. (JD-10)</t>
  </si>
  <si>
    <t>WASTE CONTROL, INC.</t>
  </si>
  <si>
    <t>In Support of Tariff No. 15, G-101 Effective December 1,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</si>
</sst>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3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0" fontId="0" fillId="0" borderId="0" xfId="0" applyFill="1"/>
    <xf numFmtId="37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9" fontId="3" fillId="0" borderId="0" xfId="1" applyNumberFormat="1" applyFont="1" applyFill="1" applyAlignment="1">
      <alignment horizontal="center"/>
    </xf>
    <xf numFmtId="0" fontId="5" fillId="0" borderId="1" xfId="1" applyFont="1" applyFill="1" applyBorder="1" applyAlignment="1">
      <alignment horizontal="right" wrapText="1"/>
    </xf>
    <xf numFmtId="3" fontId="5" fillId="0" borderId="2" xfId="1" applyNumberFormat="1" applyFont="1" applyFill="1" applyBorder="1" applyAlignment="1">
      <alignment horizontal="right"/>
    </xf>
    <xf numFmtId="37" fontId="3" fillId="0" borderId="0" xfId="1" applyNumberFormat="1" applyFont="1" applyFill="1" applyAlignment="1">
      <alignment horizontal="left"/>
    </xf>
    <xf numFmtId="0" fontId="5" fillId="0" borderId="0" xfId="0" quotePrefix="1" applyFont="1" applyFill="1" applyAlignment="1">
      <alignment horizontal="center"/>
    </xf>
    <xf numFmtId="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NumberFormat="1" applyFont="1" applyFill="1"/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5" xfId="0" applyFont="1" applyFill="1" applyBorder="1"/>
    <xf numFmtId="164" fontId="3" fillId="0" borderId="6" xfId="0" applyNumberFormat="1" applyFont="1" applyFill="1" applyBorder="1"/>
    <xf numFmtId="0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 indent="1"/>
    </xf>
    <xf numFmtId="43" fontId="5" fillId="0" borderId="0" xfId="0" applyNumberFormat="1" applyFont="1" applyFill="1" applyAlignment="1">
      <alignment horizontal="center"/>
    </xf>
    <xf numFmtId="41" fontId="5" fillId="0" borderId="0" xfId="0" applyNumberFormat="1" applyFont="1" applyFill="1" applyProtection="1"/>
    <xf numFmtId="41" fontId="5" fillId="0" borderId="0" xfId="0" applyNumberFormat="1" applyFont="1" applyFill="1" applyAlignment="1">
      <alignment horizontal="center"/>
    </xf>
    <xf numFmtId="41" fontId="5" fillId="0" borderId="0" xfId="0" applyNumberFormat="1" applyFont="1" applyFill="1"/>
    <xf numFmtId="43" fontId="5" fillId="0" borderId="0" xfId="0" applyNumberFormat="1" applyFont="1" applyFill="1"/>
    <xf numFmtId="41" fontId="5" fillId="0" borderId="7" xfId="0" applyNumberFormat="1" applyFont="1" applyFill="1" applyBorder="1" applyProtection="1"/>
    <xf numFmtId="0" fontId="3" fillId="0" borderId="0" xfId="0" applyFont="1" applyFill="1" applyAlignment="1">
      <alignment horizontal="left" indent="2"/>
    </xf>
    <xf numFmtId="43" fontId="3" fillId="0" borderId="0" xfId="0" applyNumberFormat="1" applyFont="1" applyFill="1" applyAlignment="1">
      <alignment horizontal="center"/>
    </xf>
    <xf numFmtId="41" fontId="5" fillId="0" borderId="8" xfId="0" applyNumberFormat="1" applyFont="1" applyFill="1" applyBorder="1" applyProtection="1"/>
    <xf numFmtId="41" fontId="5" fillId="0" borderId="9" xfId="0" applyNumberFormat="1" applyFont="1" applyFill="1" applyBorder="1" applyProtection="1"/>
    <xf numFmtId="41" fontId="5" fillId="0" borderId="8" xfId="0" applyNumberFormat="1" applyFont="1" applyFill="1" applyBorder="1" applyAlignment="1">
      <alignment horizontal="center"/>
    </xf>
    <xf numFmtId="43" fontId="5" fillId="0" borderId="0" xfId="0" applyNumberFormat="1" applyFont="1" applyFill="1" applyBorder="1" applyProtection="1"/>
    <xf numFmtId="14" fontId="5" fillId="0" borderId="0" xfId="0" applyNumberFormat="1" applyFont="1" applyFill="1" applyAlignment="1">
      <alignment horizontal="center"/>
    </xf>
    <xf numFmtId="43" fontId="5" fillId="0" borderId="10" xfId="0" applyNumberFormat="1" applyFont="1" applyFill="1" applyBorder="1"/>
    <xf numFmtId="41" fontId="5" fillId="0" borderId="10" xfId="0" applyNumberFormat="1" applyFont="1" applyFill="1" applyBorder="1"/>
    <xf numFmtId="165" fontId="5" fillId="0" borderId="7" xfId="0" applyNumberFormat="1" applyFont="1" applyFill="1" applyBorder="1" applyProtection="1"/>
    <xf numFmtId="41" fontId="5" fillId="0" borderId="0" xfId="0" applyNumberFormat="1" applyFont="1" applyFill="1" applyBorder="1" applyProtection="1"/>
    <xf numFmtId="14" fontId="5" fillId="0" borderId="0" xfId="0" quotePrefix="1" applyNumberFormat="1" applyFont="1" applyFill="1" applyAlignment="1">
      <alignment horizontal="center"/>
    </xf>
    <xf numFmtId="165" fontId="5" fillId="0" borderId="9" xfId="0" applyNumberFormat="1" applyFont="1" applyFill="1" applyBorder="1" applyProtection="1"/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indent="2"/>
    </xf>
    <xf numFmtId="41" fontId="5" fillId="0" borderId="0" xfId="0" applyNumberFormat="1" applyFont="1" applyFill="1" applyBorder="1"/>
    <xf numFmtId="41" fontId="5" fillId="0" borderId="0" xfId="0" applyNumberFormat="1" applyFont="1" applyFill="1" applyBorder="1" applyAlignment="1">
      <alignment horizontal="center"/>
    </xf>
    <xf numFmtId="41" fontId="5" fillId="0" borderId="11" xfId="0" applyNumberFormat="1" applyFont="1" applyFill="1" applyBorder="1" applyProtection="1"/>
    <xf numFmtId="0" fontId="5" fillId="0" borderId="12" xfId="0" applyFont="1" applyFill="1" applyBorder="1"/>
    <xf numFmtId="165" fontId="5" fillId="0" borderId="0" xfId="0" applyNumberFormat="1" applyFont="1" applyFill="1" applyBorder="1" applyProtection="1"/>
    <xf numFmtId="41" fontId="5" fillId="0" borderId="13" xfId="0" applyNumberFormat="1" applyFont="1" applyFill="1" applyBorder="1" applyProtection="1"/>
    <xf numFmtId="0" fontId="5" fillId="0" borderId="14" xfId="0" applyFont="1" applyFill="1" applyBorder="1"/>
    <xf numFmtId="41" fontId="5" fillId="0" borderId="0" xfId="0" applyNumberFormat="1" applyFont="1" applyFill="1" applyAlignment="1"/>
    <xf numFmtId="41" fontId="3" fillId="0" borderId="0" xfId="0" applyNumberFormat="1" applyFont="1" applyFill="1"/>
    <xf numFmtId="43" fontId="5" fillId="0" borderId="0" xfId="0" applyNumberFormat="1" applyFont="1" applyFill="1" applyAlignment="1">
      <alignment horizontal="right"/>
    </xf>
    <xf numFmtId="41" fontId="3" fillId="0" borderId="15" xfId="0" applyNumberFormat="1" applyFont="1" applyFill="1" applyBorder="1" applyProtection="1"/>
    <xf numFmtId="165" fontId="5" fillId="0" borderId="16" xfId="0" applyNumberFormat="1" applyFont="1" applyFill="1" applyBorder="1" applyProtection="1"/>
    <xf numFmtId="165" fontId="5" fillId="0" borderId="17" xfId="0" applyNumberFormat="1" applyFont="1" applyFill="1" applyBorder="1" applyProtection="1"/>
    <xf numFmtId="41" fontId="3" fillId="0" borderId="18" xfId="0" applyNumberFormat="1" applyFont="1" applyFill="1" applyBorder="1" applyProtection="1"/>
    <xf numFmtId="41" fontId="5" fillId="0" borderId="17" xfId="0" applyNumberFormat="1" applyFont="1" applyFill="1" applyBorder="1" applyProtection="1"/>
    <xf numFmtId="10" fontId="5" fillId="0" borderId="0" xfId="0" applyNumberFormat="1" applyFont="1" applyFill="1" applyAlignment="1">
      <alignment horizontal="center"/>
    </xf>
    <xf numFmtId="41" fontId="3" fillId="0" borderId="19" xfId="0" applyNumberFormat="1" applyFont="1" applyFill="1" applyBorder="1"/>
    <xf numFmtId="41" fontId="3" fillId="0" borderId="20" xfId="0" applyNumberFormat="1" applyFont="1" applyFill="1" applyBorder="1"/>
    <xf numFmtId="41" fontId="3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43" fontId="5" fillId="0" borderId="0" xfId="0" applyNumberFormat="1" applyFont="1" applyFill="1" applyBorder="1"/>
    <xf numFmtId="41" fontId="3" fillId="0" borderId="13" xfId="0" applyNumberFormat="1" applyFont="1" applyFill="1" applyBorder="1"/>
    <xf numFmtId="41" fontId="3" fillId="0" borderId="14" xfId="0" applyNumberFormat="1" applyFont="1" applyFill="1" applyBorder="1"/>
    <xf numFmtId="10" fontId="5" fillId="0" borderId="0" xfId="0" applyNumberFormat="1" applyFont="1" applyFill="1"/>
    <xf numFmtId="165" fontId="5" fillId="0" borderId="0" xfId="0" applyNumberFormat="1" applyFont="1" applyFill="1"/>
    <xf numFmtId="3" fontId="3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41" fontId="5" fillId="2" borderId="0" xfId="0" applyNumberFormat="1" applyFont="1" applyFill="1"/>
    <xf numFmtId="41" fontId="0" fillId="0" borderId="0" xfId="0" applyNumberFormat="1" applyFill="1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37" fontId="3" fillId="0" borderId="0" xfId="1" applyNumberFormat="1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8"/>
  <sheetViews>
    <sheetView tabSelected="1" zoomScale="66" zoomScaleNormal="66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T1" sqref="T1"/>
    </sheetView>
  </sheetViews>
  <sheetFormatPr defaultColWidth="9.109375" defaultRowHeight="14.4" x14ac:dyDescent="0.3"/>
  <cols>
    <col min="1" max="1" width="25.5546875" style="1" customWidth="1"/>
    <col min="2" max="2" width="3.44140625" style="1" customWidth="1"/>
    <col min="3" max="3" width="31.6640625" style="1" customWidth="1"/>
    <col min="4" max="4" width="13.109375" style="1" bestFit="1" customWidth="1"/>
    <col min="5" max="5" width="11.77734375" style="1" bestFit="1" customWidth="1"/>
    <col min="6" max="6" width="10" style="1" bestFit="1" customWidth="1"/>
    <col min="7" max="9" width="12.44140625" style="1" customWidth="1"/>
    <col min="10" max="10" width="5.5546875" style="1" customWidth="1"/>
    <col min="11" max="11" width="17.88671875" style="1" customWidth="1"/>
    <col min="12" max="12" width="14.5546875" style="1" customWidth="1"/>
    <col min="13" max="13" width="3.88671875" style="1" customWidth="1"/>
    <col min="14" max="14" width="12.44140625" style="1" customWidth="1"/>
    <col min="15" max="15" width="14.88671875" style="1" bestFit="1" customWidth="1"/>
    <col min="16" max="17" width="12.88671875" style="1" bestFit="1" customWidth="1"/>
    <col min="18" max="18" width="10" style="1" bestFit="1" customWidth="1"/>
    <col min="19" max="20" width="12.44140625" style="1" customWidth="1"/>
    <col min="21" max="21" width="17.109375" style="1" customWidth="1"/>
    <col min="22" max="22" width="16.44140625" style="1" customWidth="1"/>
    <col min="23" max="23" width="25.5546875" style="1" customWidth="1"/>
    <col min="24" max="24" width="13.5546875" style="1" bestFit="1" customWidth="1"/>
    <col min="25" max="25" width="16.109375" style="1" customWidth="1"/>
    <col min="26" max="26" width="18.5546875" style="1" bestFit="1" customWidth="1"/>
    <col min="27" max="27" width="17" style="1" customWidth="1"/>
    <col min="28" max="28" width="13.5546875" style="1" bestFit="1" customWidth="1"/>
    <col min="29" max="29" width="12.5546875" style="1" customWidth="1"/>
    <col min="30" max="30" width="13.109375" style="1" bestFit="1" customWidth="1"/>
    <col min="31" max="31" width="13.5546875" style="1" bestFit="1" customWidth="1"/>
    <col min="32" max="32" width="12.44140625" style="1" customWidth="1"/>
    <col min="33" max="16384" width="9.109375" style="1"/>
  </cols>
  <sheetData>
    <row r="1" spans="1:32" ht="15" x14ac:dyDescent="0.25">
      <c r="T1" s="80" t="s">
        <v>109</v>
      </c>
    </row>
    <row r="2" spans="1:32" ht="16.5" x14ac:dyDescent="0.25">
      <c r="A2" s="82" t="s">
        <v>110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 t="str">
        <f>+A2</f>
        <v>WASTE CONTROL, INC.</v>
      </c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</row>
    <row r="3" spans="1:32" ht="16.5" x14ac:dyDescent="0.25">
      <c r="A3" s="82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 t="s">
        <v>0</v>
      </c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</row>
    <row r="4" spans="1:32" ht="16.5" thickBot="1" x14ac:dyDescent="0.3">
      <c r="A4" s="84" t="s">
        <v>111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 t="str">
        <f>+A4</f>
        <v>In Support of Tariff No. 15, G-101 Effective December 1, 2013</v>
      </c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</row>
    <row r="5" spans="1:32" ht="15.75" x14ac:dyDescent="0.25">
      <c r="A5" s="2"/>
      <c r="B5" s="3"/>
      <c r="C5" s="3"/>
      <c r="D5" s="3"/>
      <c r="E5" s="3"/>
      <c r="F5" s="3"/>
      <c r="G5" s="3"/>
      <c r="H5" s="3"/>
      <c r="I5" s="4">
        <v>0.02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1</v>
      </c>
      <c r="V5" s="6"/>
      <c r="W5" s="2"/>
      <c r="X5" s="3"/>
      <c r="Y5" s="3"/>
      <c r="Z5" s="3"/>
      <c r="AA5" s="3"/>
      <c r="AB5" s="3"/>
      <c r="AC5" s="3"/>
      <c r="AD5" s="3"/>
      <c r="AE5" s="3"/>
      <c r="AF5" s="3"/>
    </row>
    <row r="6" spans="1:32" ht="31.5" x14ac:dyDescent="0.25">
      <c r="A6" s="7"/>
      <c r="B6" s="8"/>
      <c r="C6" s="8"/>
      <c r="D6" s="8"/>
      <c r="E6" s="8"/>
      <c r="F6" s="8"/>
      <c r="G6" s="8"/>
      <c r="H6" s="9">
        <v>0.02</v>
      </c>
      <c r="I6" s="10" t="s">
        <v>2</v>
      </c>
      <c r="J6" s="8"/>
      <c r="K6" s="11"/>
      <c r="L6" s="11"/>
      <c r="M6" s="11"/>
      <c r="N6" s="12"/>
      <c r="O6" s="12"/>
      <c r="P6" s="12"/>
      <c r="Q6" s="12"/>
      <c r="R6" s="12"/>
      <c r="S6" s="12"/>
      <c r="T6" s="11"/>
      <c r="U6" s="13" t="s">
        <v>3</v>
      </c>
      <c r="V6" s="14"/>
      <c r="W6" s="7"/>
      <c r="X6" s="11"/>
      <c r="Y6" s="15" t="s">
        <v>4</v>
      </c>
      <c r="Z6" s="11">
        <v>39800</v>
      </c>
      <c r="AA6" s="16">
        <v>1.32995</v>
      </c>
      <c r="AB6" s="17" t="s">
        <v>5</v>
      </c>
      <c r="AC6" s="11"/>
      <c r="AD6" s="11"/>
      <c r="AE6" s="11"/>
      <c r="AF6" s="11"/>
    </row>
    <row r="7" spans="1:32" ht="16.5" thickBot="1" x14ac:dyDescent="0.3">
      <c r="A7" s="18"/>
      <c r="B7" s="19"/>
      <c r="C7" s="19"/>
      <c r="D7" s="19"/>
      <c r="E7" s="19"/>
      <c r="F7" s="19"/>
      <c r="G7" s="19" t="s">
        <v>6</v>
      </c>
      <c r="H7" s="20" t="s">
        <v>7</v>
      </c>
      <c r="I7" s="10" t="s">
        <v>8</v>
      </c>
      <c r="J7" s="19"/>
      <c r="K7" s="18"/>
      <c r="L7" s="18"/>
      <c r="M7" s="18"/>
      <c r="N7" s="10">
        <v>7</v>
      </c>
      <c r="O7" s="10">
        <v>5</v>
      </c>
      <c r="P7" s="10">
        <v>7</v>
      </c>
      <c r="Q7" s="10">
        <v>5</v>
      </c>
      <c r="R7" s="10"/>
      <c r="S7" s="10"/>
      <c r="T7" s="18"/>
      <c r="U7" s="21" t="s">
        <v>9</v>
      </c>
      <c r="V7" s="22">
        <v>0.96812272987956405</v>
      </c>
      <c r="W7" s="18"/>
      <c r="X7" s="18"/>
      <c r="Y7" s="15" t="s">
        <v>10</v>
      </c>
      <c r="Z7" s="16">
        <f>0.0131</f>
        <v>1.3100000000000001E-2</v>
      </c>
      <c r="AA7" s="16">
        <v>0.12540000000000001</v>
      </c>
      <c r="AB7" s="17" t="s">
        <v>11</v>
      </c>
      <c r="AC7" s="11"/>
      <c r="AD7" s="11"/>
      <c r="AE7" s="11"/>
      <c r="AF7" s="11"/>
    </row>
    <row r="8" spans="1:32" ht="15.75" x14ac:dyDescent="0.25">
      <c r="A8" s="18"/>
      <c r="B8" s="10" t="s">
        <v>12</v>
      </c>
      <c r="C8" s="10" t="s">
        <v>13</v>
      </c>
      <c r="D8" s="10" t="s">
        <v>14</v>
      </c>
      <c r="E8" s="10" t="s">
        <v>15</v>
      </c>
      <c r="F8" s="10" t="s">
        <v>16</v>
      </c>
      <c r="G8" s="23" t="s">
        <v>17</v>
      </c>
      <c r="H8" s="24">
        <v>41456</v>
      </c>
      <c r="I8" s="24">
        <v>41821</v>
      </c>
      <c r="J8" s="23"/>
      <c r="K8" s="81" t="s">
        <v>18</v>
      </c>
      <c r="L8" s="81"/>
      <c r="M8" s="18"/>
      <c r="N8" s="10" t="s">
        <v>19</v>
      </c>
      <c r="O8" s="10" t="s">
        <v>19</v>
      </c>
      <c r="P8" s="10" t="s">
        <v>20</v>
      </c>
      <c r="Q8" s="10" t="s">
        <v>20</v>
      </c>
      <c r="R8" s="10" t="s">
        <v>21</v>
      </c>
      <c r="S8" s="10"/>
      <c r="T8" s="10"/>
      <c r="U8" s="10" t="s">
        <v>22</v>
      </c>
      <c r="V8" s="10" t="s">
        <v>23</v>
      </c>
      <c r="W8" s="18"/>
      <c r="X8" s="10"/>
      <c r="Y8" s="18"/>
      <c r="Z8" s="10" t="s">
        <v>24</v>
      </c>
      <c r="AA8" s="18"/>
      <c r="AB8" s="9">
        <v>7.0000000000000007E-2</v>
      </c>
      <c r="AC8" s="10"/>
      <c r="AD8" s="10" t="s">
        <v>16</v>
      </c>
      <c r="AE8" s="10" t="s">
        <v>25</v>
      </c>
      <c r="AF8" s="11"/>
    </row>
    <row r="9" spans="1:32" ht="19.5" customHeight="1" x14ac:dyDescent="0.25">
      <c r="A9" s="25" t="s">
        <v>26</v>
      </c>
      <c r="B9" s="25" t="s">
        <v>27</v>
      </c>
      <c r="C9" s="25" t="s">
        <v>28</v>
      </c>
      <c r="D9" s="25" t="s">
        <v>29</v>
      </c>
      <c r="E9" s="25" t="s">
        <v>30</v>
      </c>
      <c r="F9" s="25" t="s">
        <v>31</v>
      </c>
      <c r="G9" s="25" t="s">
        <v>28</v>
      </c>
      <c r="H9" s="25" t="s">
        <v>28</v>
      </c>
      <c r="I9" s="25" t="s">
        <v>28</v>
      </c>
      <c r="J9" s="26"/>
      <c r="K9" s="25" t="s">
        <v>32</v>
      </c>
      <c r="L9" s="25" t="s">
        <v>33</v>
      </c>
      <c r="M9" s="18"/>
      <c r="N9" s="26" t="s">
        <v>34</v>
      </c>
      <c r="O9" s="26" t="s">
        <v>35</v>
      </c>
      <c r="P9" s="26" t="s">
        <v>36</v>
      </c>
      <c r="Q9" s="26" t="s">
        <v>37</v>
      </c>
      <c r="R9" s="26" t="s">
        <v>38</v>
      </c>
      <c r="S9" s="26" t="s">
        <v>39</v>
      </c>
      <c r="T9" s="26" t="s">
        <v>40</v>
      </c>
      <c r="U9" s="26" t="s">
        <v>41</v>
      </c>
      <c r="V9" s="27" t="s">
        <v>42</v>
      </c>
      <c r="W9" s="25" t="s">
        <v>26</v>
      </c>
      <c r="X9" s="26" t="s">
        <v>43</v>
      </c>
      <c r="Y9" s="26" t="s">
        <v>44</v>
      </c>
      <c r="Z9" s="26" t="s">
        <v>45</v>
      </c>
      <c r="AA9" s="26" t="s">
        <v>46</v>
      </c>
      <c r="AB9" s="10" t="s">
        <v>47</v>
      </c>
      <c r="AC9" s="10" t="s">
        <v>15</v>
      </c>
      <c r="AD9" s="10" t="s">
        <v>31</v>
      </c>
      <c r="AE9" s="10" t="s">
        <v>48</v>
      </c>
      <c r="AF9" s="11"/>
    </row>
    <row r="10" spans="1:32" ht="15.75" x14ac:dyDescent="0.25">
      <c r="A10" s="28" t="s">
        <v>52</v>
      </c>
      <c r="B10" s="12" t="s">
        <v>49</v>
      </c>
      <c r="C10" s="12" t="s">
        <v>50</v>
      </c>
      <c r="D10" s="12" t="s">
        <v>51</v>
      </c>
      <c r="E10" s="12" t="s">
        <v>51</v>
      </c>
      <c r="F10" s="12" t="s">
        <v>51</v>
      </c>
      <c r="G10" s="29">
        <f>2650.65*2</f>
        <v>5301.3</v>
      </c>
      <c r="H10" s="29">
        <f>G10*(1+$H$6)</f>
        <v>5407.326</v>
      </c>
      <c r="I10" s="29">
        <f>H10*(1+$I$5)</f>
        <v>5515.4725200000003</v>
      </c>
      <c r="J10" s="12"/>
      <c r="K10" s="30">
        <v>2080</v>
      </c>
      <c r="L10" s="30">
        <v>78375.28</v>
      </c>
      <c r="M10" s="11"/>
      <c r="N10" s="31">
        <f>H10*$N$7</f>
        <v>37851.281999999999</v>
      </c>
      <c r="O10" s="31">
        <f>I10*$O$7</f>
        <v>27577.3626</v>
      </c>
      <c r="P10" s="31">
        <v>0</v>
      </c>
      <c r="Q10" s="31">
        <v>0</v>
      </c>
      <c r="R10" s="31">
        <v>0</v>
      </c>
      <c r="S10" s="31">
        <v>0</v>
      </c>
      <c r="T10" s="32">
        <v>2119.77</v>
      </c>
      <c r="U10" s="32">
        <f>SUM(N10:T10)</f>
        <v>67548.414600000004</v>
      </c>
      <c r="V10" s="33">
        <f>U10*$V$7</f>
        <v>65395.155541588603</v>
      </c>
      <c r="W10" s="28" t="s">
        <v>52</v>
      </c>
      <c r="X10" s="32">
        <f>V10*0.0765</f>
        <v>5002.7293989315276</v>
      </c>
      <c r="Y10" s="32">
        <f>IF(V10&gt;7000,7000*0.008,V10*0.008)</f>
        <v>56</v>
      </c>
      <c r="Z10" s="32">
        <f>IF(V10&gt;$Z$6,$Z$6*$Z$7,+V10*$Z$7)</f>
        <v>521.38</v>
      </c>
      <c r="AA10" s="33">
        <f>$AA$6*K10</f>
        <v>2766.2959999999998</v>
      </c>
      <c r="AB10" s="32">
        <f>V10*$AB$8</f>
        <v>4577.6608879112027</v>
      </c>
      <c r="AC10" s="32">
        <v>61.92</v>
      </c>
      <c r="AD10" s="32">
        <v>8443.4769855753802</v>
      </c>
      <c r="AE10" s="32">
        <f>SUM(X10:AD10)</f>
        <v>21429.46327241811</v>
      </c>
      <c r="AF10" s="11"/>
    </row>
    <row r="11" spans="1:32" ht="15.75" x14ac:dyDescent="0.25">
      <c r="A11" s="28" t="s">
        <v>53</v>
      </c>
      <c r="B11" s="12"/>
      <c r="C11" s="12"/>
      <c r="D11" s="12"/>
      <c r="E11" s="12"/>
      <c r="F11" s="12"/>
      <c r="G11" s="29"/>
      <c r="H11" s="29"/>
      <c r="I11" s="29"/>
      <c r="J11" s="12"/>
      <c r="K11" s="30">
        <v>0</v>
      </c>
      <c r="L11" s="30">
        <v>180000</v>
      </c>
      <c r="M11" s="11"/>
      <c r="N11" s="31">
        <v>0</v>
      </c>
      <c r="O11" s="31">
        <v>0</v>
      </c>
      <c r="P11" s="31">
        <v>0</v>
      </c>
      <c r="Q11" s="31">
        <v>0</v>
      </c>
      <c r="R11" s="31">
        <v>0</v>
      </c>
      <c r="S11" s="31">
        <v>0</v>
      </c>
      <c r="T11" s="32">
        <v>0</v>
      </c>
      <c r="U11" s="34">
        <f>L11*1.1</f>
        <v>198000.00000000003</v>
      </c>
      <c r="V11" s="34">
        <v>198000</v>
      </c>
      <c r="W11" s="28" t="s">
        <v>53</v>
      </c>
      <c r="X11" s="34">
        <v>0</v>
      </c>
      <c r="Y11" s="34">
        <v>0</v>
      </c>
      <c r="Z11" s="34">
        <v>0</v>
      </c>
      <c r="AA11" s="34">
        <v>0</v>
      </c>
      <c r="AB11" s="34">
        <v>0</v>
      </c>
      <c r="AC11" s="34">
        <v>0</v>
      </c>
      <c r="AD11" s="34">
        <v>0</v>
      </c>
      <c r="AE11" s="34">
        <f>SUM(X11:AD11)</f>
        <v>0</v>
      </c>
      <c r="AF11" s="11"/>
    </row>
    <row r="12" spans="1:32" ht="15.75" x14ac:dyDescent="0.25">
      <c r="A12" s="35" t="s">
        <v>54</v>
      </c>
      <c r="B12" s="10"/>
      <c r="C12" s="10"/>
      <c r="D12" s="10"/>
      <c r="E12" s="10"/>
      <c r="F12" s="10"/>
      <c r="G12" s="36"/>
      <c r="H12" s="36"/>
      <c r="I12" s="36"/>
      <c r="J12" s="10"/>
      <c r="K12" s="37">
        <f>SUM(K10:K11)</f>
        <v>2080</v>
      </c>
      <c r="L12" s="38">
        <f>SUM(L10:L11)</f>
        <v>258375.28</v>
      </c>
      <c r="M12" s="11"/>
      <c r="N12" s="39">
        <f>SUM(N10:N11)</f>
        <v>37851.281999999999</v>
      </c>
      <c r="O12" s="39">
        <f>SUM(O10:O11)</f>
        <v>27577.3626</v>
      </c>
      <c r="P12" s="31"/>
      <c r="Q12" s="31"/>
      <c r="R12" s="31"/>
      <c r="S12" s="31"/>
      <c r="T12" s="32"/>
      <c r="U12" s="34">
        <f>SUM(U10:U11)</f>
        <v>265548.41460000002</v>
      </c>
      <c r="V12" s="34">
        <f>SUM(V10:V11)</f>
        <v>263395.15554158861</v>
      </c>
      <c r="W12" s="35" t="s">
        <v>54</v>
      </c>
      <c r="X12" s="34">
        <f t="shared" ref="X12:AE12" si="0">SUM(X10:X11)</f>
        <v>5002.7293989315276</v>
      </c>
      <c r="Y12" s="34">
        <f t="shared" si="0"/>
        <v>56</v>
      </c>
      <c r="Z12" s="34">
        <f t="shared" si="0"/>
        <v>521.38</v>
      </c>
      <c r="AA12" s="34">
        <f t="shared" si="0"/>
        <v>2766.2959999999998</v>
      </c>
      <c r="AB12" s="34">
        <f t="shared" si="0"/>
        <v>4577.6608879112027</v>
      </c>
      <c r="AC12" s="34">
        <f>SUM(AC10:AC11)</f>
        <v>61.92</v>
      </c>
      <c r="AD12" s="34">
        <f t="shared" si="0"/>
        <v>8443.4769855753802</v>
      </c>
      <c r="AE12" s="34">
        <f t="shared" si="0"/>
        <v>21429.46327241811</v>
      </c>
      <c r="AF12" s="40"/>
    </row>
    <row r="13" spans="1:32" ht="15.75" x14ac:dyDescent="0.25">
      <c r="A13" s="11"/>
      <c r="B13" s="12"/>
      <c r="C13" s="12"/>
      <c r="D13" s="12"/>
      <c r="E13" s="12"/>
      <c r="F13" s="12"/>
      <c r="G13" s="29"/>
      <c r="H13" s="29"/>
      <c r="I13" s="29"/>
      <c r="J13" s="12"/>
      <c r="K13" s="30"/>
      <c r="L13" s="30"/>
      <c r="M13" s="11"/>
      <c r="N13" s="31"/>
      <c r="O13" s="31"/>
      <c r="P13" s="31"/>
      <c r="Q13" s="31"/>
      <c r="R13" s="31"/>
      <c r="S13" s="31"/>
      <c r="T13" s="32"/>
      <c r="U13" s="32"/>
      <c r="V13" s="32"/>
      <c r="W13" s="11"/>
      <c r="X13" s="32"/>
      <c r="Y13" s="32"/>
      <c r="Z13" s="32"/>
      <c r="AA13" s="32"/>
      <c r="AB13" s="32"/>
      <c r="AC13" s="32"/>
      <c r="AD13" s="32"/>
      <c r="AE13" s="32"/>
      <c r="AF13" s="11"/>
    </row>
    <row r="14" spans="1:32" ht="15.75" x14ac:dyDescent="0.25">
      <c r="A14" s="28" t="s">
        <v>57</v>
      </c>
      <c r="B14" s="12" t="s">
        <v>55</v>
      </c>
      <c r="C14" s="12" t="s">
        <v>56</v>
      </c>
      <c r="D14" s="12" t="s">
        <v>51</v>
      </c>
      <c r="E14" s="12" t="s">
        <v>51</v>
      </c>
      <c r="F14" s="12" t="s">
        <v>51</v>
      </c>
      <c r="G14" s="29">
        <v>31.01</v>
      </c>
      <c r="H14" s="29">
        <f t="shared" ref="H14:H16" si="1">G14*(1+$H$6)</f>
        <v>31.630200000000002</v>
      </c>
      <c r="I14" s="29">
        <f t="shared" ref="I14:I16" si="2">H14*(1+$I$5)</f>
        <v>32.262804000000003</v>
      </c>
      <c r="J14" s="12"/>
      <c r="K14" s="30">
        <v>2188</v>
      </c>
      <c r="L14" s="30">
        <v>94131.07</v>
      </c>
      <c r="M14" s="11"/>
      <c r="N14" s="31">
        <f>K14/12*$N$7*H14</f>
        <v>40370.678600000007</v>
      </c>
      <c r="O14" s="29">
        <f>K14/12*$O$7*I14</f>
        <v>29412.922980000007</v>
      </c>
      <c r="P14" s="31">
        <v>0</v>
      </c>
      <c r="Q14" s="31">
        <v>0</v>
      </c>
      <c r="R14" s="31">
        <v>0</v>
      </c>
      <c r="S14" s="31">
        <v>0</v>
      </c>
      <c r="T14" s="32">
        <v>0</v>
      </c>
      <c r="U14" s="32">
        <f>SUM(N14:T14)</f>
        <v>69783.601580000017</v>
      </c>
      <c r="V14" s="33">
        <f>U14*$V$7</f>
        <v>67559.09086245748</v>
      </c>
      <c r="W14" s="28" t="s">
        <v>57</v>
      </c>
      <c r="X14" s="32">
        <f t="shared" ref="X14:X15" si="3">V14*0.0765</f>
        <v>5168.2704509779969</v>
      </c>
      <c r="Y14" s="32">
        <f>IF(V14&gt;7000,7000*0.008,V14*0.008)</f>
        <v>56</v>
      </c>
      <c r="Z14" s="32">
        <f>IF(V14&gt;$Z$6,$Z$6*$Z$7,+V14*$Z$7)</f>
        <v>521.38</v>
      </c>
      <c r="AA14" s="32">
        <f t="shared" ref="AA14:AA15" si="4">$AA$7*K14</f>
        <v>274.37520000000001</v>
      </c>
      <c r="AB14" s="32">
        <f t="shared" ref="AB14:AB15" si="5">V14*$AB$8</f>
        <v>4729.1363603720238</v>
      </c>
      <c r="AC14" s="32">
        <v>61.92</v>
      </c>
      <c r="AD14" s="32">
        <v>10632.122974965199</v>
      </c>
      <c r="AE14" s="32">
        <f>SUM(X14:AD14)</f>
        <v>21443.204986315221</v>
      </c>
      <c r="AF14" s="11"/>
    </row>
    <row r="15" spans="1:32" ht="15.75" x14ac:dyDescent="0.25">
      <c r="A15" s="28" t="s">
        <v>58</v>
      </c>
      <c r="B15" s="12" t="s">
        <v>55</v>
      </c>
      <c r="C15" s="12" t="s">
        <v>56</v>
      </c>
      <c r="D15" s="41" t="s">
        <v>51</v>
      </c>
      <c r="E15" s="12" t="s">
        <v>51</v>
      </c>
      <c r="F15" s="12" t="s">
        <v>51</v>
      </c>
      <c r="G15" s="29">
        <v>16.22</v>
      </c>
      <c r="H15" s="29">
        <f t="shared" si="1"/>
        <v>16.5444</v>
      </c>
      <c r="I15" s="29">
        <f t="shared" si="2"/>
        <v>16.875288000000001</v>
      </c>
      <c r="J15" s="12"/>
      <c r="K15" s="30">
        <v>1997</v>
      </c>
      <c r="L15" s="30">
        <v>32431</v>
      </c>
      <c r="M15" s="11"/>
      <c r="N15" s="31">
        <f t="shared" ref="N15:N16" si="6">K15/12*$N$7*H15</f>
        <v>19272.847299999998</v>
      </c>
      <c r="O15" s="29">
        <f t="shared" ref="O15:O16" si="7">K15/12*$O$7*I15</f>
        <v>14041.64589</v>
      </c>
      <c r="P15" s="31">
        <v>0</v>
      </c>
      <c r="Q15" s="31">
        <v>0</v>
      </c>
      <c r="R15" s="31">
        <v>0</v>
      </c>
      <c r="S15" s="31">
        <v>0</v>
      </c>
      <c r="T15" s="32">
        <v>0</v>
      </c>
      <c r="U15" s="32">
        <f>SUM(N15:T15)</f>
        <v>33314.493189999994</v>
      </c>
      <c r="V15" s="33">
        <f>U15*$V$7</f>
        <v>32252.518091656941</v>
      </c>
      <c r="W15" s="28" t="s">
        <v>58</v>
      </c>
      <c r="X15" s="32">
        <f t="shared" si="3"/>
        <v>2467.3176340117561</v>
      </c>
      <c r="Y15" s="32">
        <f>IF(V15&gt;7000,7000*0.008,V15*0.008)</f>
        <v>56</v>
      </c>
      <c r="Z15" s="32">
        <f>IF(V15&gt;$Z$6,$Z$6*$Z$7,+V15*$Z$7)</f>
        <v>422.50798700070595</v>
      </c>
      <c r="AA15" s="32">
        <f t="shared" si="4"/>
        <v>250.42380000000003</v>
      </c>
      <c r="AB15" s="32">
        <f t="shared" si="5"/>
        <v>2257.676266415986</v>
      </c>
      <c r="AC15" s="32">
        <v>61.92</v>
      </c>
      <c r="AD15" s="32">
        <v>4356.1115337211304</v>
      </c>
      <c r="AE15" s="32">
        <f t="shared" ref="AE15:AE46" si="8">SUM(X15:AD15)</f>
        <v>9871.9572211495779</v>
      </c>
      <c r="AF15" s="11"/>
    </row>
    <row r="16" spans="1:32" ht="15.75" x14ac:dyDescent="0.25">
      <c r="A16" s="28" t="s">
        <v>60</v>
      </c>
      <c r="B16" s="12" t="s">
        <v>55</v>
      </c>
      <c r="C16" s="12" t="s">
        <v>56</v>
      </c>
      <c r="D16" s="12" t="s">
        <v>59</v>
      </c>
      <c r="E16" s="12" t="s">
        <v>59</v>
      </c>
      <c r="F16" s="12" t="s">
        <v>59</v>
      </c>
      <c r="G16" s="29">
        <v>13.2</v>
      </c>
      <c r="H16" s="29">
        <f t="shared" si="1"/>
        <v>13.463999999999999</v>
      </c>
      <c r="I16" s="29">
        <f t="shared" si="2"/>
        <v>13.733279999999999</v>
      </c>
      <c r="J16" s="12"/>
      <c r="K16" s="30">
        <v>76</v>
      </c>
      <c r="L16" s="30">
        <v>1005.84</v>
      </c>
      <c r="M16" s="11"/>
      <c r="N16" s="31">
        <f t="shared" si="6"/>
        <v>596.90399999999988</v>
      </c>
      <c r="O16" s="29">
        <f t="shared" si="7"/>
        <v>434.88719999999995</v>
      </c>
      <c r="P16" s="31">
        <v>0</v>
      </c>
      <c r="Q16" s="31">
        <v>0</v>
      </c>
      <c r="R16" s="31">
        <v>0</v>
      </c>
      <c r="S16" s="31">
        <v>0</v>
      </c>
      <c r="T16" s="32">
        <v>0</v>
      </c>
      <c r="U16" s="34">
        <f>SUM(N16:T16)</f>
        <v>1031.7911999999999</v>
      </c>
      <c r="V16" s="42">
        <f>U16*$V$7</f>
        <v>998.90051320971111</v>
      </c>
      <c r="W16" s="28" t="s">
        <v>60</v>
      </c>
      <c r="X16" s="43">
        <f>V16*0.0765</f>
        <v>76.415889260542897</v>
      </c>
      <c r="Y16" s="43">
        <f>IF(V16&gt;7000,7000*0.008,V16*0.008)</f>
        <v>7.9912041056776895</v>
      </c>
      <c r="Z16" s="43">
        <f>IF(V16&gt;$Z$6,$Z$6*$Z$7,+V16*$Z$7)</f>
        <v>13.085596723047216</v>
      </c>
      <c r="AA16" s="43">
        <f>$AA$7*K16</f>
        <v>9.5304000000000002</v>
      </c>
      <c r="AB16" s="34">
        <v>0</v>
      </c>
      <c r="AC16" s="34">
        <v>0</v>
      </c>
      <c r="AD16" s="34">
        <v>0</v>
      </c>
      <c r="AE16" s="34">
        <f t="shared" si="8"/>
        <v>107.02309008926781</v>
      </c>
      <c r="AF16" s="11"/>
    </row>
    <row r="17" spans="1:32" ht="15.75" x14ac:dyDescent="0.25">
      <c r="A17" s="35" t="s">
        <v>61</v>
      </c>
      <c r="B17" s="10"/>
      <c r="C17" s="10"/>
      <c r="D17" s="10"/>
      <c r="E17" s="10"/>
      <c r="F17" s="10"/>
      <c r="G17" s="36"/>
      <c r="H17" s="36"/>
      <c r="I17" s="36"/>
      <c r="J17" s="10"/>
      <c r="K17" s="37">
        <f>SUM(K14:K16)</f>
        <v>4261</v>
      </c>
      <c r="L17" s="38">
        <f>SUM(L14:L16)</f>
        <v>127567.91</v>
      </c>
      <c r="M17" s="11"/>
      <c r="N17" s="39">
        <f>SUM(N14:N16)</f>
        <v>60240.42990000001</v>
      </c>
      <c r="O17" s="39">
        <f>SUM(O14:O16)</f>
        <v>43889.45607</v>
      </c>
      <c r="P17" s="31"/>
      <c r="Q17" s="31"/>
      <c r="R17" s="31"/>
      <c r="S17" s="31"/>
      <c r="T17" s="32"/>
      <c r="U17" s="34">
        <f t="shared" ref="U17:AE17" si="9">SUM(U14:U16)</f>
        <v>104129.88597000002</v>
      </c>
      <c r="V17" s="44">
        <f>SUM(V14:V16)</f>
        <v>100810.50946732413</v>
      </c>
      <c r="W17" s="35" t="s">
        <v>61</v>
      </c>
      <c r="X17" s="34">
        <f t="shared" si="9"/>
        <v>7712.0039742502959</v>
      </c>
      <c r="Y17" s="34">
        <f t="shared" si="9"/>
        <v>119.9912041056777</v>
      </c>
      <c r="Z17" s="34">
        <f t="shared" si="9"/>
        <v>956.97358372375311</v>
      </c>
      <c r="AA17" s="34">
        <f t="shared" si="9"/>
        <v>534.32939999999996</v>
      </c>
      <c r="AB17" s="34">
        <f t="shared" si="9"/>
        <v>6986.8126267880098</v>
      </c>
      <c r="AC17" s="34">
        <f t="shared" si="9"/>
        <v>123.84</v>
      </c>
      <c r="AD17" s="34">
        <f t="shared" si="9"/>
        <v>14988.23450868633</v>
      </c>
      <c r="AE17" s="34">
        <f t="shared" si="9"/>
        <v>31422.185297554064</v>
      </c>
      <c r="AF17" s="45"/>
    </row>
    <row r="18" spans="1:32" ht="15.75" x14ac:dyDescent="0.25">
      <c r="A18" s="11"/>
      <c r="B18" s="12"/>
      <c r="C18" s="12"/>
      <c r="D18" s="12"/>
      <c r="E18" s="12"/>
      <c r="F18" s="12"/>
      <c r="G18" s="29"/>
      <c r="H18" s="29"/>
      <c r="I18" s="29"/>
      <c r="J18" s="12"/>
      <c r="K18" s="32"/>
      <c r="L18" s="32"/>
      <c r="M18" s="11"/>
      <c r="N18" s="31"/>
      <c r="O18" s="31"/>
      <c r="P18" s="31"/>
      <c r="Q18" s="31"/>
      <c r="R18" s="31"/>
      <c r="S18" s="31"/>
      <c r="T18" s="32"/>
      <c r="U18" s="32"/>
      <c r="V18" s="32"/>
      <c r="W18" s="11"/>
      <c r="X18" s="32"/>
      <c r="Y18" s="32"/>
      <c r="Z18" s="32"/>
      <c r="AA18" s="32"/>
      <c r="AB18" s="32"/>
      <c r="AC18" s="32"/>
      <c r="AD18" s="32"/>
      <c r="AE18" s="32"/>
      <c r="AF18" s="11"/>
    </row>
    <row r="19" spans="1:32" ht="15.75" x14ac:dyDescent="0.25">
      <c r="A19" s="28" t="s">
        <v>64</v>
      </c>
      <c r="B19" s="12" t="s">
        <v>49</v>
      </c>
      <c r="C19" s="12" t="s">
        <v>62</v>
      </c>
      <c r="D19" s="46" t="s">
        <v>63</v>
      </c>
      <c r="E19" s="12" t="s">
        <v>51</v>
      </c>
      <c r="F19" s="12" t="s">
        <v>51</v>
      </c>
      <c r="G19" s="29">
        <v>16.52</v>
      </c>
      <c r="H19" s="29">
        <f t="shared" ref="H19:H26" si="10">G19*(1+$H$6)</f>
        <v>16.8504</v>
      </c>
      <c r="I19" s="29">
        <f t="shared" ref="I19:I26" si="11">H19*(1+$I$5)</f>
        <v>17.187408000000001</v>
      </c>
      <c r="J19" s="12"/>
      <c r="K19" s="30">
        <v>2080</v>
      </c>
      <c r="L19" s="30">
        <v>36702.17</v>
      </c>
      <c r="M19" s="11"/>
      <c r="N19" s="31">
        <f t="shared" ref="N19" si="12">K19/12*$N$7*H19</f>
        <v>20445.152000000002</v>
      </c>
      <c r="O19" s="29">
        <f t="shared" ref="O19" si="13">K19/12*$O$7*I19</f>
        <v>14895.753600000002</v>
      </c>
      <c r="P19" s="31">
        <v>0</v>
      </c>
      <c r="Q19" s="31">
        <v>0</v>
      </c>
      <c r="R19" s="31">
        <v>0</v>
      </c>
      <c r="S19" s="31">
        <v>0</v>
      </c>
      <c r="T19" s="32">
        <v>1000</v>
      </c>
      <c r="U19" s="32">
        <f t="shared" ref="U19:U26" si="14">SUM(N19:T19)</f>
        <v>36340.905600000006</v>
      </c>
      <c r="V19" s="33">
        <f t="shared" ref="V19:V26" si="15">U19*$V$7</f>
        <v>35182.456735767541</v>
      </c>
      <c r="W19" s="28" t="s">
        <v>64</v>
      </c>
      <c r="X19" s="32">
        <f t="shared" ref="X19:X26" si="16">V19*0.0765</f>
        <v>2691.4579402862169</v>
      </c>
      <c r="Y19" s="32">
        <f t="shared" ref="Y19:Y26" si="17">IF(V19&gt;7000,7000*0.008,V19*0.008)</f>
        <v>56</v>
      </c>
      <c r="Z19" s="32">
        <f t="shared" ref="Z19:Z26" si="18">IF(V19&gt;$Z$6,$Z$6*$Z$7,+V19*$Z$7)</f>
        <v>460.89018323855481</v>
      </c>
      <c r="AA19" s="33">
        <f t="shared" ref="AA19:AA26" si="19">$AA$6*K19</f>
        <v>2766.2959999999998</v>
      </c>
      <c r="AB19" s="32">
        <f t="shared" ref="AB19:AB23" si="20">V19*$AB$8</f>
        <v>2462.7719715037279</v>
      </c>
      <c r="AC19" s="32">
        <v>61.92</v>
      </c>
      <c r="AD19" s="32">
        <v>6131.7388444680701</v>
      </c>
      <c r="AE19" s="32">
        <f t="shared" si="8"/>
        <v>14631.074939496568</v>
      </c>
      <c r="AF19" s="11"/>
    </row>
    <row r="20" spans="1:32" ht="15.75" x14ac:dyDescent="0.25">
      <c r="A20" s="28" t="s">
        <v>66</v>
      </c>
      <c r="B20" s="12" t="s">
        <v>49</v>
      </c>
      <c r="C20" s="12" t="s">
        <v>65</v>
      </c>
      <c r="D20" s="41" t="s">
        <v>51</v>
      </c>
      <c r="E20" s="12" t="s">
        <v>51</v>
      </c>
      <c r="F20" s="12" t="s">
        <v>51</v>
      </c>
      <c r="G20" s="29">
        <f>1557.66*2</f>
        <v>3115.32</v>
      </c>
      <c r="H20" s="29">
        <f t="shared" si="10"/>
        <v>3177.6264000000001</v>
      </c>
      <c r="I20" s="29">
        <f t="shared" si="11"/>
        <v>3241.1789280000003</v>
      </c>
      <c r="J20" s="12"/>
      <c r="K20" s="30">
        <v>2080</v>
      </c>
      <c r="L20" s="30">
        <v>36801.15</v>
      </c>
      <c r="M20" s="11"/>
      <c r="N20" s="31">
        <f t="shared" ref="N20:N24" si="21">H20*$N$7</f>
        <v>22243.3848</v>
      </c>
      <c r="O20" s="31">
        <f t="shared" ref="O20:O24" si="22">I20*$O$7</f>
        <v>16205.894640000002</v>
      </c>
      <c r="P20" s="31">
        <v>0</v>
      </c>
      <c r="Q20" s="31">
        <v>0</v>
      </c>
      <c r="R20" s="31">
        <v>0</v>
      </c>
      <c r="S20" s="31">
        <v>0</v>
      </c>
      <c r="T20" s="32">
        <v>0</v>
      </c>
      <c r="U20" s="32">
        <v>0</v>
      </c>
      <c r="V20" s="33">
        <f t="shared" si="15"/>
        <v>0</v>
      </c>
      <c r="W20" s="28" t="s">
        <v>66</v>
      </c>
      <c r="X20" s="32">
        <f t="shared" si="16"/>
        <v>0</v>
      </c>
      <c r="Y20" s="32">
        <f t="shared" si="17"/>
        <v>0</v>
      </c>
      <c r="Z20" s="32">
        <f t="shared" si="18"/>
        <v>0</v>
      </c>
      <c r="AA20" s="33">
        <f t="shared" si="19"/>
        <v>2766.2959999999998</v>
      </c>
      <c r="AB20" s="32">
        <f t="shared" si="20"/>
        <v>0</v>
      </c>
      <c r="AC20" s="32">
        <v>0</v>
      </c>
      <c r="AD20" s="32">
        <v>0</v>
      </c>
      <c r="AE20" s="32">
        <f t="shared" si="8"/>
        <v>2766.2959999999998</v>
      </c>
      <c r="AF20" s="11"/>
    </row>
    <row r="21" spans="1:32" ht="15.75" x14ac:dyDescent="0.25">
      <c r="A21" s="28" t="s">
        <v>67</v>
      </c>
      <c r="B21" s="12" t="s">
        <v>49</v>
      </c>
      <c r="C21" s="12" t="s">
        <v>62</v>
      </c>
      <c r="D21" s="12" t="s">
        <v>51</v>
      </c>
      <c r="E21" s="12" t="s">
        <v>51</v>
      </c>
      <c r="F21" s="12" t="s">
        <v>51</v>
      </c>
      <c r="G21" s="29">
        <f>1697.61*2</f>
        <v>3395.22</v>
      </c>
      <c r="H21" s="29">
        <f t="shared" si="10"/>
        <v>3463.1243999999997</v>
      </c>
      <c r="I21" s="29">
        <f t="shared" si="11"/>
        <v>3532.3868879999995</v>
      </c>
      <c r="J21" s="12"/>
      <c r="K21" s="30">
        <v>2080</v>
      </c>
      <c r="L21" s="30">
        <v>44954.45</v>
      </c>
      <c r="M21" s="11"/>
      <c r="N21" s="31">
        <f t="shared" si="21"/>
        <v>24241.870799999997</v>
      </c>
      <c r="O21" s="31">
        <f t="shared" si="22"/>
        <v>17661.934439999997</v>
      </c>
      <c r="P21" s="31">
        <v>0</v>
      </c>
      <c r="Q21" s="31">
        <v>0</v>
      </c>
      <c r="R21" s="31">
        <v>0</v>
      </c>
      <c r="S21" s="31">
        <v>0</v>
      </c>
      <c r="T21" s="32">
        <f>1359.23+399.53</f>
        <v>1758.76</v>
      </c>
      <c r="U21" s="32">
        <f t="shared" si="14"/>
        <v>43662.565239999996</v>
      </c>
      <c r="V21" s="33">
        <f t="shared" si="15"/>
        <v>42270.721853693358</v>
      </c>
      <c r="W21" s="28" t="s">
        <v>67</v>
      </c>
      <c r="X21" s="32">
        <f t="shared" si="16"/>
        <v>3233.710221807542</v>
      </c>
      <c r="Y21" s="32">
        <f t="shared" si="17"/>
        <v>56</v>
      </c>
      <c r="Z21" s="32">
        <f t="shared" si="18"/>
        <v>521.38</v>
      </c>
      <c r="AA21" s="33">
        <f t="shared" si="19"/>
        <v>2766.2959999999998</v>
      </c>
      <c r="AB21" s="32">
        <f t="shared" si="20"/>
        <v>2958.9505297585351</v>
      </c>
      <c r="AC21" s="32">
        <v>61.92</v>
      </c>
      <c r="AD21" s="32">
        <v>4739.81524855105</v>
      </c>
      <c r="AE21" s="32">
        <f t="shared" si="8"/>
        <v>14338.072000117128</v>
      </c>
      <c r="AF21" s="11"/>
    </row>
    <row r="22" spans="1:32" ht="15.75" x14ac:dyDescent="0.25">
      <c r="A22" s="28" t="s">
        <v>68</v>
      </c>
      <c r="B22" s="12" t="s">
        <v>49</v>
      </c>
      <c r="C22" s="12" t="s">
        <v>62</v>
      </c>
      <c r="D22" s="12" t="s">
        <v>51</v>
      </c>
      <c r="E22" s="12" t="s">
        <v>51</v>
      </c>
      <c r="F22" s="12" t="s">
        <v>51</v>
      </c>
      <c r="G22" s="29">
        <f>1557.66*2</f>
        <v>3115.32</v>
      </c>
      <c r="H22" s="29">
        <f t="shared" si="10"/>
        <v>3177.6264000000001</v>
      </c>
      <c r="I22" s="29">
        <f t="shared" si="11"/>
        <v>3241.1789280000003</v>
      </c>
      <c r="J22" s="12"/>
      <c r="K22" s="30">
        <v>2080</v>
      </c>
      <c r="L22" s="30">
        <v>41735.79</v>
      </c>
      <c r="M22" s="11"/>
      <c r="N22" s="31">
        <f t="shared" si="21"/>
        <v>22243.3848</v>
      </c>
      <c r="O22" s="31">
        <f t="shared" si="22"/>
        <v>16205.894640000002</v>
      </c>
      <c r="P22" s="31">
        <v>0</v>
      </c>
      <c r="Q22" s="31">
        <v>0</v>
      </c>
      <c r="R22" s="31">
        <v>0</v>
      </c>
      <c r="S22" s="31">
        <v>0</v>
      </c>
      <c r="T22" s="32">
        <v>1000</v>
      </c>
      <c r="U22" s="32">
        <f t="shared" si="14"/>
        <v>39449.279439999998</v>
      </c>
      <c r="V22" s="33">
        <f t="shared" si="15"/>
        <v>38191.74410323456</v>
      </c>
      <c r="W22" s="28" t="s">
        <v>68</v>
      </c>
      <c r="X22" s="32">
        <f t="shared" si="16"/>
        <v>2921.668423897444</v>
      </c>
      <c r="Y22" s="32">
        <f t="shared" si="17"/>
        <v>56</v>
      </c>
      <c r="Z22" s="32">
        <f t="shared" si="18"/>
        <v>500.31184775237273</v>
      </c>
      <c r="AA22" s="33">
        <f t="shared" si="19"/>
        <v>2766.2959999999998</v>
      </c>
      <c r="AB22" s="32">
        <f t="shared" si="20"/>
        <v>2673.4220872264195</v>
      </c>
      <c r="AC22" s="32">
        <v>61.92</v>
      </c>
      <c r="AD22" s="32">
        <v>10632.122974965199</v>
      </c>
      <c r="AE22" s="32">
        <f t="shared" si="8"/>
        <v>19611.741333841434</v>
      </c>
      <c r="AF22" s="11"/>
    </row>
    <row r="23" spans="1:32" ht="15.75" x14ac:dyDescent="0.25">
      <c r="A23" s="28" t="s">
        <v>69</v>
      </c>
      <c r="B23" s="12" t="s">
        <v>49</v>
      </c>
      <c r="C23" s="12" t="s">
        <v>62</v>
      </c>
      <c r="D23" s="12" t="s">
        <v>51</v>
      </c>
      <c r="E23" s="12" t="s">
        <v>51</v>
      </c>
      <c r="F23" s="12" t="s">
        <v>51</v>
      </c>
      <c r="G23" s="29">
        <f>1697.61*2</f>
        <v>3395.22</v>
      </c>
      <c r="H23" s="29">
        <f t="shared" si="10"/>
        <v>3463.1243999999997</v>
      </c>
      <c r="I23" s="29">
        <f t="shared" si="11"/>
        <v>3532.3868879999995</v>
      </c>
      <c r="J23" s="12"/>
      <c r="K23" s="30">
        <v>2080</v>
      </c>
      <c r="L23" s="30">
        <v>41627.660000000003</v>
      </c>
      <c r="M23" s="11"/>
      <c r="N23" s="31">
        <f t="shared" si="21"/>
        <v>24241.870799999997</v>
      </c>
      <c r="O23" s="31">
        <f t="shared" si="22"/>
        <v>17661.934439999997</v>
      </c>
      <c r="P23" s="31">
        <v>0</v>
      </c>
      <c r="Q23" s="31">
        <v>0</v>
      </c>
      <c r="R23" s="31">
        <v>0</v>
      </c>
      <c r="S23" s="31">
        <v>0</v>
      </c>
      <c r="T23" s="32">
        <f>1400.38+391.96</f>
        <v>1792.3400000000001</v>
      </c>
      <c r="U23" s="32">
        <f t="shared" si="14"/>
        <v>43696.145239999998</v>
      </c>
      <c r="V23" s="33">
        <f t="shared" si="15"/>
        <v>42303.23141496272</v>
      </c>
      <c r="W23" s="28" t="s">
        <v>69</v>
      </c>
      <c r="X23" s="32">
        <f t="shared" si="16"/>
        <v>3236.1972032446479</v>
      </c>
      <c r="Y23" s="32">
        <f t="shared" si="17"/>
        <v>56</v>
      </c>
      <c r="Z23" s="32">
        <f t="shared" si="18"/>
        <v>521.38</v>
      </c>
      <c r="AA23" s="33">
        <f t="shared" si="19"/>
        <v>2766.2959999999998</v>
      </c>
      <c r="AB23" s="32">
        <f t="shared" si="20"/>
        <v>2961.2261990473908</v>
      </c>
      <c r="AC23" s="32">
        <v>61.92</v>
      </c>
      <c r="AD23" s="32">
        <v>6131.7388444680701</v>
      </c>
      <c r="AE23" s="32">
        <f t="shared" si="8"/>
        <v>15734.75824676011</v>
      </c>
      <c r="AF23" s="11"/>
    </row>
    <row r="24" spans="1:32" ht="15.75" x14ac:dyDescent="0.25">
      <c r="A24" s="28" t="s">
        <v>72</v>
      </c>
      <c r="B24" s="12" t="s">
        <v>49</v>
      </c>
      <c r="C24" s="12" t="s">
        <v>62</v>
      </c>
      <c r="D24" s="8" t="s">
        <v>70</v>
      </c>
      <c r="E24" s="8" t="s">
        <v>71</v>
      </c>
      <c r="F24" s="8" t="s">
        <v>71</v>
      </c>
      <c r="G24" s="29">
        <f>1363.18*2</f>
        <v>2726.36</v>
      </c>
      <c r="H24" s="29">
        <f t="shared" si="10"/>
        <v>2780.8872000000001</v>
      </c>
      <c r="I24" s="29">
        <f t="shared" si="11"/>
        <v>2836.5049440000003</v>
      </c>
      <c r="J24" s="12"/>
      <c r="K24" s="30">
        <v>156</v>
      </c>
      <c r="L24" s="30">
        <v>3508.36</v>
      </c>
      <c r="M24" s="11"/>
      <c r="N24" s="31">
        <f t="shared" si="21"/>
        <v>19466.2104</v>
      </c>
      <c r="O24" s="31">
        <f t="shared" si="22"/>
        <v>14182.524720000001</v>
      </c>
      <c r="P24" s="31">
        <v>0</v>
      </c>
      <c r="Q24" s="31">
        <v>0</v>
      </c>
      <c r="R24" s="31">
        <v>0</v>
      </c>
      <c r="S24" s="31">
        <v>0</v>
      </c>
      <c r="T24" s="32">
        <v>0</v>
      </c>
      <c r="U24" s="32">
        <f t="shared" si="14"/>
        <v>33648.735119999998</v>
      </c>
      <c r="V24" s="33">
        <f t="shared" si="15"/>
        <v>32576.105301368756</v>
      </c>
      <c r="W24" s="28" t="s">
        <v>72</v>
      </c>
      <c r="X24" s="32">
        <f t="shared" si="16"/>
        <v>2492.07205555471</v>
      </c>
      <c r="Y24" s="32">
        <f t="shared" si="17"/>
        <v>56</v>
      </c>
      <c r="Z24" s="32">
        <f t="shared" si="18"/>
        <v>426.7469794479307</v>
      </c>
      <c r="AA24" s="33">
        <f t="shared" si="19"/>
        <v>207.47219999999999</v>
      </c>
      <c r="AB24" s="32">
        <v>0</v>
      </c>
      <c r="AC24" s="32">
        <v>61.92</v>
      </c>
      <c r="AD24" s="32">
        <v>10438.275858233201</v>
      </c>
      <c r="AE24" s="32">
        <f t="shared" si="8"/>
        <v>13682.487093235843</v>
      </c>
      <c r="AF24" s="11"/>
    </row>
    <row r="25" spans="1:32" ht="15.75" x14ac:dyDescent="0.25">
      <c r="A25" s="28" t="s">
        <v>74</v>
      </c>
      <c r="B25" s="12" t="s">
        <v>55</v>
      </c>
      <c r="C25" s="12" t="s">
        <v>73</v>
      </c>
      <c r="D25" s="8" t="s">
        <v>59</v>
      </c>
      <c r="E25" s="8" t="s">
        <v>59</v>
      </c>
      <c r="F25" s="8" t="s">
        <v>59</v>
      </c>
      <c r="G25" s="29">
        <v>11.54</v>
      </c>
      <c r="H25" s="29">
        <f t="shared" si="10"/>
        <v>11.770799999999999</v>
      </c>
      <c r="I25" s="29">
        <f t="shared" si="11"/>
        <v>12.006216</v>
      </c>
      <c r="J25" s="12"/>
      <c r="K25" s="30">
        <v>631</v>
      </c>
      <c r="L25" s="30">
        <v>7432.98</v>
      </c>
      <c r="M25" s="11"/>
      <c r="N25" s="31">
        <f t="shared" ref="N25:N26" si="23">K25/12*$N$7*H25</f>
        <v>4332.6352999999999</v>
      </c>
      <c r="O25" s="29">
        <f t="shared" ref="O25:O26" si="24">K25/12*$O$7*I25</f>
        <v>3156.6342900000004</v>
      </c>
      <c r="P25" s="31">
        <v>0</v>
      </c>
      <c r="Q25" s="31">
        <v>0</v>
      </c>
      <c r="R25" s="31">
        <v>0</v>
      </c>
      <c r="S25" s="31">
        <v>0</v>
      </c>
      <c r="T25" s="32">
        <v>0</v>
      </c>
      <c r="U25" s="32">
        <f t="shared" si="14"/>
        <v>7489.2695899999999</v>
      </c>
      <c r="V25" s="33">
        <f t="shared" si="15"/>
        <v>7250.5321202748037</v>
      </c>
      <c r="W25" s="28" t="s">
        <v>74</v>
      </c>
      <c r="X25" s="32">
        <f t="shared" si="16"/>
        <v>554.66570720102243</v>
      </c>
      <c r="Y25" s="32">
        <f t="shared" si="17"/>
        <v>56</v>
      </c>
      <c r="Z25" s="32">
        <f t="shared" si="18"/>
        <v>94.981970775599933</v>
      </c>
      <c r="AA25" s="33">
        <f t="shared" si="19"/>
        <v>839.19844999999998</v>
      </c>
      <c r="AB25" s="32">
        <f t="shared" ref="AB25" si="25">V25*$AB$8</f>
        <v>507.53724841923628</v>
      </c>
      <c r="AC25" s="32">
        <v>0</v>
      </c>
      <c r="AD25" s="32">
        <v>0</v>
      </c>
      <c r="AE25" s="32">
        <f t="shared" si="8"/>
        <v>2052.3833763958587</v>
      </c>
      <c r="AF25" s="11"/>
    </row>
    <row r="26" spans="1:32" ht="15.75" x14ac:dyDescent="0.25">
      <c r="A26" s="28" t="s">
        <v>78</v>
      </c>
      <c r="B26" s="12" t="s">
        <v>55</v>
      </c>
      <c r="C26" s="12" t="s">
        <v>75</v>
      </c>
      <c r="D26" s="8" t="s">
        <v>76</v>
      </c>
      <c r="E26" s="8" t="s">
        <v>77</v>
      </c>
      <c r="F26" s="8" t="s">
        <v>77</v>
      </c>
      <c r="G26" s="29">
        <v>11</v>
      </c>
      <c r="H26" s="29">
        <f t="shared" si="10"/>
        <v>11.22</v>
      </c>
      <c r="I26" s="29">
        <f t="shared" si="11"/>
        <v>11.444400000000002</v>
      </c>
      <c r="J26" s="12"/>
      <c r="K26" s="30">
        <v>1452</v>
      </c>
      <c r="L26" s="30">
        <v>16208.45</v>
      </c>
      <c r="M26" s="11"/>
      <c r="N26" s="31">
        <f t="shared" si="23"/>
        <v>9503.34</v>
      </c>
      <c r="O26" s="29">
        <f t="shared" si="24"/>
        <v>6923.862000000001</v>
      </c>
      <c r="P26" s="31">
        <v>0</v>
      </c>
      <c r="Q26" s="31">
        <v>0</v>
      </c>
      <c r="R26" s="31">
        <v>0</v>
      </c>
      <c r="S26" s="31">
        <v>0</v>
      </c>
      <c r="T26" s="32">
        <v>0</v>
      </c>
      <c r="U26" s="34">
        <f t="shared" si="14"/>
        <v>16427.202000000001</v>
      </c>
      <c r="V26" s="33">
        <f t="shared" si="15"/>
        <v>15903.547644523036</v>
      </c>
      <c r="W26" s="28" t="s">
        <v>78</v>
      </c>
      <c r="X26" s="32">
        <f t="shared" si="16"/>
        <v>1216.6213948060122</v>
      </c>
      <c r="Y26" s="32">
        <f t="shared" si="17"/>
        <v>56</v>
      </c>
      <c r="Z26" s="32">
        <f t="shared" si="18"/>
        <v>208.33647414325179</v>
      </c>
      <c r="AA26" s="33">
        <f t="shared" si="19"/>
        <v>1931.0873999999999</v>
      </c>
      <c r="AB26" s="34">
        <v>0</v>
      </c>
      <c r="AC26" s="34">
        <v>61.92</v>
      </c>
      <c r="AD26" s="32">
        <v>3836.2697408695499</v>
      </c>
      <c r="AE26" s="32">
        <f t="shared" si="8"/>
        <v>7310.2350098188144</v>
      </c>
      <c r="AF26" s="11"/>
    </row>
    <row r="27" spans="1:32" ht="15.75" x14ac:dyDescent="0.25">
      <c r="A27" s="35" t="s">
        <v>79</v>
      </c>
      <c r="B27" s="10"/>
      <c r="C27" s="10"/>
      <c r="D27" s="10"/>
      <c r="E27" s="10"/>
      <c r="F27" s="10"/>
      <c r="G27" s="36"/>
      <c r="H27" s="36"/>
      <c r="I27" s="36"/>
      <c r="J27" s="10"/>
      <c r="K27" s="37">
        <f>SUM(K19:K26)</f>
        <v>12639</v>
      </c>
      <c r="L27" s="38">
        <f>SUM(L19:L26)</f>
        <v>228971.01</v>
      </c>
      <c r="M27" s="11"/>
      <c r="N27" s="39">
        <f>SUM(N19:N26)</f>
        <v>146717.84890000001</v>
      </c>
      <c r="O27" s="39">
        <f>SUM(O19:O26)</f>
        <v>106894.43277000001</v>
      </c>
      <c r="P27" s="31"/>
      <c r="Q27" s="31"/>
      <c r="R27" s="31"/>
      <c r="S27" s="31"/>
      <c r="T27" s="32"/>
      <c r="U27" s="38">
        <f>SUM(U19:U26)</f>
        <v>220714.10222999999</v>
      </c>
      <c r="V27" s="47">
        <f>SUM(V19:V26)</f>
        <v>213678.33917382479</v>
      </c>
      <c r="W27" s="35" t="s">
        <v>79</v>
      </c>
      <c r="X27" s="38">
        <f t="shared" ref="X27:AE27" si="26">SUM(X19:X26)</f>
        <v>16346.392946797596</v>
      </c>
      <c r="Y27" s="38">
        <f t="shared" si="26"/>
        <v>392</v>
      </c>
      <c r="Z27" s="38">
        <f t="shared" si="26"/>
        <v>2734.0274553577106</v>
      </c>
      <c r="AA27" s="38">
        <f t="shared" si="26"/>
        <v>16809.23805</v>
      </c>
      <c r="AB27" s="38">
        <f t="shared" si="26"/>
        <v>11563.90803595531</v>
      </c>
      <c r="AC27" s="38">
        <f t="shared" si="26"/>
        <v>371.52000000000004</v>
      </c>
      <c r="AD27" s="38">
        <f t="shared" si="26"/>
        <v>41909.961511555142</v>
      </c>
      <c r="AE27" s="38">
        <f t="shared" si="26"/>
        <v>90127.047999665752</v>
      </c>
      <c r="AF27" s="45"/>
    </row>
    <row r="28" spans="1:32" ht="15.75" x14ac:dyDescent="0.25">
      <c r="A28" s="11"/>
      <c r="B28" s="12"/>
      <c r="C28" s="12"/>
      <c r="D28" s="12"/>
      <c r="E28" s="12"/>
      <c r="F28" s="12"/>
      <c r="G28" s="29"/>
      <c r="H28" s="29"/>
      <c r="I28" s="29"/>
      <c r="J28" s="12"/>
      <c r="K28" s="32"/>
      <c r="L28" s="32"/>
      <c r="M28" s="11"/>
      <c r="N28" s="31"/>
      <c r="O28" s="31"/>
      <c r="P28" s="31"/>
      <c r="Q28" s="31"/>
      <c r="R28" s="31"/>
      <c r="S28" s="31"/>
      <c r="T28" s="32"/>
      <c r="U28" s="32"/>
      <c r="V28" s="32"/>
      <c r="W28" s="11"/>
      <c r="X28" s="32"/>
      <c r="Y28" s="32"/>
      <c r="Z28" s="32"/>
      <c r="AA28" s="32"/>
      <c r="AB28" s="32"/>
      <c r="AC28" s="32"/>
      <c r="AD28" s="32"/>
      <c r="AE28" s="32"/>
      <c r="AF28" s="11"/>
    </row>
    <row r="29" spans="1:32" ht="17.25" customHeight="1" x14ac:dyDescent="0.25">
      <c r="A29" s="28" t="s">
        <v>81</v>
      </c>
      <c r="B29" s="12" t="s">
        <v>55</v>
      </c>
      <c r="C29" s="48" t="s">
        <v>80</v>
      </c>
      <c r="D29" s="12" t="s">
        <v>51</v>
      </c>
      <c r="E29" s="12" t="s">
        <v>51</v>
      </c>
      <c r="F29" s="12" t="s">
        <v>51</v>
      </c>
      <c r="G29" s="29">
        <v>20.64</v>
      </c>
      <c r="H29" s="29">
        <f t="shared" ref="H29:H30" si="27">G29*(1+$H$6)</f>
        <v>21.052800000000001</v>
      </c>
      <c r="I29" s="29">
        <f t="shared" ref="I29:I30" si="28">H29*(1+$I$5)</f>
        <v>21.473856000000001</v>
      </c>
      <c r="J29" s="12"/>
      <c r="K29" s="30">
        <v>2123</v>
      </c>
      <c r="L29" s="30">
        <v>67385.509999999995</v>
      </c>
      <c r="M29" s="11"/>
      <c r="N29" s="31">
        <f t="shared" ref="N29:N30" si="29">K29/12*$N$7*H29</f>
        <v>26072.1384</v>
      </c>
      <c r="O29" s="29">
        <f t="shared" ref="O29:O30" si="30">K29/12*$O$7*I29</f>
        <v>18995.415119999998</v>
      </c>
      <c r="P29" s="31">
        <v>0</v>
      </c>
      <c r="Q29" s="31">
        <v>0</v>
      </c>
      <c r="R29" s="31">
        <v>0</v>
      </c>
      <c r="S29" s="31">
        <v>4111</v>
      </c>
      <c r="T29" s="32">
        <f>1593.42+621.91</f>
        <v>2215.33</v>
      </c>
      <c r="U29" s="32">
        <f>SUM(N29:T29)</f>
        <v>51393.883520000003</v>
      </c>
      <c r="V29" s="33">
        <f>U29</f>
        <v>51393.883520000003</v>
      </c>
      <c r="W29" s="28" t="s">
        <v>81</v>
      </c>
      <c r="X29" s="32">
        <f t="shared" ref="X29:X30" si="31">V29*0.0765</f>
        <v>3931.6320892799999</v>
      </c>
      <c r="Y29" s="32">
        <f>IF(V29&gt;7000,7000*0.008,V29*0.008)</f>
        <v>56</v>
      </c>
      <c r="Z29" s="32">
        <f>IF(V29&gt;$Z$6,$Z$6*$Z$7,+V29*$Z$7)</f>
        <v>521.38</v>
      </c>
      <c r="AA29" s="33">
        <f>$AA$6*K29</f>
        <v>2823.4838500000001</v>
      </c>
      <c r="AB29" s="32">
        <f t="shared" ref="AB29:AB30" si="32">V29*$AB$8</f>
        <v>3597.5718464000006</v>
      </c>
      <c r="AC29" s="32">
        <v>61.92</v>
      </c>
      <c r="AD29" s="32">
        <v>9726.1217635088396</v>
      </c>
      <c r="AE29" s="32">
        <f t="shared" si="8"/>
        <v>20718.109549188841</v>
      </c>
      <c r="AF29" s="11"/>
    </row>
    <row r="30" spans="1:32" ht="15.75" x14ac:dyDescent="0.25">
      <c r="A30" s="28" t="s">
        <v>82</v>
      </c>
      <c r="B30" s="12" t="s">
        <v>55</v>
      </c>
      <c r="C30" s="12" t="s">
        <v>56</v>
      </c>
      <c r="D30" s="12" t="s">
        <v>51</v>
      </c>
      <c r="E30" s="12" t="s">
        <v>51</v>
      </c>
      <c r="F30" s="12" t="s">
        <v>51</v>
      </c>
      <c r="G30" s="29">
        <v>20.64</v>
      </c>
      <c r="H30" s="29">
        <f t="shared" si="27"/>
        <v>21.052800000000001</v>
      </c>
      <c r="I30" s="29">
        <f t="shared" si="28"/>
        <v>21.473856000000001</v>
      </c>
      <c r="J30" s="12"/>
      <c r="K30" s="30">
        <v>2137</v>
      </c>
      <c r="L30" s="30">
        <v>30924</v>
      </c>
      <c r="M30" s="11"/>
      <c r="N30" s="31">
        <f t="shared" si="29"/>
        <v>26244.069600000006</v>
      </c>
      <c r="O30" s="29">
        <f t="shared" si="30"/>
        <v>19120.679280000004</v>
      </c>
      <c r="P30" s="31">
        <v>0</v>
      </c>
      <c r="Q30" s="31">
        <v>0</v>
      </c>
      <c r="R30" s="31">
        <v>0</v>
      </c>
      <c r="S30" s="31">
        <v>0</v>
      </c>
      <c r="T30" s="32">
        <v>544.20000000000005</v>
      </c>
      <c r="U30" s="32">
        <f>SUM(N30:T30)</f>
        <v>45908.948880000011</v>
      </c>
      <c r="V30" s="33">
        <f>U30</f>
        <v>45908.948880000011</v>
      </c>
      <c r="W30" s="28" t="s">
        <v>82</v>
      </c>
      <c r="X30" s="43">
        <f t="shared" si="31"/>
        <v>3512.0345893200006</v>
      </c>
      <c r="Y30" s="43">
        <f>IF(V30&gt;7000,7000*0.008,V30*0.008)</f>
        <v>56</v>
      </c>
      <c r="Z30" s="43">
        <f>IF(V30&gt;$Z$6,$Z$6*$Z$7,+V30*$Z$7)</f>
        <v>521.38</v>
      </c>
      <c r="AA30" s="42">
        <f>$AA$6*K30</f>
        <v>2842.1031499999999</v>
      </c>
      <c r="AB30" s="43">
        <f t="shared" si="32"/>
        <v>3213.6264216000009</v>
      </c>
      <c r="AC30" s="32">
        <v>61.92</v>
      </c>
      <c r="AD30" s="32">
        <v>8443.3235040894506</v>
      </c>
      <c r="AE30" s="32">
        <f t="shared" si="8"/>
        <v>18650.387665009453</v>
      </c>
      <c r="AF30" s="11"/>
    </row>
    <row r="31" spans="1:32" ht="15.75" x14ac:dyDescent="0.25">
      <c r="A31" s="35" t="s">
        <v>83</v>
      </c>
      <c r="B31" s="10"/>
      <c r="C31" s="10"/>
      <c r="D31" s="10"/>
      <c r="E31" s="10"/>
      <c r="F31" s="10"/>
      <c r="G31" s="36"/>
      <c r="H31" s="36"/>
      <c r="I31" s="36"/>
      <c r="J31" s="10"/>
      <c r="K31" s="38">
        <f>SUM(K29:K30)</f>
        <v>4260</v>
      </c>
      <c r="L31" s="38">
        <f>SUM(L29:L30)</f>
        <v>98309.51</v>
      </c>
      <c r="M31" s="11"/>
      <c r="N31" s="39">
        <f>SUM(N29:N30)</f>
        <v>52316.208000000006</v>
      </c>
      <c r="O31" s="39">
        <f>SUM(O29:O30)</f>
        <v>38116.094400000002</v>
      </c>
      <c r="P31" s="31"/>
      <c r="Q31" s="31"/>
      <c r="R31" s="31"/>
      <c r="S31" s="31"/>
      <c r="T31" s="32"/>
      <c r="U31" s="38">
        <f>SUM(U29:U30)</f>
        <v>97302.832400000014</v>
      </c>
      <c r="V31" s="47">
        <f>SUM(V29:V30)</f>
        <v>97302.832400000014</v>
      </c>
      <c r="W31" s="35" t="s">
        <v>83</v>
      </c>
      <c r="X31" s="34">
        <f t="shared" ref="X31:AE31" si="33">SUM(X29:X30)</f>
        <v>7443.6666786000005</v>
      </c>
      <c r="Y31" s="34">
        <f t="shared" si="33"/>
        <v>112</v>
      </c>
      <c r="Z31" s="34">
        <f t="shared" si="33"/>
        <v>1042.76</v>
      </c>
      <c r="AA31" s="34">
        <f t="shared" si="33"/>
        <v>5665.5869999999995</v>
      </c>
      <c r="AB31" s="34">
        <f t="shared" si="33"/>
        <v>6811.1982680000019</v>
      </c>
      <c r="AC31" s="38">
        <f t="shared" si="33"/>
        <v>123.84</v>
      </c>
      <c r="AD31" s="38">
        <f t="shared" si="33"/>
        <v>18169.44526759829</v>
      </c>
      <c r="AE31" s="38">
        <f t="shared" si="33"/>
        <v>39368.497214198294</v>
      </c>
      <c r="AF31" s="45"/>
    </row>
    <row r="32" spans="1:32" ht="15.75" x14ac:dyDescent="0.25">
      <c r="A32" s="49"/>
      <c r="B32" s="12"/>
      <c r="C32" s="12"/>
      <c r="D32" s="12"/>
      <c r="E32" s="12"/>
      <c r="F32" s="12"/>
      <c r="G32" s="29"/>
      <c r="H32" s="29"/>
      <c r="I32" s="29"/>
      <c r="J32" s="12"/>
      <c r="K32" s="45"/>
      <c r="L32" s="45"/>
      <c r="M32" s="11"/>
      <c r="N32" s="31"/>
      <c r="O32" s="31"/>
      <c r="P32" s="31"/>
      <c r="Q32" s="31"/>
      <c r="R32" s="31"/>
      <c r="S32" s="31"/>
      <c r="T32" s="32"/>
      <c r="U32" s="32"/>
      <c r="V32" s="32"/>
      <c r="W32" s="49"/>
      <c r="X32" s="32"/>
      <c r="Y32" s="32"/>
      <c r="Z32" s="32"/>
      <c r="AA32" s="32"/>
      <c r="AB32" s="32"/>
      <c r="AC32" s="32"/>
      <c r="AD32" s="32"/>
      <c r="AE32" s="32"/>
      <c r="AF32" s="11"/>
    </row>
    <row r="33" spans="1:32" ht="15.6" x14ac:dyDescent="0.3">
      <c r="A33" s="28" t="s">
        <v>84</v>
      </c>
      <c r="B33" s="12" t="s">
        <v>55</v>
      </c>
      <c r="C33" s="12" t="s">
        <v>62</v>
      </c>
      <c r="D33" s="12" t="s">
        <v>59</v>
      </c>
      <c r="E33" s="12" t="s">
        <v>59</v>
      </c>
      <c r="F33" s="12" t="s">
        <v>59</v>
      </c>
      <c r="G33" s="29">
        <v>14</v>
      </c>
      <c r="H33" s="29">
        <f t="shared" ref="H33:H36" si="34">G33*(1+$H$6)</f>
        <v>14.280000000000001</v>
      </c>
      <c r="I33" s="29">
        <f t="shared" ref="I33:I36" si="35">H33*(1+$I$5)</f>
        <v>14.565600000000002</v>
      </c>
      <c r="J33" s="12"/>
      <c r="K33" s="30">
        <v>542</v>
      </c>
      <c r="L33" s="30">
        <v>8094.3</v>
      </c>
      <c r="M33" s="11"/>
      <c r="N33" s="31">
        <f t="shared" ref="N33:N36" si="36">K33/12*$N$7*H33</f>
        <v>4514.8599999999997</v>
      </c>
      <c r="O33" s="29">
        <f t="shared" ref="O33:O36" si="37">K33/12*$O$7*I33</f>
        <v>3289.3980000000001</v>
      </c>
      <c r="P33" s="31">
        <v>0</v>
      </c>
      <c r="Q33" s="31">
        <v>0</v>
      </c>
      <c r="R33" s="31">
        <v>0</v>
      </c>
      <c r="S33" s="31">
        <v>0</v>
      </c>
      <c r="T33" s="32">
        <v>0</v>
      </c>
      <c r="U33" s="32">
        <f>SUM(N33:T33)</f>
        <v>7804.2579999999998</v>
      </c>
      <c r="V33" s="33">
        <f>U33*$V$7</f>
        <v>7555.4795596444264</v>
      </c>
      <c r="W33" s="28" t="s">
        <v>84</v>
      </c>
      <c r="X33" s="32">
        <f t="shared" ref="X33:X35" si="38">V33*0.0765</f>
        <v>577.99418631279866</v>
      </c>
      <c r="Y33" s="32">
        <f>IF(V33&gt;7000,7000*0.008,V33*0.008)</f>
        <v>56</v>
      </c>
      <c r="Z33" s="32">
        <f>IF(V33&gt;$Z$6,$Z$6*$Z$7,+V33*$Z$7)</f>
        <v>98.976782231341986</v>
      </c>
      <c r="AA33" s="33">
        <f>$AA$7*K33</f>
        <v>67.966800000000006</v>
      </c>
      <c r="AB33" s="32">
        <v>0</v>
      </c>
      <c r="AC33" s="32">
        <v>0</v>
      </c>
      <c r="AD33" s="32">
        <v>0</v>
      </c>
      <c r="AE33" s="32">
        <f t="shared" si="8"/>
        <v>800.93776854414068</v>
      </c>
      <c r="AF33" s="11"/>
    </row>
    <row r="34" spans="1:32" ht="15.6" x14ac:dyDescent="0.3">
      <c r="A34" s="28" t="s">
        <v>85</v>
      </c>
      <c r="B34" s="12" t="s">
        <v>55</v>
      </c>
      <c r="C34" s="12" t="s">
        <v>62</v>
      </c>
      <c r="D34" s="12" t="s">
        <v>59</v>
      </c>
      <c r="E34" s="12" t="s">
        <v>59</v>
      </c>
      <c r="F34" s="12" t="s">
        <v>59</v>
      </c>
      <c r="G34" s="29">
        <v>12</v>
      </c>
      <c r="H34" s="29">
        <f t="shared" si="34"/>
        <v>12.24</v>
      </c>
      <c r="I34" s="29">
        <f t="shared" si="35"/>
        <v>12.4848</v>
      </c>
      <c r="J34" s="12"/>
      <c r="K34" s="30">
        <v>421</v>
      </c>
      <c r="L34" s="30">
        <v>4947.0200000000004</v>
      </c>
      <c r="M34" s="11"/>
      <c r="N34" s="31">
        <f t="shared" si="36"/>
        <v>3005.94</v>
      </c>
      <c r="O34" s="29">
        <f t="shared" si="37"/>
        <v>2190.0420000000004</v>
      </c>
      <c r="P34" s="31">
        <v>0</v>
      </c>
      <c r="Q34" s="31">
        <v>0</v>
      </c>
      <c r="R34" s="31">
        <v>0</v>
      </c>
      <c r="S34" s="31">
        <v>0</v>
      </c>
      <c r="T34" s="32">
        <v>0</v>
      </c>
      <c r="U34" s="32">
        <f>SUM(N34:T34)</f>
        <v>5195.982</v>
      </c>
      <c r="V34" s="33">
        <f>U34*$V$7</f>
        <v>5030.3482782450774</v>
      </c>
      <c r="W34" s="28" t="s">
        <v>85</v>
      </c>
      <c r="X34" s="32">
        <f t="shared" si="38"/>
        <v>384.82164328574839</v>
      </c>
      <c r="Y34" s="32">
        <f>IF(V34&gt;7000,7000*0.008,V34*0.008)</f>
        <v>40.242786225960621</v>
      </c>
      <c r="Z34" s="32">
        <f>IF(V34&gt;$Z$6,$Z$6*$Z$7,+V34*$Z$7)</f>
        <v>65.897562445010522</v>
      </c>
      <c r="AA34" s="33">
        <f>$AA$7*K34</f>
        <v>52.793400000000005</v>
      </c>
      <c r="AB34" s="32">
        <v>0</v>
      </c>
      <c r="AC34" s="32">
        <v>0</v>
      </c>
      <c r="AD34" s="32">
        <v>0</v>
      </c>
      <c r="AE34" s="32">
        <f t="shared" si="8"/>
        <v>543.75539195671956</v>
      </c>
      <c r="AF34" s="11"/>
    </row>
    <row r="35" spans="1:32" ht="15.6" x14ac:dyDescent="0.3">
      <c r="A35" s="28" t="s">
        <v>86</v>
      </c>
      <c r="B35" s="12" t="s">
        <v>55</v>
      </c>
      <c r="C35" s="12" t="s">
        <v>62</v>
      </c>
      <c r="D35" s="12" t="s">
        <v>59</v>
      </c>
      <c r="E35" s="12" t="s">
        <v>59</v>
      </c>
      <c r="F35" s="12" t="s">
        <v>59</v>
      </c>
      <c r="G35" s="29">
        <v>14</v>
      </c>
      <c r="H35" s="29">
        <f t="shared" si="34"/>
        <v>14.280000000000001</v>
      </c>
      <c r="I35" s="29">
        <f t="shared" si="35"/>
        <v>14.565600000000002</v>
      </c>
      <c r="J35" s="12"/>
      <c r="K35" s="30">
        <v>94</v>
      </c>
      <c r="L35" s="30">
        <v>1399.58</v>
      </c>
      <c r="M35" s="11"/>
      <c r="N35" s="31">
        <f t="shared" si="36"/>
        <v>783.02</v>
      </c>
      <c r="O35" s="29">
        <f t="shared" si="37"/>
        <v>570.48599999999999</v>
      </c>
      <c r="P35" s="31">
        <v>0</v>
      </c>
      <c r="Q35" s="31">
        <v>0</v>
      </c>
      <c r="R35" s="31">
        <v>0</v>
      </c>
      <c r="S35" s="31">
        <v>0</v>
      </c>
      <c r="T35" s="32">
        <v>0</v>
      </c>
      <c r="U35" s="32">
        <f>SUM(N35:T35)</f>
        <v>1353.5059999999999</v>
      </c>
      <c r="V35" s="33">
        <f>U35*$V$7</f>
        <v>1310.3599236283692</v>
      </c>
      <c r="W35" s="28" t="s">
        <v>86</v>
      </c>
      <c r="X35" s="32">
        <f t="shared" si="38"/>
        <v>100.24253415757025</v>
      </c>
      <c r="Y35" s="32">
        <f>IF(V35&gt;7000,7000*0.008,V35*0.008)</f>
        <v>10.482879389026953</v>
      </c>
      <c r="Z35" s="32">
        <f>IF(V35&gt;$Z$6,$Z$6*$Z$7,+V35*$Z$7)</f>
        <v>17.165714999531637</v>
      </c>
      <c r="AA35" s="33">
        <f>$AA$7*K35</f>
        <v>11.787600000000001</v>
      </c>
      <c r="AB35" s="32">
        <v>0</v>
      </c>
      <c r="AC35" s="32">
        <v>0</v>
      </c>
      <c r="AD35" s="32">
        <v>0</v>
      </c>
      <c r="AE35" s="32">
        <f t="shared" si="8"/>
        <v>139.67872854612884</v>
      </c>
      <c r="AF35" s="11"/>
    </row>
    <row r="36" spans="1:32" ht="15.6" x14ac:dyDescent="0.3">
      <c r="A36" s="28" t="s">
        <v>87</v>
      </c>
      <c r="B36" s="12" t="s">
        <v>55</v>
      </c>
      <c r="C36" s="12" t="s">
        <v>62</v>
      </c>
      <c r="D36" s="12" t="s">
        <v>59</v>
      </c>
      <c r="E36" s="12" t="s">
        <v>59</v>
      </c>
      <c r="F36" s="12" t="s">
        <v>59</v>
      </c>
      <c r="G36" s="29">
        <v>12</v>
      </c>
      <c r="H36" s="29">
        <f t="shared" si="34"/>
        <v>12.24</v>
      </c>
      <c r="I36" s="29">
        <f t="shared" si="35"/>
        <v>12.4848</v>
      </c>
      <c r="J36" s="12"/>
      <c r="K36" s="30">
        <v>34</v>
      </c>
      <c r="L36" s="30">
        <v>598.32000000000005</v>
      </c>
      <c r="M36" s="11"/>
      <c r="N36" s="31">
        <f t="shared" si="36"/>
        <v>242.76000000000002</v>
      </c>
      <c r="O36" s="29">
        <f t="shared" si="37"/>
        <v>176.86800000000002</v>
      </c>
      <c r="P36" s="31">
        <v>0</v>
      </c>
      <c r="Q36" s="31">
        <v>0</v>
      </c>
      <c r="R36" s="31">
        <v>0</v>
      </c>
      <c r="S36" s="31">
        <v>0</v>
      </c>
      <c r="T36" s="32">
        <v>0</v>
      </c>
      <c r="U36" s="32">
        <f>SUM(N36:T36)</f>
        <v>419.62800000000004</v>
      </c>
      <c r="V36" s="33">
        <f>U36*$V$7</f>
        <v>406.25140489390174</v>
      </c>
      <c r="W36" s="28" t="s">
        <v>87</v>
      </c>
      <c r="X36" s="32">
        <f>V36*0.0765</f>
        <v>31.078232474383483</v>
      </c>
      <c r="Y36" s="32">
        <f>IF(V36&gt;7000,7000*0.008,V36*0.008)</f>
        <v>3.2500112391512141</v>
      </c>
      <c r="Z36" s="32">
        <f>IF(V36&gt;$Z$6,$Z$6*$Z$7,+V36*$Z$7)</f>
        <v>5.3218934041101127</v>
      </c>
      <c r="AA36" s="33">
        <f>$AA$7*K36</f>
        <v>4.2636000000000003</v>
      </c>
      <c r="AB36" s="32">
        <v>0</v>
      </c>
      <c r="AC36" s="32">
        <v>0</v>
      </c>
      <c r="AD36" s="32">
        <v>0</v>
      </c>
      <c r="AE36" s="32">
        <f t="shared" si="8"/>
        <v>43.913737117644814</v>
      </c>
      <c r="AF36" s="11"/>
    </row>
    <row r="37" spans="1:32" ht="15.6" x14ac:dyDescent="0.3">
      <c r="A37" s="35" t="s">
        <v>88</v>
      </c>
      <c r="B37" s="10"/>
      <c r="C37" s="10"/>
      <c r="D37" s="10"/>
      <c r="E37" s="10"/>
      <c r="F37" s="10"/>
      <c r="G37" s="36"/>
      <c r="H37" s="36"/>
      <c r="I37" s="36"/>
      <c r="J37" s="10"/>
      <c r="K37" s="38">
        <f>SUM(K33:K36)</f>
        <v>1091</v>
      </c>
      <c r="L37" s="38">
        <f>SUM(L33:L36)</f>
        <v>15039.22</v>
      </c>
      <c r="M37" s="11"/>
      <c r="N37" s="39">
        <f>SUM(N33:N36)</f>
        <v>8546.58</v>
      </c>
      <c r="O37" s="39">
        <f>SUM(O33:O36)</f>
        <v>6226.7940000000008</v>
      </c>
      <c r="P37" s="31"/>
      <c r="Q37" s="31"/>
      <c r="R37" s="29">
        <v>0</v>
      </c>
      <c r="S37" s="31"/>
      <c r="T37" s="32"/>
      <c r="U37" s="38">
        <f>SUM(U33:U36)</f>
        <v>14773.374</v>
      </c>
      <c r="V37" s="47">
        <f>SUM(V33:V36)</f>
        <v>14302.439166411776</v>
      </c>
      <c r="W37" s="35" t="s">
        <v>88</v>
      </c>
      <c r="X37" s="38">
        <f t="shared" ref="X37:AE37" si="39">SUM(X33:X36)</f>
        <v>1094.1365962305006</v>
      </c>
      <c r="Y37" s="38">
        <f t="shared" si="39"/>
        <v>109.9756768541388</v>
      </c>
      <c r="Z37" s="38">
        <f t="shared" si="39"/>
        <v>187.36195307999427</v>
      </c>
      <c r="AA37" s="38">
        <f t="shared" si="39"/>
        <v>136.81140000000002</v>
      </c>
      <c r="AB37" s="38">
        <f t="shared" si="39"/>
        <v>0</v>
      </c>
      <c r="AC37" s="38">
        <f t="shared" si="39"/>
        <v>0</v>
      </c>
      <c r="AD37" s="38">
        <f t="shared" si="39"/>
        <v>0</v>
      </c>
      <c r="AE37" s="38">
        <f t="shared" si="39"/>
        <v>1528.2856261646341</v>
      </c>
      <c r="AF37" s="45"/>
    </row>
    <row r="38" spans="1:32" ht="15.6" x14ac:dyDescent="0.3">
      <c r="A38" s="11"/>
      <c r="B38" s="12"/>
      <c r="C38" s="12"/>
      <c r="D38" s="12"/>
      <c r="E38" s="12"/>
      <c r="F38" s="12"/>
      <c r="G38" s="29"/>
      <c r="H38" s="29"/>
      <c r="I38" s="29"/>
      <c r="J38" s="12"/>
      <c r="K38" s="30"/>
      <c r="L38" s="30"/>
      <c r="M38" s="11"/>
      <c r="N38" s="31"/>
      <c r="O38" s="31"/>
      <c r="P38" s="31"/>
      <c r="Q38" s="31"/>
      <c r="R38" s="31"/>
      <c r="S38" s="31"/>
      <c r="T38" s="32"/>
      <c r="U38" s="32"/>
      <c r="V38" s="32"/>
      <c r="W38" s="11"/>
      <c r="X38" s="32"/>
      <c r="Y38" s="32"/>
      <c r="Z38" s="32"/>
      <c r="AA38" s="32"/>
      <c r="AB38" s="32"/>
      <c r="AC38" s="32"/>
      <c r="AD38" s="32"/>
      <c r="AE38" s="32"/>
      <c r="AF38" s="11"/>
    </row>
    <row r="39" spans="1:32" ht="15.6" x14ac:dyDescent="0.3">
      <c r="A39" s="28" t="s">
        <v>89</v>
      </c>
      <c r="B39" s="12" t="s">
        <v>55</v>
      </c>
      <c r="C39" s="12" t="s">
        <v>62</v>
      </c>
      <c r="D39" s="12" t="s">
        <v>51</v>
      </c>
      <c r="E39" s="12" t="s">
        <v>51</v>
      </c>
      <c r="F39" s="12" t="s">
        <v>51</v>
      </c>
      <c r="G39" s="29">
        <v>35.53</v>
      </c>
      <c r="H39" s="29">
        <f t="shared" ref="H39:H46" si="40">G39*(1+$H$6)</f>
        <v>36.240600000000001</v>
      </c>
      <c r="I39" s="29">
        <f t="shared" ref="I39:I46" si="41">H39*(1+$I$5)</f>
        <v>36.965412000000001</v>
      </c>
      <c r="J39" s="12"/>
      <c r="K39" s="30">
        <v>2012</v>
      </c>
      <c r="L39" s="30">
        <v>78724.850000000006</v>
      </c>
      <c r="M39" s="11"/>
      <c r="N39" s="31">
        <f t="shared" ref="N39:N46" si="42">K39/12*$N$7*H39</f>
        <v>42534.384199999993</v>
      </c>
      <c r="O39" s="29">
        <f t="shared" ref="O39:O46" si="43">K39/12*$O$7*I39</f>
        <v>30989.337059999998</v>
      </c>
      <c r="P39" s="31">
        <v>0</v>
      </c>
      <c r="Q39" s="31">
        <v>0</v>
      </c>
      <c r="R39" s="31">
        <v>0</v>
      </c>
      <c r="S39" s="31">
        <v>0</v>
      </c>
      <c r="T39" s="32">
        <v>2119.77</v>
      </c>
      <c r="U39" s="32">
        <f t="shared" ref="U39:U46" si="44">SUM(N39:T39)</f>
        <v>75643.491259999995</v>
      </c>
      <c r="V39" s="33">
        <f t="shared" ref="V39:V46" si="45">U39*$V$7</f>
        <v>73232.183256252145</v>
      </c>
      <c r="W39" s="28" t="s">
        <v>89</v>
      </c>
      <c r="X39" s="32">
        <f t="shared" ref="X39:X46" si="46">V39*0.0765</f>
        <v>5602.2620191032893</v>
      </c>
      <c r="Y39" s="32">
        <f t="shared" ref="Y39:Y46" si="47">IF(V39&gt;7000,7000*0.008,V39*0.008)</f>
        <v>56</v>
      </c>
      <c r="Z39" s="32">
        <f t="shared" ref="Z39:Z46" si="48">IF(V39&gt;$Z$6,$Z$6*$Z$7,+V39*$Z$7)</f>
        <v>521.38</v>
      </c>
      <c r="AA39" s="32">
        <f t="shared" ref="AA39:AA46" si="49">$AA$6*K39</f>
        <v>2675.8593999999998</v>
      </c>
      <c r="AB39" s="50">
        <f t="shared" ref="AB39:AB40" si="50">V39*$AB$8</f>
        <v>5126.2528279376502</v>
      </c>
      <c r="AC39" s="32">
        <v>61.92</v>
      </c>
      <c r="AD39" s="32">
        <v>9727.19613391036</v>
      </c>
      <c r="AE39" s="32">
        <f t="shared" ref="AE39:AE44" si="51">SUM(X39:AD39)</f>
        <v>23770.870380951299</v>
      </c>
      <c r="AF39" s="11"/>
    </row>
    <row r="40" spans="1:32" ht="15.6" x14ac:dyDescent="0.3">
      <c r="A40" s="28" t="s">
        <v>90</v>
      </c>
      <c r="B40" s="12" t="s">
        <v>55</v>
      </c>
      <c r="C40" s="12" t="s">
        <v>62</v>
      </c>
      <c r="D40" s="12" t="s">
        <v>51</v>
      </c>
      <c r="E40" s="12" t="s">
        <v>51</v>
      </c>
      <c r="F40" s="12" t="s">
        <v>51</v>
      </c>
      <c r="G40" s="29">
        <v>26.58</v>
      </c>
      <c r="H40" s="29">
        <f t="shared" si="40"/>
        <v>27.111599999999999</v>
      </c>
      <c r="I40" s="29">
        <f t="shared" si="41"/>
        <v>27.653832000000001</v>
      </c>
      <c r="J40" s="12"/>
      <c r="K40" s="30">
        <v>2003</v>
      </c>
      <c r="L40" s="30">
        <v>58804.42</v>
      </c>
      <c r="M40" s="11"/>
      <c r="N40" s="31">
        <f t="shared" si="42"/>
        <v>31677.645299999996</v>
      </c>
      <c r="O40" s="29">
        <f t="shared" si="43"/>
        <v>23079.42729</v>
      </c>
      <c r="P40" s="31">
        <v>0</v>
      </c>
      <c r="Q40" s="31">
        <v>0</v>
      </c>
      <c r="R40" s="31">
        <v>0</v>
      </c>
      <c r="S40" s="31">
        <v>0</v>
      </c>
      <c r="T40" s="32">
        <v>0</v>
      </c>
      <c r="U40" s="32">
        <f t="shared" si="44"/>
        <v>54757.072589999996</v>
      </c>
      <c r="V40" s="33">
        <f t="shared" si="45"/>
        <v>53011.566596044249</v>
      </c>
      <c r="W40" s="28" t="s">
        <v>90</v>
      </c>
      <c r="X40" s="32">
        <f t="shared" si="46"/>
        <v>4055.3848445973849</v>
      </c>
      <c r="Y40" s="32">
        <f t="shared" si="47"/>
        <v>56</v>
      </c>
      <c r="Z40" s="32">
        <f t="shared" si="48"/>
        <v>521.38</v>
      </c>
      <c r="AA40" s="32">
        <f t="shared" si="49"/>
        <v>2663.88985</v>
      </c>
      <c r="AB40" s="50">
        <f t="shared" si="50"/>
        <v>3710.8096617230976</v>
      </c>
      <c r="AC40" s="32">
        <v>61.92</v>
      </c>
      <c r="AD40" s="32">
        <v>8378.2559999999994</v>
      </c>
      <c r="AE40" s="32">
        <f t="shared" si="51"/>
        <v>19447.640356320484</v>
      </c>
      <c r="AF40" s="11"/>
    </row>
    <row r="41" spans="1:32" ht="15.6" x14ac:dyDescent="0.3">
      <c r="A41" s="28" t="s">
        <v>93</v>
      </c>
      <c r="B41" s="12" t="s">
        <v>55</v>
      </c>
      <c r="C41" s="12" t="s">
        <v>91</v>
      </c>
      <c r="D41" s="12" t="s">
        <v>92</v>
      </c>
      <c r="E41" s="12" t="s">
        <v>51</v>
      </c>
      <c r="F41" s="12" t="s">
        <v>51</v>
      </c>
      <c r="G41" s="29">
        <v>10.33</v>
      </c>
      <c r="H41" s="29">
        <f t="shared" si="40"/>
        <v>10.5366</v>
      </c>
      <c r="I41" s="29">
        <f t="shared" si="41"/>
        <v>10.747332</v>
      </c>
      <c r="J41" s="12"/>
      <c r="K41" s="30">
        <v>127</v>
      </c>
      <c r="L41" s="30">
        <v>1268.02</v>
      </c>
      <c r="M41" s="11"/>
      <c r="N41" s="31">
        <f t="shared" si="42"/>
        <v>780.58645000000013</v>
      </c>
      <c r="O41" s="29">
        <f t="shared" si="43"/>
        <v>568.712985</v>
      </c>
      <c r="P41" s="31">
        <v>0</v>
      </c>
      <c r="Q41" s="31">
        <v>0</v>
      </c>
      <c r="R41" s="31">
        <v>0</v>
      </c>
      <c r="S41" s="31">
        <v>0</v>
      </c>
      <c r="T41" s="32">
        <v>0</v>
      </c>
      <c r="U41" s="32">
        <f t="shared" si="44"/>
        <v>1349.2994350000001</v>
      </c>
      <c r="V41" s="33">
        <f t="shared" si="45"/>
        <v>1306.2874524371534</v>
      </c>
      <c r="W41" s="28" t="s">
        <v>93</v>
      </c>
      <c r="X41" s="32">
        <f t="shared" si="46"/>
        <v>99.930990111442242</v>
      </c>
      <c r="Y41" s="32">
        <f t="shared" si="47"/>
        <v>10.450299619497228</v>
      </c>
      <c r="Z41" s="32">
        <f t="shared" si="48"/>
        <v>17.11236562692671</v>
      </c>
      <c r="AA41" s="32">
        <f t="shared" si="49"/>
        <v>168.90365</v>
      </c>
      <c r="AB41" s="32">
        <v>0</v>
      </c>
      <c r="AC41" s="32">
        <v>61.92</v>
      </c>
      <c r="AD41" s="32">
        <v>0</v>
      </c>
      <c r="AE41" s="32">
        <f t="shared" si="51"/>
        <v>358.31730535786619</v>
      </c>
      <c r="AF41" s="11"/>
    </row>
    <row r="42" spans="1:32" ht="15.6" x14ac:dyDescent="0.3">
      <c r="A42" s="28" t="s">
        <v>95</v>
      </c>
      <c r="B42" s="12" t="s">
        <v>55</v>
      </c>
      <c r="C42" s="12" t="s">
        <v>62</v>
      </c>
      <c r="D42" s="8" t="s">
        <v>94</v>
      </c>
      <c r="E42" s="12" t="s">
        <v>51</v>
      </c>
      <c r="F42" s="12" t="s">
        <v>51</v>
      </c>
      <c r="G42" s="29">
        <v>14.46</v>
      </c>
      <c r="H42" s="29">
        <f t="shared" si="40"/>
        <v>14.749200000000002</v>
      </c>
      <c r="I42" s="29">
        <f t="shared" si="41"/>
        <v>15.044184000000001</v>
      </c>
      <c r="J42" s="12"/>
      <c r="K42" s="30">
        <v>2051</v>
      </c>
      <c r="L42" s="30">
        <v>32179.37</v>
      </c>
      <c r="M42" s="11"/>
      <c r="N42" s="31">
        <f t="shared" si="42"/>
        <v>17646.188699999999</v>
      </c>
      <c r="O42" s="29">
        <f t="shared" si="43"/>
        <v>12856.50891</v>
      </c>
      <c r="P42" s="31">
        <v>0</v>
      </c>
      <c r="Q42" s="31">
        <v>0</v>
      </c>
      <c r="R42" s="31">
        <v>0</v>
      </c>
      <c r="S42" s="31">
        <v>0</v>
      </c>
      <c r="T42" s="32">
        <v>0</v>
      </c>
      <c r="U42" s="32">
        <f t="shared" si="44"/>
        <v>30502.697609999999</v>
      </c>
      <c r="V42" s="33">
        <f t="shared" si="45"/>
        <v>29530.354878884053</v>
      </c>
      <c r="W42" s="28" t="s">
        <v>95</v>
      </c>
      <c r="X42" s="32">
        <f t="shared" si="46"/>
        <v>2259.0721482346298</v>
      </c>
      <c r="Y42" s="32">
        <f t="shared" si="47"/>
        <v>56</v>
      </c>
      <c r="Z42" s="32">
        <f t="shared" si="48"/>
        <v>386.84764891338108</v>
      </c>
      <c r="AA42" s="32">
        <f t="shared" si="49"/>
        <v>2727.7274499999999</v>
      </c>
      <c r="AB42" s="50">
        <f t="shared" ref="AB42" si="52">V42*$AB$8</f>
        <v>2067.1248415218838</v>
      </c>
      <c r="AC42" s="32">
        <v>61.92</v>
      </c>
      <c r="AD42" s="32">
        <v>5207.6565342891799</v>
      </c>
      <c r="AE42" s="32">
        <f t="shared" si="51"/>
        <v>12766.348622959074</v>
      </c>
      <c r="AF42" s="11"/>
    </row>
    <row r="43" spans="1:32" ht="15.6" x14ac:dyDescent="0.3">
      <c r="A43" s="28" t="s">
        <v>96</v>
      </c>
      <c r="B43" s="12" t="s">
        <v>55</v>
      </c>
      <c r="C43" s="12" t="s">
        <v>62</v>
      </c>
      <c r="D43" s="8" t="s">
        <v>76</v>
      </c>
      <c r="E43" s="12" t="s">
        <v>51</v>
      </c>
      <c r="F43" s="12" t="s">
        <v>51</v>
      </c>
      <c r="G43" s="29">
        <v>14.46</v>
      </c>
      <c r="H43" s="29">
        <f t="shared" si="40"/>
        <v>14.749200000000002</v>
      </c>
      <c r="I43" s="29">
        <f t="shared" si="41"/>
        <v>15.044184000000001</v>
      </c>
      <c r="J43" s="12"/>
      <c r="K43" s="30">
        <v>1383</v>
      </c>
      <c r="L43" s="30">
        <v>19764.75</v>
      </c>
      <c r="M43" s="11"/>
      <c r="N43" s="31">
        <f t="shared" si="42"/>
        <v>11898.917100000002</v>
      </c>
      <c r="O43" s="29">
        <f t="shared" si="43"/>
        <v>8669.2110300000004</v>
      </c>
      <c r="P43" s="31">
        <v>0</v>
      </c>
      <c r="Q43" s="31">
        <v>0</v>
      </c>
      <c r="R43" s="31">
        <v>0</v>
      </c>
      <c r="S43" s="31">
        <v>0</v>
      </c>
      <c r="T43" s="32">
        <v>0</v>
      </c>
      <c r="U43" s="32">
        <f t="shared" si="44"/>
        <v>20568.128130000005</v>
      </c>
      <c r="V43" s="33">
        <f t="shared" si="45"/>
        <v>19912.472353728259</v>
      </c>
      <c r="W43" s="28" t="s">
        <v>96</v>
      </c>
      <c r="X43" s="32">
        <f t="shared" si="46"/>
        <v>1523.3041350602118</v>
      </c>
      <c r="Y43" s="32">
        <f t="shared" si="47"/>
        <v>56</v>
      </c>
      <c r="Z43" s="32">
        <f t="shared" si="48"/>
        <v>260.8533878338402</v>
      </c>
      <c r="AA43" s="32">
        <f t="shared" si="49"/>
        <v>1839.3208500000001</v>
      </c>
      <c r="AB43" s="32">
        <v>0</v>
      </c>
      <c r="AC43" s="32">
        <v>61.92</v>
      </c>
      <c r="AD43" s="32">
        <v>5207.6565342891799</v>
      </c>
      <c r="AE43" s="32">
        <f t="shared" si="51"/>
        <v>8949.054907183232</v>
      </c>
      <c r="AF43" s="11"/>
    </row>
    <row r="44" spans="1:32" ht="15.6" x14ac:dyDescent="0.3">
      <c r="A44" s="28" t="s">
        <v>99</v>
      </c>
      <c r="B44" s="12" t="s">
        <v>55</v>
      </c>
      <c r="C44" s="12" t="s">
        <v>62</v>
      </c>
      <c r="D44" s="8" t="s">
        <v>97</v>
      </c>
      <c r="E44" s="46" t="s">
        <v>98</v>
      </c>
      <c r="F44" s="46" t="s">
        <v>98</v>
      </c>
      <c r="G44" s="29">
        <v>11</v>
      </c>
      <c r="H44" s="29">
        <f t="shared" si="40"/>
        <v>11.22</v>
      </c>
      <c r="I44" s="29">
        <f t="shared" si="41"/>
        <v>11.444400000000002</v>
      </c>
      <c r="J44" s="12"/>
      <c r="K44" s="30">
        <v>526</v>
      </c>
      <c r="L44" s="30">
        <v>6005.53</v>
      </c>
      <c r="M44" s="11"/>
      <c r="N44" s="31">
        <f t="shared" si="42"/>
        <v>3442.6700000000005</v>
      </c>
      <c r="O44" s="29">
        <f t="shared" si="43"/>
        <v>2508.2310000000007</v>
      </c>
      <c r="P44" s="31">
        <v>0</v>
      </c>
      <c r="Q44" s="31">
        <v>0</v>
      </c>
      <c r="R44" s="31">
        <v>0</v>
      </c>
      <c r="S44" s="31">
        <v>0</v>
      </c>
      <c r="T44" s="32">
        <v>0</v>
      </c>
      <c r="U44" s="32">
        <f t="shared" si="44"/>
        <v>5950.9010000000017</v>
      </c>
      <c r="V44" s="33">
        <f t="shared" si="45"/>
        <v>5761.2025213630295</v>
      </c>
      <c r="W44" s="28" t="s">
        <v>99</v>
      </c>
      <c r="X44" s="32">
        <f t="shared" si="46"/>
        <v>440.73199288427173</v>
      </c>
      <c r="Y44" s="32">
        <f t="shared" si="47"/>
        <v>46.08962017090424</v>
      </c>
      <c r="Z44" s="32">
        <f t="shared" si="48"/>
        <v>75.471753029855691</v>
      </c>
      <c r="AA44" s="32">
        <f t="shared" si="49"/>
        <v>699.55369999999994</v>
      </c>
      <c r="AB44" s="32">
        <v>0</v>
      </c>
      <c r="AC44" s="32">
        <v>61.92</v>
      </c>
      <c r="AD44" s="32">
        <v>9727.19613391036</v>
      </c>
      <c r="AE44" s="32">
        <f t="shared" si="51"/>
        <v>11050.963199995393</v>
      </c>
      <c r="AF44" s="11"/>
    </row>
    <row r="45" spans="1:32" ht="15.6" x14ac:dyDescent="0.3">
      <c r="A45" s="28" t="s">
        <v>101</v>
      </c>
      <c r="B45" s="12" t="s">
        <v>55</v>
      </c>
      <c r="C45" s="12" t="s">
        <v>100</v>
      </c>
      <c r="D45" s="12" t="s">
        <v>59</v>
      </c>
      <c r="E45" s="12" t="s">
        <v>59</v>
      </c>
      <c r="F45" s="12" t="s">
        <v>59</v>
      </c>
      <c r="G45" s="29">
        <v>15</v>
      </c>
      <c r="H45" s="29">
        <f t="shared" si="40"/>
        <v>15.3</v>
      </c>
      <c r="I45" s="29">
        <f t="shared" si="41"/>
        <v>15.606000000000002</v>
      </c>
      <c r="J45" s="12"/>
      <c r="K45" s="30">
        <v>901</v>
      </c>
      <c r="L45" s="30">
        <v>14098.91</v>
      </c>
      <c r="M45" s="11"/>
      <c r="N45" s="31">
        <f t="shared" si="42"/>
        <v>8041.4249999999993</v>
      </c>
      <c r="O45" s="29">
        <f t="shared" si="43"/>
        <v>5858.7524999999996</v>
      </c>
      <c r="P45" s="31">
        <v>0</v>
      </c>
      <c r="Q45" s="31">
        <v>0</v>
      </c>
      <c r="R45" s="31">
        <v>0</v>
      </c>
      <c r="S45" s="31">
        <v>0</v>
      </c>
      <c r="T45" s="32">
        <v>0</v>
      </c>
      <c r="U45" s="32">
        <v>0</v>
      </c>
      <c r="V45" s="33">
        <f t="shared" si="45"/>
        <v>0</v>
      </c>
      <c r="W45" s="28" t="s">
        <v>101</v>
      </c>
      <c r="X45" s="32">
        <f t="shared" si="46"/>
        <v>0</v>
      </c>
      <c r="Y45" s="32">
        <f t="shared" si="47"/>
        <v>0</v>
      </c>
      <c r="Z45" s="32">
        <f t="shared" si="48"/>
        <v>0</v>
      </c>
      <c r="AA45" s="32">
        <f t="shared" si="49"/>
        <v>1198.28495</v>
      </c>
      <c r="AB45" s="32">
        <f>V45*$AB$8</f>
        <v>0</v>
      </c>
      <c r="AC45" s="32">
        <v>61.92</v>
      </c>
      <c r="AD45" s="32">
        <v>0</v>
      </c>
      <c r="AE45" s="32">
        <f t="shared" si="8"/>
        <v>1260.2049500000001</v>
      </c>
      <c r="AF45" s="11"/>
    </row>
    <row r="46" spans="1:32" ht="15.6" x14ac:dyDescent="0.3">
      <c r="A46" s="28" t="s">
        <v>102</v>
      </c>
      <c r="B46" s="12" t="s">
        <v>55</v>
      </c>
      <c r="C46" s="12" t="s">
        <v>62</v>
      </c>
      <c r="D46" s="12" t="s">
        <v>51</v>
      </c>
      <c r="E46" s="12" t="s">
        <v>51</v>
      </c>
      <c r="F46" s="12" t="s">
        <v>51</v>
      </c>
      <c r="G46" s="29">
        <v>15.5</v>
      </c>
      <c r="H46" s="29">
        <f t="shared" si="40"/>
        <v>15.81</v>
      </c>
      <c r="I46" s="29">
        <f t="shared" si="41"/>
        <v>16.126200000000001</v>
      </c>
      <c r="J46" s="12"/>
      <c r="K46" s="30">
        <v>2049</v>
      </c>
      <c r="L46" s="30">
        <v>34056.07</v>
      </c>
      <c r="M46" s="11"/>
      <c r="N46" s="31">
        <f t="shared" si="42"/>
        <v>18896.9025</v>
      </c>
      <c r="O46" s="29">
        <f t="shared" si="43"/>
        <v>13767.743250000001</v>
      </c>
      <c r="P46" s="31">
        <v>0</v>
      </c>
      <c r="Q46" s="31">
        <v>0</v>
      </c>
      <c r="R46" s="31">
        <v>0</v>
      </c>
      <c r="S46" s="31">
        <v>0</v>
      </c>
      <c r="T46" s="32">
        <f>126.57+305.94</f>
        <v>432.51</v>
      </c>
      <c r="U46" s="34">
        <f t="shared" si="44"/>
        <v>33097.155750000005</v>
      </c>
      <c r="V46" s="33">
        <f t="shared" si="45"/>
        <v>32042.108775939116</v>
      </c>
      <c r="W46" s="28" t="s">
        <v>102</v>
      </c>
      <c r="X46" s="32">
        <f t="shared" si="46"/>
        <v>2451.2213213593423</v>
      </c>
      <c r="Y46" s="32">
        <f t="shared" si="47"/>
        <v>56</v>
      </c>
      <c r="Z46" s="32">
        <f t="shared" si="48"/>
        <v>419.75162496480243</v>
      </c>
      <c r="AA46" s="32">
        <f t="shared" si="49"/>
        <v>2725.0675499999998</v>
      </c>
      <c r="AB46" s="32">
        <f>V46*$AB$8</f>
        <v>2242.9476143157385</v>
      </c>
      <c r="AC46" s="34">
        <v>61.92</v>
      </c>
      <c r="AD46" s="32">
        <v>4356.1115337211304</v>
      </c>
      <c r="AE46" s="32">
        <f t="shared" si="8"/>
        <v>12313.019644361013</v>
      </c>
      <c r="AF46" s="11"/>
    </row>
    <row r="47" spans="1:32" ht="15.6" x14ac:dyDescent="0.3">
      <c r="A47" s="35" t="s">
        <v>103</v>
      </c>
      <c r="B47" s="10"/>
      <c r="C47" s="10"/>
      <c r="D47" s="10"/>
      <c r="E47" s="10"/>
      <c r="F47" s="10"/>
      <c r="G47" s="36"/>
      <c r="H47" s="10"/>
      <c r="I47" s="10"/>
      <c r="J47" s="10"/>
      <c r="K47" s="38">
        <f>SUM(K39:K46)</f>
        <v>11052</v>
      </c>
      <c r="L47" s="38">
        <f>SUM(L39:L46)</f>
        <v>244901.92</v>
      </c>
      <c r="M47" s="11"/>
      <c r="N47" s="39">
        <f>SUM(N39:N46)</f>
        <v>134918.71924999999</v>
      </c>
      <c r="O47" s="39">
        <f>SUM(O39:O46)</f>
        <v>98297.924025</v>
      </c>
      <c r="P47" s="31"/>
      <c r="Q47" s="31"/>
      <c r="R47" s="31"/>
      <c r="S47" s="31"/>
      <c r="T47" s="32">
        <v>0</v>
      </c>
      <c r="U47" s="38">
        <f t="shared" ref="U47:AE47" si="53">SUM(U39:U46)</f>
        <v>221868.74577500002</v>
      </c>
      <c r="V47" s="47">
        <f>SUM(V39:V46)</f>
        <v>214796.17583464802</v>
      </c>
      <c r="W47" s="35" t="s">
        <v>103</v>
      </c>
      <c r="X47" s="38">
        <f t="shared" si="53"/>
        <v>16431.907451350573</v>
      </c>
      <c r="Y47" s="38">
        <f t="shared" si="53"/>
        <v>336.53991979040148</v>
      </c>
      <c r="Z47" s="38">
        <f t="shared" si="53"/>
        <v>2202.7967803688061</v>
      </c>
      <c r="AA47" s="38">
        <f t="shared" si="53"/>
        <v>14698.607399999999</v>
      </c>
      <c r="AB47" s="38">
        <f t="shared" si="53"/>
        <v>13147.13494549837</v>
      </c>
      <c r="AC47" s="38">
        <f t="shared" si="53"/>
        <v>495.36000000000007</v>
      </c>
      <c r="AD47" s="38">
        <f t="shared" si="53"/>
        <v>42604.07287012021</v>
      </c>
      <c r="AE47" s="38">
        <f t="shared" si="53"/>
        <v>89916.419367128357</v>
      </c>
      <c r="AF47" s="45"/>
    </row>
    <row r="48" spans="1:32" ht="16.2" thickBot="1" x14ac:dyDescent="0.35">
      <c r="A48" s="35"/>
      <c r="B48" s="10"/>
      <c r="C48" s="10"/>
      <c r="D48" s="10"/>
      <c r="E48" s="10"/>
      <c r="F48" s="10"/>
      <c r="G48" s="36"/>
      <c r="H48" s="10"/>
      <c r="I48" s="10"/>
      <c r="J48" s="10"/>
      <c r="K48" s="45"/>
      <c r="L48" s="45"/>
      <c r="M48" s="11"/>
      <c r="N48" s="51"/>
      <c r="O48" s="51"/>
      <c r="P48" s="31"/>
      <c r="Q48" s="31"/>
      <c r="R48" s="31"/>
      <c r="S48" s="31"/>
      <c r="T48" s="32"/>
      <c r="U48" s="45"/>
      <c r="V48" s="45"/>
      <c r="W48" s="35"/>
      <c r="X48" s="45"/>
      <c r="Y48" s="45"/>
      <c r="Z48" s="45"/>
      <c r="AA48" s="45"/>
      <c r="AB48" s="45"/>
      <c r="AC48" s="45"/>
      <c r="AD48" s="45"/>
      <c r="AE48" s="45"/>
      <c r="AF48" s="45"/>
    </row>
    <row r="49" spans="1:32" ht="15.6" x14ac:dyDescent="0.3">
      <c r="A49" s="35" t="s">
        <v>104</v>
      </c>
      <c r="B49" s="10"/>
      <c r="C49" s="10"/>
      <c r="D49" s="10"/>
      <c r="E49" s="10"/>
      <c r="F49" s="10"/>
      <c r="G49" s="36"/>
      <c r="H49" s="10"/>
      <c r="I49" s="10"/>
      <c r="J49" s="10"/>
      <c r="K49" s="45">
        <v>2225.4501950509498</v>
      </c>
      <c r="L49" s="52">
        <v>99043.2787066975</v>
      </c>
      <c r="M49" s="53"/>
      <c r="N49" s="31">
        <f>+L49*1.02*0.583333333333333</f>
        <v>58930.750830484983</v>
      </c>
      <c r="O49" s="31">
        <f>+L49*1.02*1.02/12*5</f>
        <v>42935.261319353369</v>
      </c>
      <c r="P49" s="31">
        <v>0</v>
      </c>
      <c r="Q49" s="31">
        <v>0</v>
      </c>
      <c r="R49" s="31">
        <v>0</v>
      </c>
      <c r="S49" s="31">
        <v>0</v>
      </c>
      <c r="T49" s="32">
        <v>0</v>
      </c>
      <c r="U49" s="32">
        <f>SUM(N49:T49)</f>
        <v>101866.01214983835</v>
      </c>
      <c r="V49" s="33">
        <f>U49*$V$7</f>
        <v>98618.80176444634</v>
      </c>
      <c r="W49" s="35" t="s">
        <v>104</v>
      </c>
      <c r="X49" s="32">
        <f>V49*0.0765</f>
        <v>7544.3383349801452</v>
      </c>
      <c r="Y49" s="32">
        <f>IF(V49&gt;7000,7000*0.008,V49*0.008)</f>
        <v>56</v>
      </c>
      <c r="Z49" s="32">
        <f>IF(V49&gt;$Z$6,$Z$6*$Z$7,+V49*$Z$7)</f>
        <v>521.38</v>
      </c>
      <c r="AA49" s="54">
        <v>2468.7934476666401</v>
      </c>
      <c r="AB49" s="32">
        <f>V49*$AB$8</f>
        <v>6903.3161235112448</v>
      </c>
      <c r="AC49" s="32">
        <v>0</v>
      </c>
      <c r="AD49" s="32">
        <v>0</v>
      </c>
      <c r="AE49" s="32">
        <f>SUM(X49:AD49)</f>
        <v>17493.827906158029</v>
      </c>
      <c r="AF49" s="45"/>
    </row>
    <row r="50" spans="1:32" ht="16.2" thickBot="1" x14ac:dyDescent="0.35">
      <c r="A50" s="35"/>
      <c r="B50" s="10"/>
      <c r="C50" s="10"/>
      <c r="D50" s="10"/>
      <c r="E50" s="10"/>
      <c r="F50" s="10"/>
      <c r="G50" s="36"/>
      <c r="H50" s="10"/>
      <c r="I50" s="10"/>
      <c r="J50" s="10"/>
      <c r="K50" s="45"/>
      <c r="L50" s="55" t="s">
        <v>105</v>
      </c>
      <c r="M50" s="56"/>
      <c r="N50" s="29"/>
      <c r="O50" s="31"/>
      <c r="P50" s="31"/>
      <c r="Q50" s="31"/>
      <c r="R50" s="31"/>
      <c r="S50" s="57"/>
      <c r="T50" s="11"/>
      <c r="U50" s="32"/>
      <c r="V50" s="32"/>
      <c r="W50" s="35"/>
      <c r="X50" s="32"/>
      <c r="Y50" s="32"/>
      <c r="Z50" s="32"/>
      <c r="AA50" s="32"/>
      <c r="AB50" s="45"/>
      <c r="AC50" s="45"/>
      <c r="AD50" s="45"/>
      <c r="AE50" s="45"/>
      <c r="AF50" s="11"/>
    </row>
    <row r="51" spans="1:32" ht="16.2" thickBot="1" x14ac:dyDescent="0.35">
      <c r="A51" s="11"/>
      <c r="B51" s="12"/>
      <c r="C51" s="12"/>
      <c r="D51" s="12"/>
      <c r="E51" s="12"/>
      <c r="F51" s="12"/>
      <c r="G51" s="29"/>
      <c r="H51" s="12"/>
      <c r="I51" s="12"/>
      <c r="J51" s="12"/>
      <c r="K51" s="30"/>
      <c r="L51" s="30"/>
      <c r="M51" s="11"/>
      <c r="N51" s="31"/>
      <c r="O51" s="31"/>
      <c r="P51" s="31"/>
      <c r="Q51" s="31"/>
      <c r="R51" s="31"/>
      <c r="S51" s="57"/>
      <c r="T51" s="58"/>
      <c r="U51" s="32"/>
      <c r="V51" s="32"/>
      <c r="W51" s="11"/>
      <c r="X51" s="32"/>
      <c r="Y51" s="32"/>
      <c r="Z51" s="32"/>
      <c r="AA51" s="32">
        <v>-6915.98</v>
      </c>
      <c r="AB51" s="32"/>
      <c r="AC51" s="32"/>
      <c r="AD51" s="32"/>
      <c r="AE51" s="32"/>
      <c r="AF51" s="11"/>
    </row>
    <row r="52" spans="1:32" ht="16.8" thickTop="1" thickBot="1" x14ac:dyDescent="0.35">
      <c r="A52" s="12"/>
      <c r="B52" s="12"/>
      <c r="C52" s="12"/>
      <c r="D52" s="12"/>
      <c r="E52" s="12"/>
      <c r="F52" s="12"/>
      <c r="G52" s="29"/>
      <c r="H52" s="12"/>
      <c r="I52" s="12"/>
      <c r="J52" s="12"/>
      <c r="K52" s="12"/>
      <c r="L52" s="59"/>
      <c r="M52" s="11"/>
      <c r="N52" s="31"/>
      <c r="O52" s="31"/>
      <c r="P52" s="31"/>
      <c r="Q52" s="31"/>
      <c r="R52" s="31"/>
      <c r="S52" s="31"/>
      <c r="T52" s="32"/>
      <c r="U52" s="60">
        <f>U47+U31+U27+U17+U12+U37+U49</f>
        <v>1026203.3671248384</v>
      </c>
      <c r="V52" s="60">
        <f>V47+V31+V27+V17+V12+V37+V49</f>
        <v>1002904.2533482437</v>
      </c>
      <c r="W52" s="12"/>
      <c r="X52" s="61">
        <f>X47+X31+X27+X17+X12+X37+X49</f>
        <v>61575.175381140645</v>
      </c>
      <c r="Y52" s="61">
        <f>Y47+Y31+Y27+Y17+Y12+Y37+Y49</f>
        <v>1182.506800750218</v>
      </c>
      <c r="Z52" s="62">
        <f>Z47+Z31+Z27+Z17+Z12+Z37+Z49</f>
        <v>8166.6797725302649</v>
      </c>
      <c r="AA52" s="62">
        <f>AA47+AA31+AA27+AA17+AA12+AA37+AA49+AA51</f>
        <v>36163.682697666649</v>
      </c>
      <c r="AB52" s="62">
        <f>AB47+AB31+AB27+AB17+AB12+AB37+AB49</f>
        <v>49990.030887664136</v>
      </c>
      <c r="AC52" s="62">
        <f>AC47+AC31+AC27+AC17+AC12+AC37+AC49</f>
        <v>1176.48</v>
      </c>
      <c r="AD52" s="62">
        <f>AD47+AD31+AD27+AD17+AD12+AD37+AD49</f>
        <v>126115.19114353537</v>
      </c>
      <c r="AE52" s="63">
        <f>SUM(AE12+AE17+AE27+AE31+AE37+AE47+AE49)</f>
        <v>291285.72668328724</v>
      </c>
      <c r="AF52" s="64"/>
    </row>
    <row r="53" spans="1:32" ht="16.2" thickTop="1" x14ac:dyDescent="0.3">
      <c r="A53" s="11"/>
      <c r="B53" s="12"/>
      <c r="C53" s="12"/>
      <c r="D53" s="12"/>
      <c r="E53" s="12"/>
      <c r="F53" s="12"/>
      <c r="G53" s="29"/>
      <c r="H53" s="12"/>
      <c r="I53" s="12"/>
      <c r="J53" s="12"/>
      <c r="K53" s="11"/>
      <c r="L53" s="11"/>
      <c r="M53" s="11"/>
      <c r="N53" s="31"/>
      <c r="O53" s="31"/>
      <c r="P53" s="31"/>
      <c r="Q53" s="31"/>
      <c r="R53" s="31"/>
      <c r="S53" s="65"/>
      <c r="T53" s="32" t="s">
        <v>106</v>
      </c>
      <c r="U53" s="66">
        <f>+U52-U11</f>
        <v>828203.36712483841</v>
      </c>
      <c r="V53" s="67">
        <f>V52-V54</f>
        <v>804904.25334824366</v>
      </c>
      <c r="W53" s="11"/>
      <c r="X53" s="32"/>
      <c r="Y53" s="32"/>
      <c r="Z53" s="50"/>
      <c r="AA53" s="50"/>
      <c r="AB53" s="50"/>
      <c r="AC53" s="50"/>
      <c r="AD53" s="50"/>
      <c r="AE53" s="68"/>
      <c r="AF53" s="69"/>
    </row>
    <row r="54" spans="1:32" ht="16.2" thickBot="1" x14ac:dyDescent="0.35">
      <c r="A54" s="11"/>
      <c r="B54" s="12"/>
      <c r="C54" s="12"/>
      <c r="D54" s="12"/>
      <c r="E54" s="12"/>
      <c r="F54" s="12"/>
      <c r="G54" s="29"/>
      <c r="H54" s="12"/>
      <c r="I54" s="70"/>
      <c r="J54" s="12"/>
      <c r="K54" s="11"/>
      <c r="L54" s="71"/>
      <c r="M54" s="11"/>
      <c r="N54" s="31"/>
      <c r="O54" s="31"/>
      <c r="P54" s="31"/>
      <c r="Q54" s="31"/>
      <c r="R54" s="31"/>
      <c r="S54" s="65"/>
      <c r="T54" s="32" t="s">
        <v>107</v>
      </c>
      <c r="U54" s="72">
        <f>+U11</f>
        <v>198000.00000000003</v>
      </c>
      <c r="V54" s="73">
        <v>198000</v>
      </c>
      <c r="W54" s="11"/>
      <c r="X54" s="74"/>
      <c r="Y54" s="75">
        <f>SUM(X52:Z52)</f>
        <v>70924.361954421125</v>
      </c>
      <c r="Z54" s="50"/>
      <c r="AA54" s="50"/>
      <c r="AB54" s="50"/>
      <c r="AC54" s="69"/>
      <c r="AD54" s="69"/>
      <c r="AE54" s="76"/>
      <c r="AF54" s="69"/>
    </row>
    <row r="55" spans="1:32" ht="15.6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M55" s="12"/>
      <c r="N55" s="12"/>
      <c r="O55" s="12"/>
      <c r="P55" s="12"/>
      <c r="Q55" s="12"/>
      <c r="R55" s="12"/>
      <c r="S55" s="12"/>
      <c r="T55" s="11"/>
      <c r="U55" s="11" t="s">
        <v>108</v>
      </c>
      <c r="V55" s="11">
        <v>776074</v>
      </c>
      <c r="W55" s="12"/>
      <c r="X55" s="12"/>
      <c r="Y55" s="12"/>
      <c r="Z55" s="77"/>
      <c r="AA55" s="77"/>
      <c r="AB55" s="77"/>
      <c r="AC55" s="77"/>
      <c r="AD55" s="77"/>
      <c r="AE55" s="77"/>
      <c r="AF55" s="77"/>
    </row>
    <row r="56" spans="1:32" ht="15.75" customHeight="1" x14ac:dyDescent="0.3">
      <c r="A56" s="11"/>
      <c r="J56" s="12"/>
      <c r="M56" s="11"/>
      <c r="N56" s="12"/>
      <c r="O56" s="12"/>
      <c r="P56" s="12"/>
      <c r="Q56" s="12"/>
      <c r="R56" s="12"/>
      <c r="S56" s="12"/>
      <c r="T56" s="11"/>
      <c r="U56" s="11"/>
      <c r="V56" s="78">
        <f>V53-V55</f>
        <v>28830.253348243656</v>
      </c>
      <c r="W56" s="11"/>
      <c r="X56" s="11"/>
      <c r="Y56" s="11"/>
      <c r="Z56" s="69"/>
      <c r="AA56" s="69"/>
      <c r="AB56" s="69"/>
      <c r="AC56" s="69"/>
      <c r="AD56" s="69"/>
      <c r="AE56" s="77"/>
      <c r="AF56" s="69"/>
    </row>
    <row r="57" spans="1:32" ht="15.6" x14ac:dyDescent="0.3">
      <c r="A57" s="11"/>
      <c r="J57" s="12"/>
      <c r="M57" s="11"/>
      <c r="N57" s="12"/>
      <c r="O57" s="12"/>
      <c r="P57" s="12"/>
      <c r="Q57" s="12"/>
      <c r="R57" s="12"/>
      <c r="S57" s="12"/>
      <c r="T57" s="11"/>
      <c r="U57" s="11"/>
      <c r="V57" s="11"/>
      <c r="W57" s="11"/>
      <c r="X57" s="11"/>
      <c r="Y57" s="11"/>
      <c r="Z57" s="69"/>
      <c r="AA57" s="69"/>
      <c r="AB57" s="69"/>
      <c r="AC57" s="69"/>
      <c r="AD57" s="69"/>
      <c r="AE57" s="77"/>
      <c r="AF57" s="69"/>
    </row>
    <row r="58" spans="1:32" ht="15.6" x14ac:dyDescent="0.3">
      <c r="A58" s="11"/>
      <c r="J58" s="12"/>
      <c r="M58" s="11"/>
      <c r="N58" s="12"/>
      <c r="O58" s="12"/>
      <c r="P58" s="12"/>
      <c r="Q58" s="12"/>
      <c r="R58" s="12"/>
      <c r="S58" s="12"/>
      <c r="V58" s="79"/>
      <c r="W58" s="11"/>
      <c r="X58" s="11"/>
      <c r="Y58" s="11"/>
      <c r="Z58" s="11"/>
      <c r="AA58" s="12"/>
      <c r="AB58" s="11"/>
      <c r="AC58" s="11"/>
      <c r="AD58" s="11"/>
      <c r="AE58" s="12"/>
      <c r="AF58" s="11"/>
    </row>
  </sheetData>
  <mergeCells count="7">
    <mergeCell ref="K8:L8"/>
    <mergeCell ref="A2:P2"/>
    <mergeCell ref="Q2:AF2"/>
    <mergeCell ref="A3:P3"/>
    <mergeCell ref="Q3:AF3"/>
    <mergeCell ref="A4:P4"/>
    <mergeCell ref="Q4:AF4"/>
  </mergeCells>
  <pageMargins left="0" right="0" top="0.75" bottom="0.75" header="0.3" footer="0.3"/>
  <pageSetup scale="57" fitToWidth="2" orientation="landscape" r:id="rId1"/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2014-04-04T07:00:00+00:00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33BEAAF8-CD1A-475D-BD70-90388C529F26}"/>
</file>

<file path=customXml/itemProps2.xml><?xml version="1.0" encoding="utf-8"?>
<ds:datastoreItem xmlns:ds="http://schemas.openxmlformats.org/officeDocument/2006/customXml" ds:itemID="{354E9CFA-19D8-4151-AF5B-4CEF64B5DD6A}"/>
</file>

<file path=customXml/itemProps3.xml><?xml version="1.0" encoding="utf-8"?>
<ds:datastoreItem xmlns:ds="http://schemas.openxmlformats.org/officeDocument/2006/customXml" ds:itemID="{DBF8910F-27B9-4E40-A033-268782323841}"/>
</file>

<file path=customXml/itemProps4.xml><?xml version="1.0" encoding="utf-8"?>
<ds:datastoreItem xmlns:ds="http://schemas.openxmlformats.org/officeDocument/2006/customXml" ds:itemID="{6E208EF8-25E3-4649-965B-4C57647CA6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Labor Increase</vt:lpstr>
      <vt:lpstr>'Labor Increase'!Print_Area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>
  </dc:creator>
  <cp:lastModifiedBy>
  </cp:lastModifiedBy>
  <dcterms:created xsi:type="dcterms:W3CDTF">2014-02-18T22:01:09Z</dcterms:created>
  <dcterms:modified xsi:type="dcterms:W3CDTF">2014-02-18T22:01:09Z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