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315" windowWidth="23535" windowHeight="10680"/>
  </bookViews>
  <sheets>
    <sheet name="KJB-6" sheetId="1" r:id="rId1"/>
    <sheet name="KJB-6 Adj 16" sheetId="2" r:id="rId2"/>
  </sheets>
  <externalReferences>
    <externalReference r:id="rId3"/>
  </externalReferences>
  <definedNames>
    <definedName name="__123Graph_D" hidden="1">#REF!</definedName>
    <definedName name="__123Graph_ECURRENT" hidden="1">[1]ConsolidatingPL!#REF!</definedName>
    <definedName name="_3.01">'KJB-6'!$A$2:$F$55</definedName>
    <definedName name="_3.02">'KJB-6'!$G$2:$K$46</definedName>
    <definedName name="_3.03">'KJB-6'!$L$2:$P$33</definedName>
    <definedName name="_3.04">'KJB-6'!$Q$2:$T$24</definedName>
    <definedName name="_3.05">'KJB-6'!$U$2:$X$39</definedName>
    <definedName name="_3.06">'KJB-6'!$AD$2:$AJ$31</definedName>
    <definedName name="_3.07">'KJB-6'!$AS$2:$AW$26</definedName>
    <definedName name="_3.08">'KJB-6'!$BM$2:$BQ$26</definedName>
    <definedName name="_3.A">'KJB-6'!$BX$1:$CG$57</definedName>
    <definedName name="_3.B">'KJB-6'!$CH$1:$CR$57</definedName>
    <definedName name="_4.01">'KJB-6'!$BR$1:$BV$30</definedName>
    <definedName name="_FEDERAL_INCOME_TAX">'KJB-6'!$EE$21</definedName>
    <definedName name="_Fill" hidden="1">#REF!</definedName>
    <definedName name="_Key1" hidden="1">#REF!</definedName>
    <definedName name="_Key2" hidden="1">#REF!</definedName>
    <definedName name="_Order1" hidden="1">255</definedName>
    <definedName name="_Order2" hidden="1">255</definedName>
    <definedName name="_Sort" hidden="1">#REF!</definedName>
    <definedName name="AccessDatabase" hidden="1">"I:\COMTREL\FINICLE\TradeSummary.mdb"</definedName>
    <definedName name="AS2DocOpenMode" hidden="1">"AS2DocumentEdit"</definedName>
    <definedName name="b" hidden="1">{#N/A,#N/A,FALSE,"Coversheet";#N/A,#N/A,FALSE,"QA"}</definedName>
    <definedName name="CBWorkbookPriority" hidden="1">-2060790043</definedName>
    <definedName name="DELETE01" hidden="1">{#N/A,#N/A,FALSE,"Coversheet";#N/A,#N/A,FALSE,"QA"}</definedName>
    <definedName name="DELETE02" hidden="1">{#N/A,#N/A,FALSE,"Schedule F";#N/A,#N/A,FALSE,"Schedule G"}</definedName>
    <definedName name="Delete06" hidden="1">{#N/A,#N/A,FALSE,"Coversheet";#N/A,#N/A,FALSE,"QA"}</definedName>
    <definedName name="Delete09" hidden="1">{#N/A,#N/A,FALSE,"Coversheet";#N/A,#N/A,FALSE,"QA"}</definedName>
    <definedName name="Delete1" hidden="1">{#N/A,#N/A,FALSE,"Coversheet";#N/A,#N/A,FALSE,"QA"}</definedName>
    <definedName name="Delete10" hidden="1">{#N/A,#N/A,FALSE,"Schedule F";#N/A,#N/A,FALSE,"Schedule G"}</definedName>
    <definedName name="Delete21" hidden="1">{#N/A,#N/A,FALSE,"Coversheet";#N/A,#N/A,FALSE,"QA"}</definedName>
    <definedName name="DFIT" hidden="1">{#N/A,#N/A,FALSE,"Coversheet";#N/A,#N/A,FALSE,"QA"}</definedName>
    <definedName name="DOCKET">'KJB-6'!$G$7</definedName>
    <definedName name="ee" hidden="1">{#N/A,#N/A,FALSE,"Month ";#N/A,#N/A,FALSE,"YTD";#N/A,#N/A,FALSE,"12 mo ended"}</definedName>
    <definedName name="Estimate" hidden="1">{#N/A,#N/A,FALSE,"Summ";#N/A,#N/A,FALSE,"General"}</definedName>
    <definedName name="ex" hidden="1">{#N/A,#N/A,FALSE,"Summ";#N/A,#N/A,FALSE,"General"}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hidden="1">{#N/A,#N/A,FALSE,"Month ";#N/A,#N/A,FALSE,"YTD";#N/A,#N/A,FALSE,"12 mo ended"}</definedName>
    <definedName name="FEDERAL_INCOME_TAX">'KJB-6'!$BU$23</definedName>
    <definedName name="FIT">'KJB-6'!$BU$18</definedName>
    <definedName name="INCSTMNT">'KJB-6'!$CS$4:$IV$47</definedName>
    <definedName name="Jane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Miller" hidden="1">{#N/A,#N/A,FALSE,"Expenditures";#N/A,#N/A,FALSE,"Property Placed In-Service";#N/A,#N/A,FALSE,"CWIP Balances"}</definedName>
    <definedName name="new" hidden="1">{#N/A,#N/A,FALSE,"Summ";#N/A,#N/A,FALSE,"General"}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_xlnm.Print_Area" localSheetId="0">'KJB-6'!$L$1:$P$32</definedName>
    <definedName name="PSPL">'KJB-6'!$G$4</definedName>
    <definedName name="qqq" hidden="1">{#N/A,#N/A,FALSE,"schA"}</definedName>
    <definedName name="RESULTS_OF_OPERATIONS">'KJB-6'!$CS$2:$CW$57</definedName>
    <definedName name="six" hidden="1">{#N/A,#N/A,FALSE,"Drill Sites";"WP 212",#N/A,FALSE,"MWAG EOR";"WP 213",#N/A,FALSE,"MWAG EOR";#N/A,#N/A,FALSE,"Misc. Facility";#N/A,#N/A,FALSE,"WWTP"}</definedName>
    <definedName name="STATE_UTILITY_TAX">'KJB-6'!$BU$20</definedName>
    <definedName name="SUMMARY">'KJB-6'!$CS$1:$CW$57</definedName>
    <definedName name="t" hidden="1">{#N/A,#N/A,FALSE,"CESTSUM";#N/A,#N/A,FALSE,"est sum A";#N/A,#N/A,FALSE,"est detail A"}</definedName>
    <definedName name="TEMP" hidden="1">{#N/A,#N/A,FALSE,"Summ";#N/A,#N/A,FALSE,"General"}</definedName>
    <definedName name="Temp1" hidden="1">{#N/A,#N/A,FALSE,"CESTSUM";#N/A,#N/A,FALSE,"est sum A";#N/A,#N/A,FALSE,"est detail A"}</definedName>
    <definedName name="TESTYEAR">'KJB-6'!$G$6</definedName>
    <definedName name="Transfer" hidden="1">#REF!</definedName>
    <definedName name="Transfers" hidden="1">#REF!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UTG">'KJB-6'!$CV$14</definedName>
    <definedName name="we" hidden="1">{#N/A,#N/A,FALSE,"Pg 6b CustCount_Gas";#N/A,#N/A,FALSE,"QA";#N/A,#N/A,FALSE,"Report";#N/A,#N/A,FALSE,"forecast"}</definedName>
    <definedName name="wrn.1._.Bi._.Monthly._.CR." hidden="1">{#N/A,#N/A,FALSE,"Drill Sites";"WP 212",#N/A,FALSE,"MWAG EOR";"WP 213",#N/A,FALSE,"MWAG EOR";#N/A,#N/A,FALSE,"Misc. Facility";#N/A,#N/A,FALSE,"WWTP"}</definedName>
    <definedName name="wrn.AAI." hidden="1">{#N/A,#N/A,FALSE,"CRPT";#N/A,#N/A,FALSE,"TREND";#N/A,#N/A,FALSE,"%Curve"}</definedName>
    <definedName name="wrn.AAI._.Report." hidden="1">{#N/A,#N/A,FALSE,"CRPT";#N/A,#N/A,FALSE,"TREND";#N/A,#N/A,FALSE,"% CURVE"}</definedName>
    <definedName name="wrn.Anvil." hidden="1">{#N/A,#N/A,FALSE,"CRPT";#N/A,#N/A,FALSE,"PCS ";#N/A,#N/A,FALSE,"TREND";#N/A,#N/A,FALSE,"% CURVE";#N/A,#N/A,FALSE,"FWICALC";#N/A,#N/A,FALSE,"CONTINGENCY";#N/A,#N/A,FALSE,"7616 Fab";#N/A,#N/A,FALSE,"7616 NSK"}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hidden="1">{#N/A,#N/A,FALSE,"Pg 6b CustCount_Gas";#N/A,#N/A,FALSE,"QA";#N/A,#N/A,FALSE,"Report";#N/A,#N/A,FALSE,"forecast"}</definedName>
    <definedName name="wrn.Fundamental." hidden="1">{#N/A,#N/A,TRUE,"CoverPage";#N/A,#N/A,TRUE,"Gas";#N/A,#N/A,TRUE,"Power";#N/A,#N/A,TRUE,"Historical DJ Mthly Prices"}</definedName>
    <definedName name="wrn.Incentive._.Overhead." hidden="1">{#N/A,#N/A,FALSE,"Coversheet";#N/A,#N/A,FALSE,"QA"}</definedName>
    <definedName name="wrn.limit_reports." hidden="1">{#N/A,#N/A,FALSE,"Schedule F";#N/A,#N/A,FALSE,"Schedule G"}</definedName>
    <definedName name="wrn.MARGIN_WO_QTR." hidden="1">{#N/A,#N/A,FALSE,"Month ";#N/A,#N/A,FALSE,"YTD";#N/A,#N/A,FALSE,"12 mo ended"}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Small._.Tools._.Overhead." hidden="1">{#N/A,#N/A,FALSE,"2002 Small Tool OH";#N/A,#N/A,FALSE,"QA"}</definedName>
    <definedName name="wrn.USIM_Data_Abbrev3." hidden="1">{#N/A,#N/A,FALSE,"Expenditures";#N/A,#N/A,FALSE,"Property Placed In-Service";#N/A,#N/A,FALSE,"CWIP Balances"}</definedName>
    <definedName name="www" hidden="1">{#N/A,#N/A,FALSE,"schA"}</definedName>
    <definedName name="y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Z_114781A2_0298_429A_B53B_CCDE7FC07C8A_.wvu.PrintArea" localSheetId="0" hidden="1">'KJB-6'!#REF!</definedName>
    <definedName name="Z_1B900283_A429_4403_A9D8_C71CBE042C5B_.wvu.PrintArea" localSheetId="0" hidden="1">'KJB-6'!#REF!</definedName>
    <definedName name="Z_1C1C43A1_DC1D_4B83_8878_3010F6B52F39_.wvu.PrintArea" localSheetId="0" hidden="1">'KJB-6'!#REF!</definedName>
    <definedName name="Z_1E45DDAB_A557_4269_B1F7_CCA75743796E_.wvu.PrintArea" localSheetId="0" hidden="1">'KJB-6'!$Q$1:$T$26</definedName>
    <definedName name="Z_2C3700F5_7337_49E6_9C17_9B49CE910373_.wvu.PrintArea" localSheetId="0" hidden="1">'KJB-6'!#REF!</definedName>
    <definedName name="Z_31DFCE0A_9DA6_4A87_B609_465F85B537E0_.wvu.PrintArea" localSheetId="0" hidden="1">'KJB-6'!$G$1:$K$57</definedName>
    <definedName name="Z_363BCC7B_365C_4862_8308_FD01127C4AC4_.wvu.PrintArea" localSheetId="0" hidden="1">'KJB-6'!$AK$1:$AN$27</definedName>
    <definedName name="Z_368BDFFC_8B6F_4E1E_88F3_F226428845CF_.wvu.PrintArea" localSheetId="0" hidden="1">'KJB-6'!#REF!</definedName>
    <definedName name="Z_3CBED636_2D45_404E_AAC8_3EE8AD1E87DC_.wvu.PrintArea" localSheetId="0" hidden="1">'KJB-6'!$BR$1:$BV$30</definedName>
    <definedName name="Z_416960AD_1B0E_43B1_BBE2_4C2BAE619099_.wvu.PrintArea" localSheetId="0" hidden="1">'KJB-6'!#REF!</definedName>
    <definedName name="Z_4D415296_881A_4775_98CD_22EFE3033486_.wvu.PrintArea" localSheetId="0" hidden="1">'KJB-6'!#REF!</definedName>
    <definedName name="Z_5528C217_5C85_409E_BEF2_118EFA30D59F_.wvu.PrintArea" localSheetId="0" hidden="1">'KJB-6'!$BR$34:$BV$54</definedName>
    <definedName name="Z_57344CAB_EDB4_4D23_8F83_6632FA133D6F_.wvu.PrintArea" localSheetId="0" hidden="1">'KJB-6'!#REF!</definedName>
    <definedName name="Z_6734E4FA_60B7_471C_AEFF_A65F9BB053D8_.wvu.Cols" localSheetId="0" hidden="1">'KJB-6'!#REF!,'KJB-6'!#REF!</definedName>
    <definedName name="Z_6734E4FA_60B7_471C_AEFF_A65F9BB053D8_.wvu.PrintArea" localSheetId="0" hidden="1">'KJB-6'!$BX$1:$CW$58</definedName>
    <definedName name="Z_70410578_0BAB_407F_B45A_A1FD00E78914_.wvu.PrintArea" localSheetId="0" hidden="1">'KJB-6'!$U$1:$X$49</definedName>
    <definedName name="Z_833E8250_6973_4555_A9B1_5ACEC89F3481_.wvu.PrintArea" localSheetId="0" hidden="1">'KJB-6'!$AD$1:$AJ$25</definedName>
    <definedName name="Z_9180F71E_9CF3_48FD_9127_9BC9888EC40C_.wvu.Cols" localSheetId="0" hidden="1">'KJB-6'!#REF!,'KJB-6'!#REF!</definedName>
    <definedName name="Z_9180F71E_9CF3_48FD_9127_9BC9888EC40C_.wvu.PrintArea" localSheetId="0" hidden="1">'KJB-6'!$BR$55:$BV$82</definedName>
    <definedName name="Z_9BA720D1_BA25_4C52_A40B_874BAF7D1762_.wvu.PrintArea" localSheetId="0" hidden="1">'KJB-6'!#REF!</definedName>
    <definedName name="Z_BEBB2007_766E_4870_AB0B_58E56CB3F651_.wvu.PrintArea" localSheetId="0" hidden="1">'KJB-6'!#REF!</definedName>
    <definedName name="Z_DF51FD8A_8BA9_46B7_B455_DFD0D532E42D_.wvu.PrintArea" localSheetId="0" hidden="1">'KJB-6'!$L$1:$P$41</definedName>
    <definedName name="Z_E75FE358_FE2D_4487_BA5A_B5AB72EE82DF_.wvu.PrintArea" localSheetId="0" hidden="1">'KJB-6'!#REF!</definedName>
    <definedName name="Z_F0C9B202_A28C_4D84_9483_9F8FC93D796D_.wvu.PrintArea" localSheetId="0" hidden="1">'KJB-6'!$BR$56:$BV$79</definedName>
  </definedNames>
  <calcPr calcId="125725"/>
</workbook>
</file>

<file path=xl/calcChain.xml><?xml version="1.0" encoding="utf-8"?>
<calcChain xmlns="http://schemas.openxmlformats.org/spreadsheetml/2006/main">
  <c r="E40" i="2"/>
  <c r="F40"/>
  <c r="F41" s="1"/>
  <c r="G39"/>
  <c r="G40" s="1"/>
  <c r="F33"/>
  <c r="G32"/>
  <c r="E33" s="1"/>
  <c r="F30"/>
  <c r="G29"/>
  <c r="E30" s="1"/>
  <c r="F27"/>
  <c r="G26"/>
  <c r="E27" s="1"/>
  <c r="G18"/>
  <c r="G17"/>
  <c r="F19"/>
  <c r="E19"/>
  <c r="G12"/>
  <c r="E13" s="1"/>
  <c r="F23"/>
  <c r="E23"/>
  <c r="AK60" i="1"/>
  <c r="CU56"/>
  <c r="DB56" s="1"/>
  <c r="CP55"/>
  <c r="CP57" s="1"/>
  <c r="CM55"/>
  <c r="CM57" s="1"/>
  <c r="CL55"/>
  <c r="CL57" s="1"/>
  <c r="CK55"/>
  <c r="CK57" s="1"/>
  <c r="CJ55"/>
  <c r="CJ57" s="1"/>
  <c r="CG55"/>
  <c r="CG57" s="1"/>
  <c r="CD55"/>
  <c r="CD57" s="1"/>
  <c r="CC55"/>
  <c r="CC57" s="1"/>
  <c r="CB55"/>
  <c r="CB57" s="1"/>
  <c r="CA55"/>
  <c r="CA57" s="1"/>
  <c r="CU54"/>
  <c r="DB54" s="1"/>
  <c r="CU53"/>
  <c r="DB53" s="1"/>
  <c r="D53"/>
  <c r="CU52"/>
  <c r="DB52" s="1"/>
  <c r="CE51"/>
  <c r="CE55" s="1"/>
  <c r="CE57" s="1"/>
  <c r="BZ55"/>
  <c r="BZ57" s="1"/>
  <c r="BZ46" s="1"/>
  <c r="DD50"/>
  <c r="DC50"/>
  <c r="DB50"/>
  <c r="DD49"/>
  <c r="DC49"/>
  <c r="DB49"/>
  <c r="DC48"/>
  <c r="DD47"/>
  <c r="DC47"/>
  <c r="DB47"/>
  <c r="DD45"/>
  <c r="DC45"/>
  <c r="DB45"/>
  <c r="D45"/>
  <c r="CT44"/>
  <c r="DD43"/>
  <c r="DC43"/>
  <c r="DB43"/>
  <c r="I43"/>
  <c r="CU41"/>
  <c r="F42"/>
  <c r="CU40"/>
  <c r="CU39"/>
  <c r="CU38"/>
  <c r="CU37"/>
  <c r="CU36"/>
  <c r="CU35"/>
  <c r="I35"/>
  <c r="CU34"/>
  <c r="CU33"/>
  <c r="CU32"/>
  <c r="CK31"/>
  <c r="CK42" s="1"/>
  <c r="CU31"/>
  <c r="G31"/>
  <c r="G32" s="1"/>
  <c r="G33" s="1"/>
  <c r="G34" s="1"/>
  <c r="G35" s="1"/>
  <c r="G36" s="1"/>
  <c r="G37" s="1"/>
  <c r="G38" s="1"/>
  <c r="G39" s="1"/>
  <c r="G40" s="1"/>
  <c r="G41" s="1"/>
  <c r="G42" s="1"/>
  <c r="G43" s="1"/>
  <c r="G44" s="1"/>
  <c r="CU30"/>
  <c r="CE33"/>
  <c r="CU29"/>
  <c r="X34"/>
  <c r="K32"/>
  <c r="CB24" s="1"/>
  <c r="CB26" s="1"/>
  <c r="G29"/>
  <c r="F39"/>
  <c r="CE28"/>
  <c r="CU28"/>
  <c r="DD27"/>
  <c r="DC27"/>
  <c r="DB27"/>
  <c r="AI27"/>
  <c r="G27"/>
  <c r="CP26"/>
  <c r="CM26"/>
  <c r="CL26"/>
  <c r="CK26"/>
  <c r="CJ26"/>
  <c r="CG26"/>
  <c r="CD26"/>
  <c r="CC26"/>
  <c r="E26"/>
  <c r="DD25"/>
  <c r="DC25"/>
  <c r="DB25"/>
  <c r="G25"/>
  <c r="E25"/>
  <c r="CE24"/>
  <c r="CE26" s="1"/>
  <c r="CA24"/>
  <c r="CA26" s="1"/>
  <c r="BZ26"/>
  <c r="AM24"/>
  <c r="W24"/>
  <c r="E24"/>
  <c r="G23"/>
  <c r="E23"/>
  <c r="E22"/>
  <c r="K24"/>
  <c r="CB16" s="1"/>
  <c r="G21"/>
  <c r="E21"/>
  <c r="E20"/>
  <c r="G19"/>
  <c r="E19"/>
  <c r="BA18"/>
  <c r="AV18"/>
  <c r="AN18"/>
  <c r="CJ34" s="1"/>
  <c r="AI18"/>
  <c r="E18"/>
  <c r="CP17"/>
  <c r="CM17"/>
  <c r="CL17"/>
  <c r="CK17"/>
  <c r="CK44" s="1"/>
  <c r="CJ17"/>
  <c r="CG17"/>
  <c r="CD17"/>
  <c r="CC17"/>
  <c r="G17"/>
  <c r="E17"/>
  <c r="CE16"/>
  <c r="CU16"/>
  <c r="AB16"/>
  <c r="AB18" s="1"/>
  <c r="AC18" s="1"/>
  <c r="AC21" s="1"/>
  <c r="P26"/>
  <c r="E16"/>
  <c r="CT15"/>
  <c r="CE15"/>
  <c r="BQ15"/>
  <c r="CP39" s="1"/>
  <c r="AR15"/>
  <c r="P25"/>
  <c r="G15"/>
  <c r="D27"/>
  <c r="CS14"/>
  <c r="CS15" s="1"/>
  <c r="CS16" s="1"/>
  <c r="CS17" s="1"/>
  <c r="CS18" s="1"/>
  <c r="CS19" s="1"/>
  <c r="CS20" s="1"/>
  <c r="CS21" s="1"/>
  <c r="CS22" s="1"/>
  <c r="CS23" s="1"/>
  <c r="CS24" s="1"/>
  <c r="CS25" s="1"/>
  <c r="CS26" s="1"/>
  <c r="CS27" s="1"/>
  <c r="CS28" s="1"/>
  <c r="CS29" s="1"/>
  <c r="CS30" s="1"/>
  <c r="CS31" s="1"/>
  <c r="CS32" s="1"/>
  <c r="CS33" s="1"/>
  <c r="CS34" s="1"/>
  <c r="CS35" s="1"/>
  <c r="CS36" s="1"/>
  <c r="CS37" s="1"/>
  <c r="CS38" s="1"/>
  <c r="CS39" s="1"/>
  <c r="CS40" s="1"/>
  <c r="CS41" s="1"/>
  <c r="CS42" s="1"/>
  <c r="CS43" s="1"/>
  <c r="CS44" s="1"/>
  <c r="CS45" s="1"/>
  <c r="CS46" s="1"/>
  <c r="CS47" s="1"/>
  <c r="CS48" s="1"/>
  <c r="CS49" s="1"/>
  <c r="CS50" s="1"/>
  <c r="CS51" s="1"/>
  <c r="CS52" s="1"/>
  <c r="CS53" s="1"/>
  <c r="CS54" s="1"/>
  <c r="CS55" s="1"/>
  <c r="CS56" s="1"/>
  <c r="CS57" s="1"/>
  <c r="CH14"/>
  <c r="CH15" s="1"/>
  <c r="CA14"/>
  <c r="CA17" s="1"/>
  <c r="CU14"/>
  <c r="BX14"/>
  <c r="BX15" s="1"/>
  <c r="BX16" s="1"/>
  <c r="BX17" s="1"/>
  <c r="BX18" s="1"/>
  <c r="BX19" s="1"/>
  <c r="BX20" s="1"/>
  <c r="BX21" s="1"/>
  <c r="BX22" s="1"/>
  <c r="BX23" s="1"/>
  <c r="BX24" s="1"/>
  <c r="BX25" s="1"/>
  <c r="BX26" s="1"/>
  <c r="BX27" s="1"/>
  <c r="BX28" s="1"/>
  <c r="BX29" s="1"/>
  <c r="BX30" s="1"/>
  <c r="BX31" s="1"/>
  <c r="BX32" s="1"/>
  <c r="BX33" s="1"/>
  <c r="BX34" s="1"/>
  <c r="BX35" s="1"/>
  <c r="BX36" s="1"/>
  <c r="BX37" s="1"/>
  <c r="BX38" s="1"/>
  <c r="BX39" s="1"/>
  <c r="BX40" s="1"/>
  <c r="BX41" s="1"/>
  <c r="BX42" s="1"/>
  <c r="BX43" s="1"/>
  <c r="BX44" s="1"/>
  <c r="BX45" s="1"/>
  <c r="BX46" s="1"/>
  <c r="BX47" s="1"/>
  <c r="BX48" s="1"/>
  <c r="BX49" s="1"/>
  <c r="BX50" s="1"/>
  <c r="BX51" s="1"/>
  <c r="BX52" s="1"/>
  <c r="BX53" s="1"/>
  <c r="BX54" s="1"/>
  <c r="BX55" s="1"/>
  <c r="BX56" s="1"/>
  <c r="BX57" s="1"/>
  <c r="BK14"/>
  <c r="BJ14"/>
  <c r="BG14"/>
  <c r="BG16" s="1"/>
  <c r="BF14"/>
  <c r="BE14"/>
  <c r="BC14"/>
  <c r="BC15" s="1"/>
  <c r="BC16" s="1"/>
  <c r="BC17" s="1"/>
  <c r="BC18" s="1"/>
  <c r="BC19" s="1"/>
  <c r="BA14"/>
  <c r="AZ14"/>
  <c r="AN14"/>
  <c r="CJ39" s="1"/>
  <c r="AI14"/>
  <c r="AJ14"/>
  <c r="Y14"/>
  <c r="Y15" s="1"/>
  <c r="Y16" s="1"/>
  <c r="Y17" s="1"/>
  <c r="Y18" s="1"/>
  <c r="Y19" s="1"/>
  <c r="Y20" s="1"/>
  <c r="Y21" s="1"/>
  <c r="Y22" s="1"/>
  <c r="Y23" s="1"/>
  <c r="Y24" s="1"/>
  <c r="U14"/>
  <c r="U15" s="1"/>
  <c r="U16" s="1"/>
  <c r="U17" s="1"/>
  <c r="U18" s="1"/>
  <c r="U19" s="1"/>
  <c r="U20" s="1"/>
  <c r="U21" s="1"/>
  <c r="U22" s="1"/>
  <c r="U23" s="1"/>
  <c r="U24" s="1"/>
  <c r="U25" s="1"/>
  <c r="U26" s="1"/>
  <c r="U27" s="1"/>
  <c r="U28" s="1"/>
  <c r="U29" s="1"/>
  <c r="U30" s="1"/>
  <c r="U31" s="1"/>
  <c r="U32" s="1"/>
  <c r="U33" s="1"/>
  <c r="U34" s="1"/>
  <c r="U35" s="1"/>
  <c r="U36" s="1"/>
  <c r="U37" s="1"/>
  <c r="U38" s="1"/>
  <c r="BR13"/>
  <c r="BR14" s="1"/>
  <c r="BR15" s="1"/>
  <c r="BR16" s="1"/>
  <c r="BP16"/>
  <c r="BO16"/>
  <c r="BM13"/>
  <c r="BM14" s="1"/>
  <c r="BM15" s="1"/>
  <c r="BM16" s="1"/>
  <c r="BM17" s="1"/>
  <c r="BM18" s="1"/>
  <c r="BM19" s="1"/>
  <c r="BM20" s="1"/>
  <c r="BM21" s="1"/>
  <c r="BL13"/>
  <c r="BH13"/>
  <c r="BH14" s="1"/>
  <c r="BH15" s="1"/>
  <c r="BH16" s="1"/>
  <c r="BH17" s="1"/>
  <c r="BH18" s="1"/>
  <c r="BH19" s="1"/>
  <c r="BH20" s="1"/>
  <c r="BH21" s="1"/>
  <c r="BC13"/>
  <c r="AX13"/>
  <c r="AX14" s="1"/>
  <c r="AX15" s="1"/>
  <c r="AX16" s="1"/>
  <c r="AX17" s="1"/>
  <c r="AX18" s="1"/>
  <c r="AX19" s="1"/>
  <c r="AX20" s="1"/>
  <c r="AS13"/>
  <c r="AS14" s="1"/>
  <c r="AS15" s="1"/>
  <c r="AS16" s="1"/>
  <c r="AS17" s="1"/>
  <c r="AS18" s="1"/>
  <c r="AS19" s="1"/>
  <c r="AS20" s="1"/>
  <c r="AO13"/>
  <c r="AO14" s="1"/>
  <c r="AO15" s="1"/>
  <c r="AI13"/>
  <c r="AD13"/>
  <c r="AD14" s="1"/>
  <c r="AD15" s="1"/>
  <c r="AD16" s="1"/>
  <c r="AD17" s="1"/>
  <c r="AD18" s="1"/>
  <c r="AD19" s="1"/>
  <c r="AD20" s="1"/>
  <c r="AD21" s="1"/>
  <c r="AD22" s="1"/>
  <c r="AD23" s="1"/>
  <c r="AD24" s="1"/>
  <c r="AD25" s="1"/>
  <c r="AD26" s="1"/>
  <c r="AD27" s="1"/>
  <c r="AD28" s="1"/>
  <c r="Y13"/>
  <c r="X20"/>
  <c r="U13"/>
  <c r="Q13"/>
  <c r="Q14" s="1"/>
  <c r="Q15" s="1"/>
  <c r="Q16" s="1"/>
  <c r="Q17" s="1"/>
  <c r="Q18" s="1"/>
  <c r="Q19" s="1"/>
  <c r="Q20" s="1"/>
  <c r="Q21" s="1"/>
  <c r="Q22" s="1"/>
  <c r="Q23" s="1"/>
  <c r="Q24" s="1"/>
  <c r="L13"/>
  <c r="L14" s="1"/>
  <c r="L15" s="1"/>
  <c r="L16" s="1"/>
  <c r="L17" s="1"/>
  <c r="L18" s="1"/>
  <c r="L19" s="1"/>
  <c r="L20" s="1"/>
  <c r="L21" s="1"/>
  <c r="L22" s="1"/>
  <c r="L23" s="1"/>
  <c r="L24" s="1"/>
  <c r="L25" s="1"/>
  <c r="L26" s="1"/>
  <c r="L27" s="1"/>
  <c r="L28" s="1"/>
  <c r="L29" s="1"/>
  <c r="L30" s="1"/>
  <c r="L31" s="1"/>
  <c r="K18"/>
  <c r="G13"/>
  <c r="A13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BL12"/>
  <c r="BL14" s="1"/>
  <c r="BL16" s="1"/>
  <c r="BB12"/>
  <c r="BB14" s="1"/>
  <c r="AV15"/>
  <c r="AU15"/>
  <c r="AI12"/>
  <c r="P17"/>
  <c r="P20" s="1"/>
  <c r="P23" s="1"/>
  <c r="P28" s="1"/>
  <c r="CB11"/>
  <c r="CC11" s="1"/>
  <c r="CD11" s="1"/>
  <c r="CE11" s="1"/>
  <c r="CF11" s="1"/>
  <c r="CG11" s="1"/>
  <c r="CJ11" s="1"/>
  <c r="CK11" s="1"/>
  <c r="CL11" s="1"/>
  <c r="CM11" s="1"/>
  <c r="CN11" s="1"/>
  <c r="CO11" s="1"/>
  <c r="CP11" s="1"/>
  <c r="BR7"/>
  <c r="BM7"/>
  <c r="BH7"/>
  <c r="BC7"/>
  <c r="AX7"/>
  <c r="AS7"/>
  <c r="AO7"/>
  <c r="AK7"/>
  <c r="AD7"/>
  <c r="Y7"/>
  <c r="U7"/>
  <c r="Q7"/>
  <c r="L7"/>
  <c r="CS6"/>
  <c r="CH6"/>
  <c r="BX6"/>
  <c r="G6"/>
  <c r="BM6" s="1"/>
  <c r="CH5"/>
  <c r="BR4"/>
  <c r="BM4"/>
  <c r="BH4"/>
  <c r="BC4"/>
  <c r="AX4"/>
  <c r="AS4"/>
  <c r="AO4"/>
  <c r="AK4"/>
  <c r="AD4"/>
  <c r="Y4"/>
  <c r="U4"/>
  <c r="Q4"/>
  <c r="L4"/>
  <c r="CS3"/>
  <c r="AR1"/>
  <c r="G23" i="2" l="1"/>
  <c r="E24" s="1"/>
  <c r="G19"/>
  <c r="E20" s="1"/>
  <c r="G33"/>
  <c r="F13"/>
  <c r="G13" s="1"/>
  <c r="G27"/>
  <c r="G30"/>
  <c r="E41"/>
  <c r="G41" s="1"/>
  <c r="G9"/>
  <c r="E10" s="1"/>
  <c r="F10"/>
  <c r="G16"/>
  <c r="CO38" i="1"/>
  <c r="BL20"/>
  <c r="BL18"/>
  <c r="CO40" s="1"/>
  <c r="BS18"/>
  <c r="BR17"/>
  <c r="BR18" s="1"/>
  <c r="BR19" s="1"/>
  <c r="CN34"/>
  <c r="BG17"/>
  <c r="CN40" s="1"/>
  <c r="DB14"/>
  <c r="CH16"/>
  <c r="CQ15"/>
  <c r="CV15" s="1"/>
  <c r="DC15" s="1"/>
  <c r="CF34"/>
  <c r="AC23"/>
  <c r="CF40" s="1"/>
  <c r="AJ12"/>
  <c r="AJ16" s="1"/>
  <c r="AJ13"/>
  <c r="CC40"/>
  <c r="CC42" s="1"/>
  <c r="P31"/>
  <c r="P1" s="1"/>
  <c r="CM34"/>
  <c r="BB16"/>
  <c r="K26"/>
  <c r="CB14"/>
  <c r="CB17" s="1"/>
  <c r="DB16"/>
  <c r="X24"/>
  <c r="CE34" s="1"/>
  <c r="DB33"/>
  <c r="DB34"/>
  <c r="DB39"/>
  <c r="BX5"/>
  <c r="CS5"/>
  <c r="L6"/>
  <c r="U6"/>
  <c r="AD6"/>
  <c r="AO6"/>
  <c r="AX6"/>
  <c r="BH6"/>
  <c r="BR6"/>
  <c r="BQ13"/>
  <c r="CE14"/>
  <c r="CE17" s="1"/>
  <c r="CQ14"/>
  <c r="CV14" s="1"/>
  <c r="C27"/>
  <c r="E15"/>
  <c r="E27" s="1"/>
  <c r="CU15"/>
  <c r="BZ17"/>
  <c r="AN22"/>
  <c r="CU24"/>
  <c r="CU42"/>
  <c r="DB42" s="1"/>
  <c r="DB28"/>
  <c r="E45"/>
  <c r="CA34" s="1"/>
  <c r="DB29"/>
  <c r="DB30"/>
  <c r="DB31"/>
  <c r="DB32"/>
  <c r="DB35"/>
  <c r="DB36"/>
  <c r="DB37"/>
  <c r="DB38"/>
  <c r="DB40"/>
  <c r="DB41"/>
  <c r="CU46"/>
  <c r="Q6"/>
  <c r="Y6"/>
  <c r="AK6"/>
  <c r="AS6"/>
  <c r="BC6"/>
  <c r="AW12"/>
  <c r="AW15" s="1"/>
  <c r="CR14"/>
  <c r="CC44"/>
  <c r="AN20"/>
  <c r="CE32"/>
  <c r="BZ42"/>
  <c r="CU51"/>
  <c r="E35" i="2" l="1"/>
  <c r="E36" s="1"/>
  <c r="G10"/>
  <c r="F20"/>
  <c r="G20" s="1"/>
  <c r="F24"/>
  <c r="F35" s="1"/>
  <c r="F36" s="1"/>
  <c r="CU55" i="1"/>
  <c r="DB51"/>
  <c r="CL34"/>
  <c r="AW17"/>
  <c r="CU26"/>
  <c r="DB26" s="1"/>
  <c r="DB24"/>
  <c r="BZ44"/>
  <c r="DB15"/>
  <c r="CW15"/>
  <c r="DD15" s="1"/>
  <c r="J35"/>
  <c r="CB34" s="1"/>
  <c r="CH17"/>
  <c r="CQ16"/>
  <c r="CR15"/>
  <c r="AC24"/>
  <c r="CF42"/>
  <c r="CF44" s="1"/>
  <c r="CU17"/>
  <c r="BG19"/>
  <c r="BG1" s="1"/>
  <c r="CN42"/>
  <c r="CN44" s="1"/>
  <c r="BS19"/>
  <c r="CO42"/>
  <c r="CO44" s="1"/>
  <c r="DB46"/>
  <c r="AN24"/>
  <c r="CJ40" s="1"/>
  <c r="CJ42" s="1"/>
  <c r="CJ44" s="1"/>
  <c r="DC14"/>
  <c r="CP34"/>
  <c r="BQ16"/>
  <c r="BQ18" s="1"/>
  <c r="BB18"/>
  <c r="CM40" s="1"/>
  <c r="CM42" s="1"/>
  <c r="CM44" s="1"/>
  <c r="AI20"/>
  <c r="AI21" s="1"/>
  <c r="AJ24" s="1"/>
  <c r="BV12"/>
  <c r="CW14"/>
  <c r="BL1"/>
  <c r="G24" i="2" l="1"/>
  <c r="G35" s="1"/>
  <c r="G36" s="1"/>
  <c r="BB20" i="1"/>
  <c r="BB1" s="1"/>
  <c r="AN26"/>
  <c r="AN1" s="1"/>
  <c r="DD14"/>
  <c r="D44"/>
  <c r="E44" s="1"/>
  <c r="I34"/>
  <c r="J34" s="1"/>
  <c r="BV14"/>
  <c r="W23"/>
  <c r="X23" s="1"/>
  <c r="BQ21"/>
  <c r="BQ20"/>
  <c r="CP40" s="1"/>
  <c r="CU44"/>
  <c r="DB44" s="1"/>
  <c r="DB17"/>
  <c r="CV16"/>
  <c r="CR16"/>
  <c r="CU57"/>
  <c r="DB55"/>
  <c r="AC1"/>
  <c r="AJ27"/>
  <c r="CG40" s="1"/>
  <c r="AJ26"/>
  <c r="CG31"/>
  <c r="CG42" s="1"/>
  <c r="CG44" s="1"/>
  <c r="CQ17"/>
  <c r="CH18"/>
  <c r="CH19" s="1"/>
  <c r="CH20" s="1"/>
  <c r="CH21" s="1"/>
  <c r="CH22" s="1"/>
  <c r="CH23" s="1"/>
  <c r="CH24" s="1"/>
  <c r="BZ48"/>
  <c r="CU48" s="1"/>
  <c r="DB48" s="1"/>
  <c r="AW18"/>
  <c r="CL40" s="1"/>
  <c r="CL42" s="1"/>
  <c r="CL44" s="1"/>
  <c r="CR59" s="1"/>
  <c r="CP42"/>
  <c r="CP44" s="1"/>
  <c r="AJ28" l="1"/>
  <c r="AJ1" s="1"/>
  <c r="AW20"/>
  <c r="AW1" s="1"/>
  <c r="CR17"/>
  <c r="DB57"/>
  <c r="CU59"/>
  <c r="DC16"/>
  <c r="CW16"/>
  <c r="CV17"/>
  <c r="I38"/>
  <c r="J38" s="1"/>
  <c r="D48"/>
  <c r="E48" s="1"/>
  <c r="W25"/>
  <c r="X25" s="1"/>
  <c r="CE39" s="1"/>
  <c r="CQ24"/>
  <c r="CH25"/>
  <c r="CH26" s="1"/>
  <c r="CE31"/>
  <c r="F46"/>
  <c r="CA31"/>
  <c r="BV16"/>
  <c r="CB31"/>
  <c r="K36"/>
  <c r="BQ1"/>
  <c r="CH27" l="1"/>
  <c r="CH28" s="1"/>
  <c r="CQ26"/>
  <c r="K40"/>
  <c r="CB39"/>
  <c r="DD16"/>
  <c r="CW17"/>
  <c r="BV19"/>
  <c r="BV18"/>
  <c r="BV23" s="1"/>
  <c r="CV24"/>
  <c r="CR24"/>
  <c r="F49"/>
  <c r="CA39"/>
  <c r="DC17"/>
  <c r="X26"/>
  <c r="X36" s="1"/>
  <c r="K42"/>
  <c r="F51"/>
  <c r="DD17" l="1"/>
  <c r="CR26"/>
  <c r="K43"/>
  <c r="CB40" s="1"/>
  <c r="CB42" s="1"/>
  <c r="CB44" s="1"/>
  <c r="X37"/>
  <c r="CE40" s="1"/>
  <c r="CE42" s="1"/>
  <c r="CE44" s="1"/>
  <c r="CV26"/>
  <c r="DC24"/>
  <c r="CW24"/>
  <c r="CH29"/>
  <c r="CQ28"/>
  <c r="F53"/>
  <c r="CA40" s="1"/>
  <c r="CA42" s="1"/>
  <c r="CA44" s="1"/>
  <c r="K44" l="1"/>
  <c r="CV28"/>
  <c r="CR28"/>
  <c r="CW26"/>
  <c r="DD24"/>
  <c r="DC26"/>
  <c r="CQ29"/>
  <c r="CH30"/>
  <c r="K1"/>
  <c r="F54"/>
  <c r="F1" s="1"/>
  <c r="X38"/>
  <c r="X1" s="1"/>
  <c r="CV29" l="1"/>
  <c r="CR29"/>
  <c r="DD26"/>
  <c r="DC28"/>
  <c r="CW28"/>
  <c r="CH31"/>
  <c r="CQ30"/>
  <c r="CH32" l="1"/>
  <c r="CQ31"/>
  <c r="CV30"/>
  <c r="CR30"/>
  <c r="DD28"/>
  <c r="DC29"/>
  <c r="CW29"/>
  <c r="DD29" s="1"/>
  <c r="CV31" l="1"/>
  <c r="CR31"/>
  <c r="DC30"/>
  <c r="CW30"/>
  <c r="DD30" s="1"/>
  <c r="CH33"/>
  <c r="CQ32"/>
  <c r="CV32" l="1"/>
  <c r="CR32"/>
  <c r="CH34"/>
  <c r="CQ33"/>
  <c r="DC31"/>
  <c r="CW31"/>
  <c r="DD31" l="1"/>
  <c r="CV33"/>
  <c r="CR33"/>
  <c r="CH35"/>
  <c r="CQ34"/>
  <c r="DC32"/>
  <c r="CW32"/>
  <c r="DD32" s="1"/>
  <c r="CH36" l="1"/>
  <c r="CQ35"/>
  <c r="DC33"/>
  <c r="CW33"/>
  <c r="DD33" s="1"/>
  <c r="CV34"/>
  <c r="CR34"/>
  <c r="DC34" l="1"/>
  <c r="CW34"/>
  <c r="CH37"/>
  <c r="CQ36"/>
  <c r="CV35"/>
  <c r="CR35"/>
  <c r="CV36" l="1"/>
  <c r="CR36"/>
  <c r="DC35"/>
  <c r="CW35"/>
  <c r="DD35" s="1"/>
  <c r="CH38"/>
  <c r="CQ37"/>
  <c r="DD34"/>
  <c r="CQ38" l="1"/>
  <c r="CH39"/>
  <c r="DC36"/>
  <c r="CW36"/>
  <c r="DD36" s="1"/>
  <c r="CV37"/>
  <c r="CR37"/>
  <c r="CV38" l="1"/>
  <c r="CR38"/>
  <c r="DC37"/>
  <c r="CW37"/>
  <c r="DD37" s="1"/>
  <c r="CQ39"/>
  <c r="CH40"/>
  <c r="CH41" l="1"/>
  <c r="CV39"/>
  <c r="CR39"/>
  <c r="DC38"/>
  <c r="CW38"/>
  <c r="DD38" s="1"/>
  <c r="DC39" l="1"/>
  <c r="CW39"/>
  <c r="DD39" s="1"/>
  <c r="CH42"/>
  <c r="CH43" s="1"/>
  <c r="CH44" s="1"/>
  <c r="CH45" s="1"/>
  <c r="CH46" s="1"/>
  <c r="CQ41"/>
  <c r="CV41" l="1"/>
  <c r="CR41"/>
  <c r="CQ46"/>
  <c r="CH47"/>
  <c r="CH48" s="1"/>
  <c r="CH49" s="1"/>
  <c r="CH50" s="1"/>
  <c r="CH51" s="1"/>
  <c r="CV46" l="1"/>
  <c r="CR46"/>
  <c r="CH52"/>
  <c r="CQ51"/>
  <c r="DC41"/>
  <c r="CW41"/>
  <c r="CW64" l="1"/>
  <c r="DD41"/>
  <c r="CV51"/>
  <c r="CR51"/>
  <c r="CH53"/>
  <c r="CQ52"/>
  <c r="DC46"/>
  <c r="CW46"/>
  <c r="DD46" s="1"/>
  <c r="CR52" l="1"/>
  <c r="CV52"/>
  <c r="DC51"/>
  <c r="CW51"/>
  <c r="CQ53"/>
  <c r="CH54"/>
  <c r="CV53" l="1"/>
  <c r="CR53"/>
  <c r="DC52"/>
  <c r="CW52"/>
  <c r="DD52" s="1"/>
  <c r="CQ54"/>
  <c r="CH55"/>
  <c r="CH56" s="1"/>
  <c r="DD51"/>
  <c r="CQ55"/>
  <c r="CH57" l="1"/>
  <c r="CQ56"/>
  <c r="CV54"/>
  <c r="CR54"/>
  <c r="CR55" s="1"/>
  <c r="DC53"/>
  <c r="CW53"/>
  <c r="DD53" s="1"/>
  <c r="CQ57"/>
  <c r="CR56" l="1"/>
  <c r="CR57" s="1"/>
  <c r="CV56"/>
  <c r="DC54"/>
  <c r="CW54"/>
  <c r="DD54" s="1"/>
  <c r="CV55"/>
  <c r="CW55"/>
  <c r="CV57" l="1"/>
  <c r="DC55"/>
  <c r="DD55"/>
  <c r="DC56"/>
  <c r="CW56"/>
  <c r="DD56" s="1"/>
  <c r="CV59" l="1"/>
  <c r="DC57"/>
  <c r="CW57"/>
  <c r="DD57" l="1"/>
  <c r="CW59"/>
  <c r="S12"/>
  <c r="S14" s="1"/>
  <c r="T17" s="1"/>
  <c r="CW66" l="1"/>
  <c r="T21"/>
  <c r="T23" s="1"/>
  <c r="CD40" l="1"/>
  <c r="T24"/>
  <c r="CD42" l="1"/>
  <c r="CD44" s="1"/>
  <c r="CG59" s="1"/>
  <c r="CQ40"/>
  <c r="T1"/>
  <c r="CV40" l="1"/>
  <c r="CR40"/>
  <c r="CR42" s="1"/>
  <c r="CR44" s="1"/>
  <c r="CR48" s="1"/>
  <c r="CQ42"/>
  <c r="CQ44" s="1"/>
  <c r="CR60"/>
  <c r="B1" s="1"/>
  <c r="A1" s="1"/>
  <c r="DC40" l="1"/>
  <c r="CW40"/>
  <c r="CV42"/>
  <c r="DD40" l="1"/>
  <c r="CW63"/>
  <c r="CW68" s="1"/>
  <c r="CW42"/>
  <c r="DC42"/>
  <c r="CV44"/>
  <c r="DC44" s="1"/>
  <c r="DD42" l="1"/>
  <c r="CW44"/>
  <c r="CW62" l="1"/>
  <c r="CW65" s="1"/>
  <c r="CW67" s="1"/>
  <c r="CW69" s="1"/>
  <c r="CW48"/>
  <c r="DD48" s="1"/>
  <c r="DD44"/>
</calcChain>
</file>

<file path=xl/sharedStrings.xml><?xml version="1.0" encoding="utf-8"?>
<sst xmlns="http://schemas.openxmlformats.org/spreadsheetml/2006/main" count="551" uniqueCount="298">
  <si>
    <t>KJB-6 Adj. 01</t>
  </si>
  <si>
    <t>KJB-6 Adj. 02</t>
  </si>
  <si>
    <t>KJB-6 Adj. 03</t>
  </si>
  <si>
    <t xml:space="preserve"> </t>
  </si>
  <si>
    <t>KJB-6 Adj. 04</t>
  </si>
  <si>
    <t>KJB-6 Adj. 05</t>
  </si>
  <si>
    <t>KJB-6 Adj. 06</t>
  </si>
  <si>
    <t>KJB-6 Adj. 07</t>
  </si>
  <si>
    <t>KJB-6 Adj. 08</t>
  </si>
  <si>
    <t>KJB-6 Adj. 09</t>
  </si>
  <si>
    <t>KJB-6 Adj. 10</t>
  </si>
  <si>
    <t>KJB-6 Adj. 11</t>
  </si>
  <si>
    <t>KJB-6 Adj. 12</t>
  </si>
  <si>
    <t>KJB-6 Adj. 13</t>
  </si>
  <si>
    <t>KJB-6 Adj. 14</t>
  </si>
  <si>
    <t>KJB-6 Adj. 15</t>
  </si>
  <si>
    <t>KJB-6 Detail (1)</t>
  </si>
  <si>
    <t>KJB-6 Detail (2)</t>
  </si>
  <si>
    <t>KJB-6 (Summary)</t>
  </si>
  <si>
    <t>PUGET SOUND ENERGY-GAS</t>
  </si>
  <si>
    <t>STATEMENT OF OPERATING INCOME AND ADJUSTMENTS</t>
  </si>
  <si>
    <t>RESULTS OF OPERATIONS</t>
  </si>
  <si>
    <t>TEMPERATURE NORMALIZATION</t>
  </si>
  <si>
    <t>REVENUE &amp; EXPENSE RESTATING</t>
  </si>
  <si>
    <t>FEDERAL INCOME TAX</t>
  </si>
  <si>
    <t>TAX BENEFIT OF RESTATED INTEREST</t>
  </si>
  <si>
    <t>PASS-THROUGH REVENUE &amp; EXPENSE</t>
  </si>
  <si>
    <t>RATE CASE EXPENSES</t>
  </si>
  <si>
    <t>BAD DEBTS</t>
  </si>
  <si>
    <t>EXCISE TAX &amp; FILING FEE</t>
  </si>
  <si>
    <t>INTEREST ON CUSTOMER DEPOSITS</t>
  </si>
  <si>
    <t>PENSION PLAN</t>
  </si>
  <si>
    <t>D&amp;O INSURANCE</t>
  </si>
  <si>
    <t>INJURIES AND DAMAGES</t>
  </si>
  <si>
    <t>GAINS AND LOSSES ON PROPERTY SALES</t>
  </si>
  <si>
    <t>INCENTIVE PAY</t>
  </si>
  <si>
    <t>CONVERSION FACTOR</t>
  </si>
  <si>
    <t>FOR THE TWELVE MONTHS ENDED JUNE 30, 2012</t>
  </si>
  <si>
    <t>COMMISSION BASIS REPORT</t>
  </si>
  <si>
    <t>SHOULD BE ZERO!!</t>
  </si>
  <si>
    <t>OTHER</t>
  </si>
  <si>
    <t>PERCENT</t>
  </si>
  <si>
    <t>&gt;</t>
  </si>
  <si>
    <t>LINE</t>
  </si>
  <si>
    <t>NET</t>
  </si>
  <si>
    <t>GROSS</t>
  </si>
  <si>
    <t>OPERATING</t>
  </si>
  <si>
    <t>WRITEOFFS</t>
  </si>
  <si>
    <t xml:space="preserve">LINE </t>
  </si>
  <si>
    <t>ACTUAL RESULTS OF</t>
  </si>
  <si>
    <t>TEMPERATURE</t>
  </si>
  <si>
    <t>REVENUE</t>
  </si>
  <si>
    <t xml:space="preserve">FEDERAL </t>
  </si>
  <si>
    <t>TAX BENEFIT OF</t>
  </si>
  <si>
    <t>PASS-THROUGH</t>
  </si>
  <si>
    <t>RATE CASE</t>
  </si>
  <si>
    <t xml:space="preserve">BAD </t>
  </si>
  <si>
    <t>EXCISE TAX &amp;</t>
  </si>
  <si>
    <t xml:space="preserve">INTEREST ON </t>
  </si>
  <si>
    <t xml:space="preserve">PENSION </t>
  </si>
  <si>
    <t>D&amp;O</t>
  </si>
  <si>
    <t>INJURIES</t>
  </si>
  <si>
    <t>PROPERTY</t>
  </si>
  <si>
    <t>INCENTIVE</t>
  </si>
  <si>
    <t>TOTAL</t>
  </si>
  <si>
    <t>ADJUSTED</t>
  </si>
  <si>
    <t>ACTUAL</t>
  </si>
  <si>
    <t>RESTATED</t>
  </si>
  <si>
    <t>NO.</t>
  </si>
  <si>
    <t>DESCRIPTION</t>
  </si>
  <si>
    <t>ADJUSTMENT</t>
  </si>
  <si>
    <t>AMOUNT</t>
  </si>
  <si>
    <t>YEAR</t>
  </si>
  <si>
    <t>REVENUES</t>
  </si>
  <si>
    <t>TO REVENUE</t>
  </si>
  <si>
    <t xml:space="preserve">RESTATED </t>
  </si>
  <si>
    <t>TEST YEAR</t>
  </si>
  <si>
    <t>BASE</t>
  </si>
  <si>
    <t>RATE</t>
  </si>
  <si>
    <t>OPERATIONS</t>
  </si>
  <si>
    <t>NORMALIZATION</t>
  </si>
  <si>
    <t>&amp; EXPENSE</t>
  </si>
  <si>
    <t>INCOME TAX</t>
  </si>
  <si>
    <t>RESTATED INTEREST</t>
  </si>
  <si>
    <t>REVENUE &amp; EXPENSE</t>
  </si>
  <si>
    <t>EXPENSES</t>
  </si>
  <si>
    <t>DEBTS</t>
  </si>
  <si>
    <t>FILING FEE</t>
  </si>
  <si>
    <t>CUST DEPOSITS</t>
  </si>
  <si>
    <t>PLAN</t>
  </si>
  <si>
    <t>INSURANCE</t>
  </si>
  <si>
    <t>AND DAMAGES</t>
  </si>
  <si>
    <t>SALES</t>
  </si>
  <si>
    <t>PAY</t>
  </si>
  <si>
    <t>ADJUSTMENTS</t>
  </si>
  <si>
    <t>RESULTS OF</t>
  </si>
  <si>
    <t>June</t>
  </si>
  <si>
    <t>February</t>
  </si>
  <si>
    <t>12 ME June 30, 2012</t>
  </si>
  <si>
    <t>TEMPERATURE NORMALIZATION ADJUSTMENT:</t>
  </si>
  <si>
    <t>SALES TO CUSTOMERS:</t>
  </si>
  <si>
    <t>TAXABLE INCOME BEFORE ADJUSTMENTS</t>
  </si>
  <si>
    <t>RATE BASE</t>
  </si>
  <si>
    <t>REMOVE REVENUES ASSOCIATED WITH RIDERS:</t>
  </si>
  <si>
    <t>EXPENSES TO BE NORMALIZED:</t>
  </si>
  <si>
    <t>1</t>
  </si>
  <si>
    <t>12 ME 6/30/2008</t>
  </si>
  <si>
    <t>RESTATED EXCISE TAXES</t>
  </si>
  <si>
    <t>INTEREST EXPENSE FOR TEST YEAR</t>
  </si>
  <si>
    <t>QUALIFIED RETIREMENT FUND</t>
  </si>
  <si>
    <t>D &amp; O INS. CHG  EXPENSE</t>
  </si>
  <si>
    <t>INJURIES &amp; DAMAGES ACCRUALS</t>
  </si>
  <si>
    <t>AMORTIZATION OF DEFERRED GAIN</t>
  </si>
  <si>
    <t>INCENTIVE/MERIT PAY</t>
  </si>
  <si>
    <t>-</t>
  </si>
  <si>
    <t>TEMP ADJ</t>
  </si>
  <si>
    <t>THERMS</t>
  </si>
  <si>
    <t>TRUE UP CHANGE IN UNBILLED</t>
  </si>
  <si>
    <t>REMOVE LOW INCOME RIDER - SCHEDULE 129</t>
  </si>
  <si>
    <t>12 ME 6/30/2011</t>
  </si>
  <si>
    <t>CHARGED TO EXPENSE FOR TEST YEAR</t>
  </si>
  <si>
    <t>INJURIES &amp; DAMAGES PAYMENTS IN EXCESS OF ACCRUALS</t>
  </si>
  <si>
    <t>AMORTIZATION OF DEFERRED LOSS</t>
  </si>
  <si>
    <t>TOTAL INCENTIVE PAY</t>
  </si>
  <si>
    <t>ANNUAL FILING FEE</t>
  </si>
  <si>
    <t>OPERATING REVENUES</t>
  </si>
  <si>
    <t>OPERATING REVENUES:</t>
  </si>
  <si>
    <t>CHANGE</t>
  </si>
  <si>
    <t>TRANSFER NEW CUSTOMER REVENUE</t>
  </si>
  <si>
    <t>ADD BACK:</t>
  </si>
  <si>
    <t>NET RATE BASE</t>
  </si>
  <si>
    <t>REMOVE CONSERVATION TRACKER - SCHEDULE 120</t>
  </si>
  <si>
    <t>2007 and 2006 GRC EXPENSES TO BE NORMALIZED</t>
  </si>
  <si>
    <t>12 ME 6/30/2012</t>
  </si>
  <si>
    <t>INCREASE(DECREASE) EXCISE TAX</t>
  </si>
  <si>
    <t>INCREASE (DECREASE) IN EXPENSE</t>
  </si>
  <si>
    <t>INCREASE/(DECREASE) IN EXPENSE</t>
  </si>
  <si>
    <t>TOTAL GAIN/LOSS AMORTIZATION</t>
  </si>
  <si>
    <t>STATE UTILITY TAX ( 3.852% - ( LINE 1 * 3.852% )  )</t>
  </si>
  <si>
    <t>SALES TO CUSTOMERS</t>
  </si>
  <si>
    <t>REMOVE NON-RECURRING CUSTOMER REVENUE</t>
  </si>
  <si>
    <t xml:space="preserve">   CURRENT FEDERAL INCOME TAXES</t>
  </si>
  <si>
    <t>REMOVE REVENUE ASSOC WITH PGA AMORTIZATION - SCHEDULE 106</t>
  </si>
  <si>
    <t>INCREASE (DECREASE) NOI</t>
  </si>
  <si>
    <t>INCREASE (DECREASE ) IN EXPENSE</t>
  </si>
  <si>
    <t>PAYROLL TAXES ASSOC WITH MERIT PAY</t>
  </si>
  <si>
    <t>MUNICIPAL ADDITIONS</t>
  </si>
  <si>
    <t>REMOVE MERGER RATE CREDIT SCH 132</t>
  </si>
  <si>
    <t xml:space="preserve">   DEFERRED FEDERAL INCOME TAXES</t>
  </si>
  <si>
    <t>WEIGHTED COST OF DEBT</t>
  </si>
  <si>
    <t>REMOVE CARBON OFFSET - SCHEDULE 137</t>
  </si>
  <si>
    <t>ANNUAL NORMALIZATION (LINE 3 / 2)</t>
  </si>
  <si>
    <t>3-Yr Average of Net Write Off Rate</t>
  </si>
  <si>
    <t>RESTATED WUTC FILING FEE</t>
  </si>
  <si>
    <t>INCREASE (DECREASE) OPERATING INCOME</t>
  </si>
  <si>
    <t>INCREASE/(DECREASE) IN OPERATING EXPENSE (LINE 3)</t>
  </si>
  <si>
    <t>INCREASE (DECREASE) EXPENSE</t>
  </si>
  <si>
    <t>INCREASE(DECREASE) EXPENSE</t>
  </si>
  <si>
    <t>SUM OF TAXES OTHER</t>
  </si>
  <si>
    <t>OTHER OPERATING REVENUES</t>
  </si>
  <si>
    <t>SUB TOTAL</t>
  </si>
  <si>
    <t>REMOVE OTHER ASSOC WITH CARBON OFFSET - SCHEDULE 137</t>
  </si>
  <si>
    <t>LESS TEST YEAR EXPENSE:  GRC DIRECT CHARGES TO O&amp;M</t>
  </si>
  <si>
    <t>INCREASE (DECREASE) INCOME</t>
  </si>
  <si>
    <t>INCREASE (DECREASE) FIT @</t>
  </si>
  <si>
    <t>TOTAL OPERATING REVENUES</t>
  </si>
  <si>
    <t>TOTAL INCREASE (DECREASE) SALES TO CUSTOMERS</t>
  </si>
  <si>
    <t>REMOVE MUNICIPAL TAXES ASSOC WITH SALES TO CUSTOMERS</t>
  </si>
  <si>
    <t>Reporting Period Revenues</t>
  </si>
  <si>
    <t>INCREASE(DECREASE) WUTC FILING FEE</t>
  </si>
  <si>
    <t>INCREASE (DECREASE) FIT @ 35%</t>
  </si>
  <si>
    <t>INCREASE (DECREASE) OPERATING EXPENSE</t>
  </si>
  <si>
    <t>LESS: INTEREST</t>
  </si>
  <si>
    <t>INTEREST FOR WHICH THE TAX BENEFIT IS INCLUDED ABOVE THE LINE</t>
  </si>
  <si>
    <t>REMOVE MUNICIPAL TAXES ASSOC WITH OTHER OPRTG REV</t>
  </si>
  <si>
    <t>OTHER OPERATING REVENUES:</t>
  </si>
  <si>
    <t xml:space="preserve">TAXABLE INCOME  </t>
  </si>
  <si>
    <t>TOTAL (INCREASE) DECREASE REVENUES</t>
  </si>
  <si>
    <t>RESTATED BAD DEBT RATE</t>
  </si>
  <si>
    <t>INCREASE(DECREASE) FIT @</t>
  </si>
  <si>
    <t>OPERATING REVENUE DEDUCTIONS:</t>
  </si>
  <si>
    <t>INCREASE (DECREASE) INTEREST EXPENSE</t>
  </si>
  <si>
    <t>TOTAL INCREASE (DECREASE) EXPENSE</t>
  </si>
  <si>
    <t>RESTATED BAD DEBTS</t>
  </si>
  <si>
    <t>INCREASE(DECREASE) NOI</t>
  </si>
  <si>
    <t>EFFECTIVE TAX RATE</t>
  </si>
  <si>
    <t>DECREASE REVENUE SENSITIVE ITEMS FOR DECREASE IN REVENUES:</t>
  </si>
  <si>
    <t>INCREASE(DECREASE) OPERATING INCOME</t>
  </si>
  <si>
    <t>GAS COSTS:</t>
  </si>
  <si>
    <t>CALCULATED FEDERAL INCOME TAX</t>
  </si>
  <si>
    <t xml:space="preserve">INCREASE (DECREASE) FIT @ </t>
  </si>
  <si>
    <t>UNCOLLECTIBLES @</t>
  </si>
  <si>
    <t>UNCOLLECTIBLES CHARGED TO EXPENSE IN TEST YEAR</t>
  </si>
  <si>
    <t>TOTAL INCREASE (DECREASE) OTHER OPERATING REVENUES</t>
  </si>
  <si>
    <t xml:space="preserve">LESS:  </t>
  </si>
  <si>
    <t>INCREASE(DECREASE) FIT</t>
  </si>
  <si>
    <t xml:space="preserve"> PURCHASED GAS</t>
  </si>
  <si>
    <t xml:space="preserve">STATE UTILITY TAX </t>
  </si>
  <si>
    <t>TOTAL INCREASE (DECREASE) REVENUES</t>
  </si>
  <si>
    <t xml:space="preserve">TOTAL </t>
  </si>
  <si>
    <t>INCREASE(DECREASE ) IN INCOME</t>
  </si>
  <si>
    <t>TOTAL PRODUCTION EXPENSES</t>
  </si>
  <si>
    <t>INCREASE (DECREASE) FIT</t>
  </si>
  <si>
    <t>REVENUE ADJUSTMENT:</t>
  </si>
  <si>
    <t>OPERATING EXPENSES:</t>
  </si>
  <si>
    <t xml:space="preserve">INCREASE(DECREASE) FIT </t>
  </si>
  <si>
    <t>REMOVE EXPENSES ASSOCIATED WITH RIDERS</t>
  </si>
  <si>
    <t>OTHER ENERGY SUPPLY EXPENSES</t>
  </si>
  <si>
    <t>OTHER POWER SUPPLY EXPENSES</t>
  </si>
  <si>
    <t>Residential (23)</t>
  </si>
  <si>
    <t>CHANGE TO GAS COST FOR TRUE UP TO CHANGE IN UNBILLED REVENUE</t>
  </si>
  <si>
    <t>REMOVE LOW INCOME AMORTIZATION - SCHEDULE 129</t>
  </si>
  <si>
    <t>TRANSMISSION EXPENSE</t>
  </si>
  <si>
    <t>Residential (16)</t>
  </si>
  <si>
    <t>REMOVE NON-RECURRING CUSTOMER GAS COSTS</t>
  </si>
  <si>
    <t>REMOVE CONSERVATION AMORTIZATION - SCHEDULE 120</t>
  </si>
  <si>
    <t>DISTRIBUTION EXPENSE</t>
  </si>
  <si>
    <t>Commercial &amp; industrial (31)</t>
  </si>
  <si>
    <t xml:space="preserve">INCREASE(DECREASE) NOI </t>
  </si>
  <si>
    <t>REMOVE PGA DEFERRAL AMORTIZATION EXP - SCHEDULE 106</t>
  </si>
  <si>
    <t>CUSTOMER ACCTS EXPENSES</t>
  </si>
  <si>
    <t>CUSTOMER ACCOUNT EXPENSES</t>
  </si>
  <si>
    <t>Large volume (41)</t>
  </si>
  <si>
    <t>TOTAL PURCHASE GAS COSTS</t>
  </si>
  <si>
    <t>REMOVE CARBON OFFSET AMORTIZATION EXP - SCHEDULE 137</t>
  </si>
  <si>
    <t>CUSTOMER SERVICE EXPENSES</t>
  </si>
  <si>
    <t>Compressed natural gas (50)</t>
  </si>
  <si>
    <t xml:space="preserve">REMOVE MUNICIPAL TAXES </t>
  </si>
  <si>
    <t>CONSERVATION AMORTIZATION</t>
  </si>
  <si>
    <t>Interruptible (85)</t>
  </si>
  <si>
    <t>ADMIN &amp; GENERAL EXPENSE</t>
  </si>
  <si>
    <t>Limited interruptible (86)</t>
  </si>
  <si>
    <t>ANNUAL FILING FEE @</t>
  </si>
  <si>
    <t>DEPRECIATION</t>
  </si>
  <si>
    <t>Non exclusive interruptible (87)</t>
  </si>
  <si>
    <t>INCREASE (DECREASE) OPERATING INCOME BEFORE FIT</t>
  </si>
  <si>
    <t xml:space="preserve">   </t>
  </si>
  <si>
    <t>AMORTIZATION</t>
  </si>
  <si>
    <t>Transportation (87T)</t>
  </si>
  <si>
    <t>INCREASE (DECREASE) FIT  (LINE 23 * 35%)</t>
  </si>
  <si>
    <t>AMORTIZATION OF PROPERTY LOSS</t>
  </si>
  <si>
    <t>Contracts (99,199,299)</t>
  </si>
  <si>
    <t>STATE UTILITY TAX @</t>
  </si>
  <si>
    <t>OTHER OPERATING EXPENSES</t>
  </si>
  <si>
    <t>INCREASE (DECREASE) SALES TO CUSTOMERS</t>
  </si>
  <si>
    <t>TAXES OTHER THAN F.I.T.</t>
  </si>
  <si>
    <t>INCREASE (DECREASE) TAXES OTHER</t>
  </si>
  <si>
    <t>FEDERAL INCOME TAXES</t>
  </si>
  <si>
    <t>DEFERRED INCOME TAXES</t>
  </si>
  <si>
    <t>PURCHASED GAS COSTS</t>
  </si>
  <si>
    <t>TOTAL OPERATING REV. DEDUCT.</t>
  </si>
  <si>
    <t>NET OPERATING INCOME</t>
  </si>
  <si>
    <t xml:space="preserve">RATE BASE </t>
  </si>
  <si>
    <t>RATE OF RETURN</t>
  </si>
  <si>
    <t>RATE BASE:</t>
  </si>
  <si>
    <t xml:space="preserve">  UTILITY PLANT IN SERVICE AND OTHER ASSETS</t>
  </si>
  <si>
    <t xml:space="preserve">  ACCUMULATED DEPRECIATION</t>
  </si>
  <si>
    <t xml:space="preserve">  ACCUMULATED DEFERRED FIT - LIBERALIZED</t>
  </si>
  <si>
    <t xml:space="preserve">  DEPRECIATION AND OTHER LIABILITIES</t>
  </si>
  <si>
    <t>TOTAL NET INVESTMENT</t>
  </si>
  <si>
    <t xml:space="preserve">  ALLOWANCE FOR WORKING CAPITAL</t>
  </si>
  <si>
    <t>TOTAL RATE BASE</t>
  </si>
  <si>
    <t>check</t>
  </si>
  <si>
    <t>Effective Tax Rate</t>
  </si>
  <si>
    <t>NOI</t>
  </si>
  <si>
    <t>Current Tax</t>
  </si>
  <si>
    <t>Deferred Taxes</t>
  </si>
  <si>
    <t>Pre-Tax NOI</t>
  </si>
  <si>
    <t>Less: Interest</t>
  </si>
  <si>
    <t>Taxable Income</t>
  </si>
  <si>
    <t>Taxes</t>
  </si>
  <si>
    <t>Effective Rate</t>
  </si>
  <si>
    <t>KJB-6 Adj. 16</t>
  </si>
  <si>
    <t>PUGET SOUND ENERGY-ELECTRIC &amp; GAS</t>
  </si>
  <si>
    <t>ALLOCATION METHODS</t>
  </si>
  <si>
    <t>Method</t>
  </si>
  <si>
    <t>Description</t>
  </si>
  <si>
    <t>Electric</t>
  </si>
  <si>
    <t>Gas</t>
  </si>
  <si>
    <t>Total</t>
  </si>
  <si>
    <t>*</t>
  </si>
  <si>
    <t>12 Month Average Number of Customers</t>
  </si>
  <si>
    <t>Percent</t>
  </si>
  <si>
    <t>Joint Meter Reading Customers</t>
  </si>
  <si>
    <t>Non-Production Plant</t>
  </si>
  <si>
    <t xml:space="preserve"> Distribution</t>
  </si>
  <si>
    <t xml:space="preserve"> Transmission </t>
  </si>
  <si>
    <t xml:space="preserve"> Direct General Plant</t>
  </si>
  <si>
    <t>4-Factor Allocator</t>
  </si>
  <si>
    <t xml:space="preserve">  </t>
  </si>
  <si>
    <t xml:space="preserve">     Number of Customers</t>
  </si>
  <si>
    <t xml:space="preserve">     Percent</t>
  </si>
  <si>
    <t xml:space="preserve">     Labor - Direct Charge to O&amp;M</t>
  </si>
  <si>
    <t xml:space="preserve">     T&amp;D O&amp;M Expense (Less Labor)</t>
  </si>
  <si>
    <t xml:space="preserve">     Net Classified Plant (Excluding General (Common) Plant)</t>
  </si>
  <si>
    <t>Total Percentages</t>
  </si>
  <si>
    <t>Employee Benefits</t>
  </si>
  <si>
    <t>Direct Labor Accts 500-935</t>
  </si>
</sst>
</file>

<file path=xl/styles.xml><?xml version="1.0" encoding="utf-8"?>
<styleSheet xmlns="http://schemas.openxmlformats.org/spreadsheetml/2006/main">
  <numFmts count="44">
    <numFmt numFmtId="5" formatCode="&quot;$&quot;#,##0_);\(&quot;$&quot;#,##0\)"/>
    <numFmt numFmtId="6" formatCode="&quot;$&quot;#,##0_);[Red]\(&quot;$&quot;#,##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00"/>
    <numFmt numFmtId="165" formatCode="#,##0;\(#,##0\)"/>
    <numFmt numFmtId="166" formatCode="&quot;PAGE&quot;\ 0.00"/>
    <numFmt numFmtId="167" formatCode="#,##0.00\ ;\(#,##0.00\)"/>
    <numFmt numFmtId="168" formatCode="yyyy"/>
    <numFmt numFmtId="169" formatCode="0.0000000%"/>
    <numFmt numFmtId="170" formatCode="_(&quot;$&quot;* #,##0_);_(&quot;$&quot;* \(#,##0\);_(&quot;$&quot;* &quot;-&quot;??_);_(@_)"/>
    <numFmt numFmtId="171" formatCode="0.0000%"/>
    <numFmt numFmtId="172" formatCode="_(* #,##0_);_(* \(#,##0\);_(* &quot;-&quot;??_);_(@_)"/>
    <numFmt numFmtId="173" formatCode="0.0000000"/>
    <numFmt numFmtId="174" formatCode="0.000%"/>
    <numFmt numFmtId="175" formatCode="0.00000%"/>
    <numFmt numFmtId="176" formatCode="0.0000"/>
    <numFmt numFmtId="177" formatCode="0.00000"/>
    <numFmt numFmtId="178" formatCode="0.000000%"/>
    <numFmt numFmtId="179" formatCode="_(&quot;$&quot;* #,##0.0000_);_(&quot;$&quot;* \(#,##0.0000\);_(&quot;$&quot;* &quot;-&quot;??_);_(@_)"/>
    <numFmt numFmtId="180" formatCode="_(&quot;$&quot;* #,##0_);[Red]_(&quot;$&quot;* \(#,##0\);_(&quot;$&quot;* &quot;-&quot;_);_(@_)"/>
    <numFmt numFmtId="181" formatCode="0.0%"/>
    <numFmt numFmtId="182" formatCode="#,##0.0000000;\(#,##0.0000000\)"/>
    <numFmt numFmtId="183" formatCode="0."/>
    <numFmt numFmtId="184" formatCode=".0000000"/>
    <numFmt numFmtId="185" formatCode="&quot;$&quot;#,##0_);\(#,##0\)"/>
    <numFmt numFmtId="186" formatCode="_(* #,##0.00000_);_(* \(#,##0.00000\);_(* &quot;-&quot;??_);_(@_)"/>
    <numFmt numFmtId="187" formatCode="0000"/>
    <numFmt numFmtId="188" formatCode="000000"/>
    <numFmt numFmtId="189" formatCode="d\.mmm\.yy"/>
    <numFmt numFmtId="190" formatCode="#."/>
    <numFmt numFmtId="191" formatCode="_(* ###0_);_(* \(###0\);_(* &quot;-&quot;_);_(@_)"/>
    <numFmt numFmtId="192" formatCode="_([$€-2]* #,##0.00_);_([$€-2]* \(#,##0.00\);_([$€-2]* &quot;-&quot;??_)"/>
    <numFmt numFmtId="193" formatCode="_(&quot;$&quot;* #,##0.0_);_(&quot;$&quot;* \(#,##0.0\);_(&quot;$&quot;* &quot;-&quot;??_);_(@_)"/>
    <numFmt numFmtId="194" formatCode="_(&quot;$&quot;* #,##0.000000_);_(&quot;$&quot;* \(#,##0.000000\);_(&quot;$&quot;* &quot;-&quot;??????_);_(@_)"/>
    <numFmt numFmtId="195" formatCode="&quot;$&quot;#,##0;\-&quot;$&quot;#,##0"/>
    <numFmt numFmtId="196" formatCode="mmmm\ d\,\ yyyy"/>
    <numFmt numFmtId="197" formatCode="_(&quot;$&quot;* #,##0.0000_);_(&quot;$&quot;* \(#,##0.0000\);_(&quot;$&quot;* &quot;-&quot;????_);_(@_)"/>
    <numFmt numFmtId="198" formatCode="_(* #,##0.0_);_(* \(#,##0.0\);_(* &quot;-&quot;_);_(@_)"/>
    <numFmt numFmtId="199" formatCode="&quot;$&quot;#,##0.00"/>
    <numFmt numFmtId="200" formatCode="_(* #,##0.0000_);_(* \(#,##0.0000\);_(* &quot;-&quot;??_);_(@_)"/>
  </numFmts>
  <fonts count="65">
    <font>
      <sz val="8"/>
      <name val="Helv"/>
    </font>
    <font>
      <sz val="11"/>
      <color theme="1"/>
      <name val="Calibri"/>
      <family val="2"/>
      <scheme val="minor"/>
    </font>
    <font>
      <sz val="8"/>
      <name val="Helv"/>
    </font>
    <font>
      <b/>
      <sz val="10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  <font>
      <sz val="10"/>
      <name val="Arial"/>
      <family val="2"/>
    </font>
    <font>
      <sz val="11"/>
      <name val="univers (E1)"/>
    </font>
    <font>
      <b/>
      <sz val="12"/>
      <name val="Times New Roman"/>
      <family val="1"/>
    </font>
    <font>
      <b/>
      <sz val="8"/>
      <name val="Helv"/>
    </font>
    <font>
      <b/>
      <u/>
      <sz val="10"/>
      <name val="Times New Roman"/>
      <family val="1"/>
    </font>
    <font>
      <sz val="10"/>
      <color indexed="10"/>
      <name val="Times New Roman"/>
      <family val="1"/>
    </font>
    <font>
      <u/>
      <sz val="10"/>
      <name val="Times New Roman"/>
      <family val="1"/>
    </font>
    <font>
      <b/>
      <sz val="11"/>
      <name val="Times New Roman"/>
      <family val="1"/>
    </font>
    <font>
      <sz val="10"/>
      <color indexed="8"/>
      <name val="Times New Roman"/>
      <family val="1"/>
    </font>
    <font>
      <sz val="10"/>
      <color indexed="56"/>
      <name val="Times New Roman"/>
      <family val="1"/>
    </font>
    <font>
      <b/>
      <i/>
      <sz val="10"/>
      <name val="Times New Roman"/>
      <family val="1"/>
    </font>
    <font>
      <b/>
      <sz val="10"/>
      <color indexed="8"/>
      <name val="Times New Roman"/>
      <family val="1"/>
    </font>
    <font>
      <i/>
      <sz val="10"/>
      <name val="Times New Roman"/>
      <family val="1"/>
    </font>
    <font>
      <sz val="10"/>
      <color indexed="14"/>
      <name val="Times New Roman"/>
      <family val="1"/>
    </font>
    <font>
      <sz val="12"/>
      <color indexed="14"/>
      <name val="Times New Roman"/>
      <family val="1"/>
    </font>
    <font>
      <sz val="10"/>
      <name val="MS Sans Serif"/>
      <family val="2"/>
    </font>
    <font>
      <sz val="12"/>
      <name val="Times New Roman"/>
      <family val="1"/>
    </font>
    <font>
      <sz val="8"/>
      <name val="Antique Olive"/>
      <family val="2"/>
    </font>
    <font>
      <sz val="8"/>
      <name val="Geneva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color indexed="8"/>
      <name val="MS Sans Serif"/>
      <family val="2"/>
    </font>
    <font>
      <sz val="11"/>
      <name val="Arial"/>
      <family val="2"/>
    </font>
    <font>
      <sz val="12"/>
      <color indexed="24"/>
      <name val="Arial"/>
      <family val="2"/>
    </font>
    <font>
      <sz val="10"/>
      <name val="Helv"/>
    </font>
    <font>
      <sz val="12"/>
      <name val="Times"/>
      <family val="1"/>
    </font>
    <font>
      <sz val="10"/>
      <color indexed="24"/>
      <name val="Arial"/>
      <family val="2"/>
    </font>
    <font>
      <sz val="1"/>
      <color indexed="16"/>
      <name val="Courier"/>
      <family val="3"/>
    </font>
    <font>
      <sz val="10"/>
      <name val="MS Serif"/>
      <family val="1"/>
    </font>
    <font>
      <sz val="10"/>
      <name val="Courier"/>
      <family val="3"/>
    </font>
    <font>
      <b/>
      <sz val="11"/>
      <color indexed="8"/>
      <name val="Calibri"/>
      <family val="2"/>
    </font>
    <font>
      <sz val="8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indexed="12"/>
      <name val="Arial"/>
      <family val="2"/>
    </font>
    <font>
      <b/>
      <sz val="12"/>
      <color indexed="20"/>
      <name val="Arial"/>
      <family val="2"/>
    </font>
    <font>
      <sz val="7"/>
      <name val="Small Fonts"/>
      <family val="2"/>
    </font>
    <font>
      <sz val="10"/>
      <color indexed="8"/>
      <name val="Arial"/>
      <family val="2"/>
    </font>
    <font>
      <b/>
      <sz val="10"/>
      <name val="MS Sans Serif"/>
      <family val="2"/>
    </font>
    <font>
      <sz val="12"/>
      <color indexed="10"/>
      <name val="Arial"/>
      <family val="2"/>
    </font>
    <font>
      <sz val="12"/>
      <color indexed="10"/>
      <name val="Times"/>
      <family val="1"/>
    </font>
    <font>
      <i/>
      <sz val="10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b/>
      <sz val="8"/>
      <color indexed="8"/>
      <name val="Helv"/>
    </font>
    <font>
      <b/>
      <i/>
      <sz val="10"/>
      <name val="Arial"/>
      <family val="2"/>
    </font>
    <font>
      <b/>
      <sz val="8"/>
      <name val="Times New Roman"/>
      <family val="1"/>
    </font>
    <font>
      <b/>
      <sz val="10"/>
      <color indexed="10"/>
      <name val="Arial"/>
      <family val="2"/>
    </font>
    <font>
      <b/>
      <sz val="12"/>
      <color indexed="56"/>
      <name val="Arial"/>
      <family val="2"/>
    </font>
    <font>
      <b/>
      <sz val="14"/>
      <color indexed="56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u/>
      <sz val="9"/>
      <name val="Arial"/>
      <family val="2"/>
    </font>
  </fonts>
  <fills count="5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4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22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mediumGray">
        <fgColor indexed="22"/>
      </patternFill>
    </fill>
    <fill>
      <patternFill patternType="solid">
        <fgColor indexed="31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9"/>
      </patternFill>
    </fill>
    <fill>
      <patternFill patternType="solid">
        <fgColor indexed="26"/>
        <bgColor indexed="64"/>
      </patternFill>
    </fill>
    <fill>
      <patternFill patternType="gray0625">
        <fgColor indexed="8"/>
      </patternFill>
    </fill>
    <fill>
      <patternFill patternType="gray125">
        <fgColor indexed="8"/>
      </patternFill>
    </fill>
  </fills>
  <borders count="1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hair">
        <color indexed="64"/>
      </top>
      <bottom/>
      <diagonal/>
    </border>
    <border>
      <left/>
      <right/>
      <top style="double">
        <color indexed="8"/>
      </top>
      <bottom/>
      <diagonal/>
    </border>
  </borders>
  <cellStyleXfs count="506">
    <xf numFmtId="164" fontId="0" fillId="0" borderId="0">
      <alignment horizontal="left" wrapText="1"/>
    </xf>
    <xf numFmtId="4" fontId="7" fillId="0" borderId="0" applyFont="0" applyFill="0" applyBorder="0" applyAlignment="0" applyProtection="0"/>
    <xf numFmtId="8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6" fillId="0" borderId="0"/>
    <xf numFmtId="0" fontId="6" fillId="0" borderId="0"/>
    <xf numFmtId="171" fontId="6" fillId="0" borderId="0">
      <alignment horizontal="left" wrapText="1"/>
    </xf>
    <xf numFmtId="164" fontId="6" fillId="0" borderId="0">
      <alignment horizontal="left" wrapText="1"/>
    </xf>
    <xf numFmtId="0" fontId="6" fillId="0" borderId="0">
      <alignment horizontal="left" wrapText="1"/>
    </xf>
    <xf numFmtId="176" fontId="6" fillId="0" borderId="0">
      <alignment horizontal="left" wrapText="1"/>
    </xf>
    <xf numFmtId="164" fontId="6" fillId="0" borderId="0">
      <alignment horizontal="left" wrapText="1"/>
    </xf>
    <xf numFmtId="0" fontId="21" fillId="0" borderId="0"/>
    <xf numFmtId="0" fontId="21" fillId="0" borderId="0"/>
    <xf numFmtId="0" fontId="6" fillId="0" borderId="0"/>
    <xf numFmtId="186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86" fontId="6" fillId="0" borderId="0">
      <alignment horizontal="left" wrapText="1"/>
    </xf>
    <xf numFmtId="186" fontId="6" fillId="0" borderId="0">
      <alignment horizontal="left" wrapText="1"/>
    </xf>
    <xf numFmtId="186" fontId="6" fillId="0" borderId="0">
      <alignment horizontal="left" wrapText="1"/>
    </xf>
    <xf numFmtId="186" fontId="6" fillId="0" borderId="0">
      <alignment horizontal="left" wrapText="1"/>
    </xf>
    <xf numFmtId="186" fontId="6" fillId="0" borderId="0">
      <alignment horizontal="left" wrapText="1"/>
    </xf>
    <xf numFmtId="186" fontId="6" fillId="0" borderId="0">
      <alignment horizontal="left" wrapText="1"/>
    </xf>
    <xf numFmtId="164" fontId="6" fillId="0" borderId="0">
      <alignment horizontal="left" wrapText="1"/>
    </xf>
    <xf numFmtId="173" fontId="6" fillId="0" borderId="0">
      <alignment horizontal="left" wrapText="1"/>
    </xf>
    <xf numFmtId="186" fontId="6" fillId="0" borderId="0">
      <alignment horizontal="left" wrapText="1"/>
    </xf>
    <xf numFmtId="186" fontId="6" fillId="0" borderId="0">
      <alignment horizontal="left" wrapText="1"/>
    </xf>
    <xf numFmtId="186" fontId="6" fillId="0" borderId="0">
      <alignment horizontal="left" wrapText="1"/>
    </xf>
    <xf numFmtId="186" fontId="6" fillId="0" borderId="0">
      <alignment horizontal="left" wrapText="1"/>
    </xf>
    <xf numFmtId="186" fontId="6" fillId="0" borderId="0">
      <alignment horizontal="left" wrapText="1"/>
    </xf>
    <xf numFmtId="186" fontId="6" fillId="0" borderId="0">
      <alignment horizontal="left" wrapText="1"/>
    </xf>
    <xf numFmtId="173" fontId="6" fillId="0" borderId="0">
      <alignment horizontal="left" wrapText="1"/>
    </xf>
    <xf numFmtId="173" fontId="6" fillId="0" borderId="0">
      <alignment horizontal="left" wrapText="1"/>
    </xf>
    <xf numFmtId="173" fontId="6" fillId="0" borderId="0">
      <alignment horizontal="left" wrapText="1"/>
    </xf>
    <xf numFmtId="173" fontId="6" fillId="0" borderId="0">
      <alignment horizontal="left" wrapText="1"/>
    </xf>
    <xf numFmtId="186" fontId="6" fillId="0" borderId="0">
      <alignment horizontal="left" wrapText="1"/>
    </xf>
    <xf numFmtId="186" fontId="6" fillId="0" borderId="0">
      <alignment horizontal="left" wrapText="1"/>
    </xf>
    <xf numFmtId="186" fontId="6" fillId="0" borderId="0">
      <alignment horizontal="left" wrapText="1"/>
    </xf>
    <xf numFmtId="186" fontId="6" fillId="0" borderId="0">
      <alignment horizontal="left" wrapText="1"/>
    </xf>
    <xf numFmtId="186" fontId="6" fillId="0" borderId="0">
      <alignment horizontal="left" wrapText="1"/>
    </xf>
    <xf numFmtId="186" fontId="6" fillId="0" borderId="0">
      <alignment horizontal="left" wrapText="1"/>
    </xf>
    <xf numFmtId="0" fontId="22" fillId="0" borderId="0"/>
    <xf numFmtId="0" fontId="22" fillId="0" borderId="0"/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0" fontId="22" fillId="0" borderId="0"/>
    <xf numFmtId="186" fontId="6" fillId="0" borderId="0">
      <alignment horizontal="left" wrapText="1"/>
    </xf>
    <xf numFmtId="186" fontId="6" fillId="0" borderId="0">
      <alignment horizontal="left" wrapText="1"/>
    </xf>
    <xf numFmtId="186" fontId="6" fillId="0" borderId="0">
      <alignment horizontal="left" wrapText="1"/>
    </xf>
    <xf numFmtId="186" fontId="6" fillId="0" borderId="0">
      <alignment horizontal="left" wrapText="1"/>
    </xf>
    <xf numFmtId="186" fontId="6" fillId="0" borderId="0">
      <alignment horizontal="left" wrapText="1"/>
    </xf>
    <xf numFmtId="186" fontId="6" fillId="0" borderId="0">
      <alignment horizontal="left" wrapText="1"/>
    </xf>
    <xf numFmtId="186" fontId="6" fillId="0" borderId="0">
      <alignment horizontal="left" wrapText="1"/>
    </xf>
    <xf numFmtId="186" fontId="6" fillId="0" borderId="0">
      <alignment horizontal="left" wrapText="1"/>
    </xf>
    <xf numFmtId="186" fontId="6" fillId="0" borderId="0">
      <alignment horizontal="left" wrapText="1"/>
    </xf>
    <xf numFmtId="186" fontId="6" fillId="0" borderId="0">
      <alignment horizontal="left" wrapText="1"/>
    </xf>
    <xf numFmtId="186" fontId="6" fillId="0" borderId="0">
      <alignment horizontal="left" wrapText="1"/>
    </xf>
    <xf numFmtId="186" fontId="6" fillId="0" borderId="0">
      <alignment horizontal="left" wrapText="1"/>
    </xf>
    <xf numFmtId="186" fontId="6" fillId="0" borderId="0">
      <alignment horizontal="left" wrapText="1"/>
    </xf>
    <xf numFmtId="186" fontId="6" fillId="0" borderId="0">
      <alignment horizontal="left" wrapText="1"/>
    </xf>
    <xf numFmtId="186" fontId="6" fillId="0" borderId="0">
      <alignment horizontal="left" wrapText="1"/>
    </xf>
    <xf numFmtId="186" fontId="6" fillId="0" borderId="0">
      <alignment horizontal="left" wrapText="1"/>
    </xf>
    <xf numFmtId="186" fontId="6" fillId="0" borderId="0">
      <alignment horizontal="left" wrapText="1"/>
    </xf>
    <xf numFmtId="186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86" fontId="6" fillId="0" borderId="0">
      <alignment horizontal="left" wrapText="1"/>
    </xf>
    <xf numFmtId="186" fontId="6" fillId="0" borderId="0">
      <alignment horizontal="left" wrapText="1"/>
    </xf>
    <xf numFmtId="186" fontId="6" fillId="0" borderId="0">
      <alignment horizontal="left" wrapText="1"/>
    </xf>
    <xf numFmtId="186" fontId="6" fillId="0" borderId="0">
      <alignment horizontal="left" wrapText="1"/>
    </xf>
    <xf numFmtId="186" fontId="6" fillId="0" borderId="0">
      <alignment horizontal="left" wrapText="1"/>
    </xf>
    <xf numFmtId="186" fontId="6" fillId="0" borderId="0">
      <alignment horizontal="left" wrapText="1"/>
    </xf>
    <xf numFmtId="186" fontId="6" fillId="0" borderId="0">
      <alignment horizontal="left" wrapText="1"/>
    </xf>
    <xf numFmtId="186" fontId="6" fillId="0" borderId="0">
      <alignment horizontal="left" wrapText="1"/>
    </xf>
    <xf numFmtId="186" fontId="6" fillId="0" borderId="0">
      <alignment horizontal="left" wrapText="1"/>
    </xf>
    <xf numFmtId="186" fontId="6" fillId="0" borderId="0">
      <alignment horizontal="left" wrapText="1"/>
    </xf>
    <xf numFmtId="164" fontId="6" fillId="0" borderId="0">
      <alignment horizontal="left" wrapText="1"/>
    </xf>
    <xf numFmtId="0" fontId="22" fillId="0" borderId="0"/>
    <xf numFmtId="0" fontId="22" fillId="0" borderId="0"/>
    <xf numFmtId="186" fontId="6" fillId="0" borderId="0">
      <alignment horizontal="left" wrapText="1"/>
    </xf>
    <xf numFmtId="186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73" fontId="6" fillId="0" borderId="0">
      <alignment horizontal="left" wrapText="1"/>
    </xf>
    <xf numFmtId="186" fontId="6" fillId="0" borderId="0">
      <alignment horizontal="left" wrapText="1"/>
    </xf>
    <xf numFmtId="186" fontId="6" fillId="0" borderId="0">
      <alignment horizontal="left" wrapText="1"/>
    </xf>
    <xf numFmtId="186" fontId="6" fillId="0" borderId="0">
      <alignment horizontal="left" wrapText="1"/>
    </xf>
    <xf numFmtId="186" fontId="6" fillId="0" borderId="0">
      <alignment horizontal="left" wrapText="1"/>
    </xf>
    <xf numFmtId="186" fontId="6" fillId="0" borderId="0">
      <alignment horizontal="left" wrapText="1"/>
    </xf>
    <xf numFmtId="186" fontId="6" fillId="0" borderId="0">
      <alignment horizontal="left" wrapText="1"/>
    </xf>
    <xf numFmtId="186" fontId="6" fillId="0" borderId="0">
      <alignment horizontal="left" wrapText="1"/>
    </xf>
    <xf numFmtId="186" fontId="6" fillId="0" borderId="0">
      <alignment horizontal="left" wrapText="1"/>
    </xf>
    <xf numFmtId="186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0" fontId="22" fillId="0" borderId="0"/>
    <xf numFmtId="0" fontId="22" fillId="0" borderId="0"/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86" fontId="6" fillId="0" borderId="0">
      <alignment horizontal="left" wrapText="1"/>
    </xf>
    <xf numFmtId="186" fontId="6" fillId="0" borderId="0">
      <alignment horizontal="left" wrapText="1"/>
    </xf>
    <xf numFmtId="186" fontId="6" fillId="0" borderId="0">
      <alignment horizontal="left" wrapText="1"/>
    </xf>
    <xf numFmtId="186" fontId="6" fillId="0" borderId="0">
      <alignment horizontal="left" wrapText="1"/>
    </xf>
    <xf numFmtId="186" fontId="6" fillId="0" borderId="0">
      <alignment horizontal="left" wrapText="1"/>
    </xf>
    <xf numFmtId="186" fontId="6" fillId="0" borderId="0">
      <alignment horizontal="left" wrapText="1"/>
    </xf>
    <xf numFmtId="186" fontId="6" fillId="0" borderId="0">
      <alignment horizontal="left" wrapText="1"/>
    </xf>
    <xf numFmtId="186" fontId="6" fillId="0" borderId="0">
      <alignment horizontal="left" wrapText="1"/>
    </xf>
    <xf numFmtId="186" fontId="6" fillId="0" borderId="0">
      <alignment horizontal="left" wrapText="1"/>
    </xf>
    <xf numFmtId="186" fontId="6" fillId="0" borderId="0">
      <alignment horizontal="left" wrapText="1"/>
    </xf>
    <xf numFmtId="186" fontId="6" fillId="0" borderId="0">
      <alignment horizontal="left" wrapText="1"/>
    </xf>
    <xf numFmtId="186" fontId="6" fillId="0" borderId="0">
      <alignment horizontal="left" wrapText="1"/>
    </xf>
    <xf numFmtId="186" fontId="6" fillId="0" borderId="0">
      <alignment horizontal="left" wrapText="1"/>
    </xf>
    <xf numFmtId="186" fontId="6" fillId="0" borderId="0">
      <alignment horizontal="left" wrapText="1"/>
    </xf>
    <xf numFmtId="186" fontId="6" fillId="0" borderId="0">
      <alignment horizontal="left" wrapText="1"/>
    </xf>
    <xf numFmtId="186" fontId="6" fillId="0" borderId="0">
      <alignment horizontal="left" wrapText="1"/>
    </xf>
    <xf numFmtId="186" fontId="6" fillId="0" borderId="0">
      <alignment horizontal="left" wrapText="1"/>
    </xf>
    <xf numFmtId="186" fontId="6" fillId="0" borderId="0">
      <alignment horizontal="left" wrapText="1"/>
    </xf>
    <xf numFmtId="186" fontId="6" fillId="0" borderId="0">
      <alignment horizontal="left" wrapText="1"/>
    </xf>
    <xf numFmtId="186" fontId="6" fillId="0" borderId="0">
      <alignment horizontal="left" wrapText="1"/>
    </xf>
    <xf numFmtId="186" fontId="6" fillId="0" borderId="0">
      <alignment horizontal="left" wrapText="1"/>
    </xf>
    <xf numFmtId="186" fontId="6" fillId="0" borderId="0">
      <alignment horizontal="left" wrapText="1"/>
    </xf>
    <xf numFmtId="186" fontId="6" fillId="0" borderId="0">
      <alignment horizontal="left" wrapText="1"/>
    </xf>
    <xf numFmtId="186" fontId="6" fillId="0" borderId="0">
      <alignment horizontal="left" wrapText="1"/>
    </xf>
    <xf numFmtId="0" fontId="22" fillId="0" borderId="0"/>
    <xf numFmtId="187" fontId="23" fillId="0" borderId="0">
      <alignment horizontal="left"/>
    </xf>
    <xf numFmtId="188" fontId="24" fillId="0" borderId="0">
      <alignment horizontal="left"/>
    </xf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5" fillId="18" borderId="0" applyNumberFormat="0" applyBorder="0" applyAlignment="0" applyProtection="0"/>
    <xf numFmtId="0" fontId="25" fillId="19" borderId="0" applyNumberFormat="0" applyBorder="0" applyAlignment="0" applyProtection="0"/>
    <xf numFmtId="0" fontId="26" fillId="20" borderId="0" applyNumberFormat="0" applyBorder="0" applyAlignment="0" applyProtection="0"/>
    <xf numFmtId="0" fontId="25" fillId="21" borderId="0" applyNumberFormat="0" applyBorder="0" applyAlignment="0" applyProtection="0"/>
    <xf numFmtId="0" fontId="25" fillId="22" borderId="0" applyNumberFormat="0" applyBorder="0" applyAlignment="0" applyProtection="0"/>
    <xf numFmtId="0" fontId="26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25" borderId="0" applyNumberFormat="0" applyBorder="0" applyAlignment="0" applyProtection="0"/>
    <xf numFmtId="0" fontId="26" fillId="26" borderId="0" applyNumberFormat="0" applyBorder="0" applyAlignment="0" applyProtection="0"/>
    <xf numFmtId="0" fontId="25" fillId="25" borderId="0" applyNumberFormat="0" applyBorder="0" applyAlignment="0" applyProtection="0"/>
    <xf numFmtId="0" fontId="25" fillId="26" borderId="0" applyNumberFormat="0" applyBorder="0" applyAlignment="0" applyProtection="0"/>
    <xf numFmtId="0" fontId="26" fillId="26" borderId="0" applyNumberFormat="0" applyBorder="0" applyAlignment="0" applyProtection="0"/>
    <xf numFmtId="0" fontId="25" fillId="18" borderId="0" applyNumberFormat="0" applyBorder="0" applyAlignment="0" applyProtection="0"/>
    <xf numFmtId="0" fontId="25" fillId="19" borderId="0" applyNumberFormat="0" applyBorder="0" applyAlignment="0" applyProtection="0"/>
    <xf numFmtId="0" fontId="26" fillId="19" borderId="0" applyNumberFormat="0" applyBorder="0" applyAlignment="0" applyProtection="0"/>
    <xf numFmtId="0" fontId="25" fillId="27" borderId="0" applyNumberFormat="0" applyBorder="0" applyAlignment="0" applyProtection="0"/>
    <xf numFmtId="0" fontId="25" fillId="22" borderId="0" applyNumberFormat="0" applyBorder="0" applyAlignment="0" applyProtection="0"/>
    <xf numFmtId="0" fontId="26" fillId="28" borderId="0" applyNumberFormat="0" applyBorder="0" applyAlignment="0" applyProtection="0"/>
    <xf numFmtId="0" fontId="24" fillId="0" borderId="0" applyFont="0" applyFill="0" applyBorder="0" applyAlignment="0" applyProtection="0">
      <alignment horizontal="right"/>
    </xf>
    <xf numFmtId="189" fontId="27" fillId="0" borderId="0" applyFill="0" applyBorder="0" applyAlignment="0"/>
    <xf numFmtId="41" fontId="6" fillId="29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3" fontId="29" fillId="0" borderId="0" applyFont="0" applyFill="0" applyBorder="0" applyAlignment="0" applyProtection="0"/>
    <xf numFmtId="0" fontId="30" fillId="0" borderId="0"/>
    <xf numFmtId="0" fontId="30" fillId="0" borderId="0"/>
    <xf numFmtId="0" fontId="31" fillId="0" borderId="0"/>
    <xf numFmtId="3" fontId="32" fillId="0" borderId="0" applyFont="0" applyFill="0" applyBorder="0" applyAlignment="0" applyProtection="0"/>
    <xf numFmtId="3" fontId="32" fillId="0" borderId="0" applyFont="0" applyFill="0" applyBorder="0" applyAlignment="0" applyProtection="0"/>
    <xf numFmtId="3" fontId="32" fillId="0" borderId="0" applyFont="0" applyFill="0" applyBorder="0" applyAlignment="0" applyProtection="0"/>
    <xf numFmtId="190" fontId="33" fillId="0" borderId="0">
      <protection locked="0"/>
    </xf>
    <xf numFmtId="0" fontId="31" fillId="0" borderId="0"/>
    <xf numFmtId="0" fontId="34" fillId="0" borderId="0" applyNumberFormat="0" applyAlignment="0">
      <alignment horizontal="left"/>
    </xf>
    <xf numFmtId="0" fontId="35" fillId="0" borderId="0" applyNumberFormat="0" applyAlignment="0"/>
    <xf numFmtId="0" fontId="30" fillId="0" borderId="0"/>
    <xf numFmtId="0" fontId="31" fillId="0" borderId="0"/>
    <xf numFmtId="0" fontId="30" fillId="0" borderId="0"/>
    <xf numFmtId="0" fontId="31" fillId="0" borderId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91" fontId="6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6" fillId="30" borderId="0" applyNumberFormat="0" applyBorder="0" applyAlignment="0" applyProtection="0"/>
    <xf numFmtId="0" fontId="36" fillId="31" borderId="0" applyNumberFormat="0" applyBorder="0" applyAlignment="0" applyProtection="0"/>
    <xf numFmtId="0" fontId="36" fillId="32" borderId="0" applyNumberFormat="0" applyBorder="0" applyAlignment="0" applyProtection="0"/>
    <xf numFmtId="164" fontId="6" fillId="0" borderId="0"/>
    <xf numFmtId="192" fontId="6" fillId="0" borderId="0" applyFont="0" applyFill="0" applyBorder="0" applyAlignment="0" applyProtection="0">
      <alignment horizontal="left" wrapText="1"/>
    </xf>
    <xf numFmtId="2" fontId="29" fillId="0" borderId="0" applyFont="0" applyFill="0" applyBorder="0" applyAlignment="0" applyProtection="0"/>
    <xf numFmtId="0" fontId="30" fillId="0" borderId="0"/>
    <xf numFmtId="38" fontId="37" fillId="29" borderId="0" applyNumberFormat="0" applyBorder="0" applyAlignment="0" applyProtection="0"/>
    <xf numFmtId="38" fontId="37" fillId="29" borderId="0" applyNumberFormat="0" applyBorder="0" applyAlignment="0" applyProtection="0"/>
    <xf numFmtId="38" fontId="37" fillId="29" borderId="0" applyNumberFormat="0" applyBorder="0" applyAlignment="0" applyProtection="0"/>
    <xf numFmtId="38" fontId="37" fillId="29" borderId="0" applyNumberFormat="0" applyBorder="0" applyAlignment="0" applyProtection="0"/>
    <xf numFmtId="193" fontId="38" fillId="0" borderId="0" applyNumberFormat="0" applyFill="0" applyBorder="0" applyProtection="0">
      <alignment horizontal="right"/>
    </xf>
    <xf numFmtId="0" fontId="39" fillId="0" borderId="8" applyNumberFormat="0" applyAlignment="0" applyProtection="0">
      <alignment horizontal="left"/>
    </xf>
    <xf numFmtId="0" fontId="39" fillId="0" borderId="6">
      <alignment horizontal="left"/>
    </xf>
    <xf numFmtId="14" fontId="40" fillId="33" borderId="9">
      <alignment horizontal="center" vertical="center" wrapText="1"/>
    </xf>
    <xf numFmtId="38" fontId="41" fillId="0" borderId="0"/>
    <xf numFmtId="40" fontId="41" fillId="0" borderId="0"/>
    <xf numFmtId="10" fontId="37" fillId="34" borderId="10" applyNumberFormat="0" applyBorder="0" applyAlignment="0" applyProtection="0"/>
    <xf numFmtId="10" fontId="37" fillId="34" borderId="10" applyNumberFormat="0" applyBorder="0" applyAlignment="0" applyProtection="0"/>
    <xf numFmtId="10" fontId="37" fillId="34" borderId="10" applyNumberFormat="0" applyBorder="0" applyAlignment="0" applyProtection="0"/>
    <xf numFmtId="10" fontId="37" fillId="34" borderId="10" applyNumberFormat="0" applyBorder="0" applyAlignment="0" applyProtection="0"/>
    <xf numFmtId="41" fontId="42" fillId="35" borderId="11">
      <alignment horizontal="left"/>
      <protection locked="0"/>
    </xf>
    <xf numFmtId="10" fontId="42" fillId="35" borderId="11">
      <alignment horizontal="right"/>
      <protection locked="0"/>
    </xf>
    <xf numFmtId="41" fontId="42" fillId="35" borderId="11">
      <alignment horizontal="left"/>
      <protection locked="0"/>
    </xf>
    <xf numFmtId="0" fontId="37" fillId="29" borderId="0"/>
    <xf numFmtId="3" fontId="43" fillId="0" borderId="0" applyFill="0" applyBorder="0" applyAlignment="0" applyProtection="0"/>
    <xf numFmtId="44" fontId="40" fillId="0" borderId="12" applyNumberFormat="0" applyFont="0" applyAlignment="0">
      <alignment horizontal="center"/>
    </xf>
    <xf numFmtId="44" fontId="40" fillId="0" borderId="12" applyNumberFormat="0" applyFont="0" applyAlignment="0">
      <alignment horizontal="center"/>
    </xf>
    <xf numFmtId="44" fontId="40" fillId="0" borderId="12" applyNumberFormat="0" applyFont="0" applyAlignment="0">
      <alignment horizontal="center"/>
    </xf>
    <xf numFmtId="44" fontId="40" fillId="0" borderId="12" applyNumberFormat="0" applyFont="0" applyAlignment="0">
      <alignment horizontal="center"/>
    </xf>
    <xf numFmtId="44" fontId="40" fillId="0" borderId="13" applyNumberFormat="0" applyFont="0" applyAlignment="0">
      <alignment horizontal="center"/>
    </xf>
    <xf numFmtId="44" fontId="40" fillId="0" borderId="13" applyNumberFormat="0" applyFont="0" applyAlignment="0">
      <alignment horizontal="center"/>
    </xf>
    <xf numFmtId="44" fontId="40" fillId="0" borderId="13" applyNumberFormat="0" applyFont="0" applyAlignment="0">
      <alignment horizontal="center"/>
    </xf>
    <xf numFmtId="44" fontId="40" fillId="0" borderId="13" applyNumberFormat="0" applyFont="0" applyAlignment="0">
      <alignment horizontal="center"/>
    </xf>
    <xf numFmtId="37" fontId="44" fillId="0" borderId="0"/>
    <xf numFmtId="194" fontId="2" fillId="0" borderId="0"/>
    <xf numFmtId="195" fontId="6" fillId="0" borderId="0"/>
    <xf numFmtId="195" fontId="6" fillId="0" borderId="0"/>
    <xf numFmtId="195" fontId="6" fillId="0" borderId="0"/>
    <xf numFmtId="0" fontId="25" fillId="0" borderId="0"/>
    <xf numFmtId="0" fontId="6" fillId="0" borderId="0"/>
    <xf numFmtId="0" fontId="1" fillId="0" borderId="0"/>
    <xf numFmtId="0" fontId="6" fillId="0" borderId="0"/>
    <xf numFmtId="0" fontId="25" fillId="0" borderId="0"/>
    <xf numFmtId="0" fontId="25" fillId="0" borderId="0"/>
    <xf numFmtId="164" fontId="2" fillId="0" borderId="0">
      <alignment horizontal="left" wrapText="1"/>
    </xf>
    <xf numFmtId="0" fontId="6" fillId="0" borderId="0"/>
    <xf numFmtId="0" fontId="6" fillId="0" borderId="0" applyNumberFormat="0" applyFill="0" applyBorder="0" applyAlignment="0" applyProtection="0"/>
    <xf numFmtId="37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2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25" fillId="0" borderId="0"/>
    <xf numFmtId="0" fontId="25" fillId="0" borderId="0"/>
    <xf numFmtId="0" fontId="6" fillId="0" borderId="0"/>
    <xf numFmtId="0" fontId="25" fillId="0" borderId="0"/>
    <xf numFmtId="0" fontId="25" fillId="0" borderId="0"/>
    <xf numFmtId="0" fontId="28" fillId="0" borderId="0"/>
    <xf numFmtId="0" fontId="6" fillId="0" borderId="0"/>
    <xf numFmtId="0" fontId="6" fillId="0" borderId="0"/>
    <xf numFmtId="196" fontId="6" fillId="0" borderId="0">
      <alignment horizontal="left" wrapText="1"/>
    </xf>
    <xf numFmtId="0" fontId="6" fillId="0" borderId="0"/>
    <xf numFmtId="0" fontId="25" fillId="0" borderId="0"/>
    <xf numFmtId="0" fontId="25" fillId="0" borderId="0"/>
    <xf numFmtId="0" fontId="1" fillId="0" borderId="0"/>
    <xf numFmtId="0" fontId="25" fillId="36" borderId="14" applyNumberFormat="0" applyFont="0" applyAlignment="0" applyProtection="0"/>
    <xf numFmtId="0" fontId="25" fillId="2" borderId="1" applyNumberFormat="0" applyFont="0" applyAlignment="0" applyProtection="0"/>
    <xf numFmtId="0" fontId="25" fillId="36" borderId="14" applyNumberFormat="0" applyFont="0" applyAlignment="0" applyProtection="0"/>
    <xf numFmtId="0" fontId="25" fillId="2" borderId="1" applyNumberFormat="0" applyFont="0" applyAlignment="0" applyProtection="0"/>
    <xf numFmtId="0" fontId="25" fillId="36" borderId="14" applyNumberFormat="0" applyFont="0" applyAlignment="0" applyProtection="0"/>
    <xf numFmtId="0" fontId="25" fillId="2" borderId="1" applyNumberFormat="0" applyFont="0" applyAlignment="0" applyProtection="0"/>
    <xf numFmtId="0" fontId="25" fillId="36" borderId="14" applyNumberFormat="0" applyFont="0" applyAlignment="0" applyProtection="0"/>
    <xf numFmtId="0" fontId="25" fillId="2" borderId="1" applyNumberFormat="0" applyFont="0" applyAlignment="0" applyProtection="0"/>
    <xf numFmtId="0" fontId="25" fillId="36" borderId="14" applyNumberFormat="0" applyFont="0" applyAlignment="0" applyProtection="0"/>
    <xf numFmtId="0" fontId="25" fillId="2" borderId="1" applyNumberFormat="0" applyFont="0" applyAlignment="0" applyProtection="0"/>
    <xf numFmtId="0" fontId="25" fillId="36" borderId="14" applyNumberFormat="0" applyFont="0" applyAlignment="0" applyProtection="0"/>
    <xf numFmtId="0" fontId="25" fillId="2" borderId="1" applyNumberFormat="0" applyFont="0" applyAlignment="0" applyProtection="0"/>
    <xf numFmtId="0" fontId="25" fillId="2" borderId="1" applyNumberFormat="0" applyFont="0" applyAlignment="0" applyProtection="0"/>
    <xf numFmtId="0" fontId="25" fillId="2" borderId="1" applyNumberFormat="0" applyFont="0" applyAlignment="0" applyProtection="0"/>
    <xf numFmtId="0" fontId="25" fillId="2" borderId="1" applyNumberFormat="0" applyFont="0" applyAlignment="0" applyProtection="0"/>
    <xf numFmtId="0" fontId="25" fillId="2" borderId="1" applyNumberFormat="0" applyFont="0" applyAlignment="0" applyProtection="0"/>
    <xf numFmtId="0" fontId="25" fillId="2" borderId="1" applyNumberFormat="0" applyFont="0" applyAlignment="0" applyProtection="0"/>
    <xf numFmtId="0" fontId="25" fillId="2" borderId="1" applyNumberFormat="0" applyFont="0" applyAlignment="0" applyProtection="0"/>
    <xf numFmtId="0" fontId="25" fillId="2" borderId="1" applyNumberFormat="0" applyFont="0" applyAlignment="0" applyProtection="0"/>
    <xf numFmtId="0" fontId="25" fillId="2" borderId="1" applyNumberFormat="0" applyFont="0" applyAlignment="0" applyProtection="0"/>
    <xf numFmtId="0" fontId="25" fillId="2" borderId="1" applyNumberFormat="0" applyFont="0" applyAlignment="0" applyProtection="0"/>
    <xf numFmtId="0" fontId="25" fillId="2" borderId="1" applyNumberFormat="0" applyFont="0" applyAlignment="0" applyProtection="0"/>
    <xf numFmtId="0" fontId="30" fillId="0" borderId="0"/>
    <xf numFmtId="0" fontId="30" fillId="0" borderId="0"/>
    <xf numFmtId="0" fontId="31" fillId="0" borderId="0"/>
    <xf numFmtId="181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" fillId="0" borderId="0" applyFont="0" applyFill="0" applyBorder="0" applyAlignment="0" applyProtection="0"/>
    <xf numFmtId="41" fontId="6" fillId="37" borderId="11"/>
    <xf numFmtId="0" fontId="21" fillId="0" borderId="0" applyNumberFormat="0" applyFont="0" applyFill="0" applyBorder="0" applyAlignment="0" applyProtection="0">
      <alignment horizontal="left"/>
    </xf>
    <xf numFmtId="15" fontId="21" fillId="0" borderId="0" applyFont="0" applyFill="0" applyBorder="0" applyAlignment="0" applyProtection="0"/>
    <xf numFmtId="4" fontId="21" fillId="0" borderId="0" applyFont="0" applyFill="0" applyBorder="0" applyAlignment="0" applyProtection="0"/>
    <xf numFmtId="0" fontId="46" fillId="0" borderId="9">
      <alignment horizontal="center"/>
    </xf>
    <xf numFmtId="3" fontId="21" fillId="0" borderId="0" applyFont="0" applyFill="0" applyBorder="0" applyAlignment="0" applyProtection="0"/>
    <xf numFmtId="0" fontId="21" fillId="38" borderId="0" applyNumberFormat="0" applyFont="0" applyBorder="0" applyAlignment="0" applyProtection="0"/>
    <xf numFmtId="0" fontId="31" fillId="0" borderId="0"/>
    <xf numFmtId="3" fontId="47" fillId="0" borderId="0" applyFill="0" applyBorder="0" applyAlignment="0" applyProtection="0"/>
    <xf numFmtId="0" fontId="48" fillId="0" borderId="0"/>
    <xf numFmtId="3" fontId="47" fillId="0" borderId="0" applyFill="0" applyBorder="0" applyAlignment="0" applyProtection="0"/>
    <xf numFmtId="42" fontId="6" fillId="34" borderId="0"/>
    <xf numFmtId="42" fontId="6" fillId="34" borderId="7">
      <alignment vertical="center"/>
    </xf>
    <xf numFmtId="0" fontId="40" fillId="34" borderId="3" applyNumberFormat="0">
      <alignment horizontal="center" vertical="center" wrapText="1"/>
    </xf>
    <xf numFmtId="10" fontId="6" fillId="34" borderId="0"/>
    <xf numFmtId="197" fontId="6" fillId="34" borderId="0"/>
    <xf numFmtId="172" fontId="41" fillId="0" borderId="0" applyBorder="0" applyAlignment="0"/>
    <xf numFmtId="42" fontId="6" fillId="34" borderId="4">
      <alignment horizontal="left"/>
    </xf>
    <xf numFmtId="197" fontId="49" fillId="34" borderId="4">
      <alignment horizontal="left"/>
    </xf>
    <xf numFmtId="172" fontId="41" fillId="0" borderId="0" applyBorder="0" applyAlignment="0"/>
    <xf numFmtId="14" fontId="2" fillId="0" borderId="0" applyNumberFormat="0" applyFill="0" applyBorder="0" applyAlignment="0" applyProtection="0">
      <alignment horizontal="left"/>
    </xf>
    <xf numFmtId="198" fontId="6" fillId="0" borderId="0" applyFont="0" applyFill="0" applyAlignment="0">
      <alignment horizontal="right"/>
    </xf>
    <xf numFmtId="4" fontId="45" fillId="35" borderId="15" applyNumberFormat="0" applyProtection="0">
      <alignment vertical="center"/>
    </xf>
    <xf numFmtId="4" fontId="50" fillId="35" borderId="15" applyNumberFormat="0" applyProtection="0">
      <alignment vertical="center"/>
    </xf>
    <xf numFmtId="4" fontId="45" fillId="35" borderId="15" applyNumberFormat="0" applyProtection="0">
      <alignment horizontal="left" vertical="center" indent="1"/>
    </xf>
    <xf numFmtId="4" fontId="45" fillId="35" borderId="15" applyNumberFormat="0" applyProtection="0">
      <alignment horizontal="left" vertical="center" indent="1"/>
    </xf>
    <xf numFmtId="0" fontId="6" fillId="39" borderId="15" applyNumberFormat="0" applyProtection="0">
      <alignment horizontal="left" vertical="center" indent="1"/>
    </xf>
    <xf numFmtId="0" fontId="6" fillId="40" borderId="0" applyNumberFormat="0" applyProtection="0">
      <alignment horizontal="left" vertical="center" indent="1"/>
    </xf>
    <xf numFmtId="4" fontId="45" fillId="15" borderId="15" applyNumberFormat="0" applyProtection="0">
      <alignment horizontal="right" vertical="center"/>
    </xf>
    <xf numFmtId="4" fontId="45" fillId="41" borderId="15" applyNumberFormat="0" applyProtection="0">
      <alignment horizontal="right" vertical="center"/>
    </xf>
    <xf numFmtId="4" fontId="45" fillId="42" borderId="15" applyNumberFormat="0" applyProtection="0">
      <alignment horizontal="right" vertical="center"/>
    </xf>
    <xf numFmtId="4" fontId="45" fillId="43" borderId="15" applyNumberFormat="0" applyProtection="0">
      <alignment horizontal="right" vertical="center"/>
    </xf>
    <xf numFmtId="4" fontId="45" fillId="44" borderId="15" applyNumberFormat="0" applyProtection="0">
      <alignment horizontal="right" vertical="center"/>
    </xf>
    <xf numFmtId="4" fontId="45" fillId="45" borderId="15" applyNumberFormat="0" applyProtection="0">
      <alignment horizontal="right" vertical="center"/>
    </xf>
    <xf numFmtId="4" fontId="45" fillId="46" borderId="15" applyNumberFormat="0" applyProtection="0">
      <alignment horizontal="right" vertical="center"/>
    </xf>
    <xf numFmtId="4" fontId="45" fillId="47" borderId="15" applyNumberFormat="0" applyProtection="0">
      <alignment horizontal="right" vertical="center"/>
    </xf>
    <xf numFmtId="4" fontId="45" fillId="48" borderId="15" applyNumberFormat="0" applyProtection="0">
      <alignment horizontal="right" vertical="center"/>
    </xf>
    <xf numFmtId="4" fontId="51" fillId="49" borderId="15" applyNumberFormat="0" applyProtection="0">
      <alignment horizontal="left" vertical="center" indent="1"/>
    </xf>
    <xf numFmtId="4" fontId="45" fillId="50" borderId="16" applyNumberFormat="0" applyProtection="0">
      <alignment horizontal="left" vertical="center" indent="1"/>
    </xf>
    <xf numFmtId="4" fontId="52" fillId="51" borderId="0" applyNumberFormat="0" applyProtection="0">
      <alignment horizontal="left" vertical="center" indent="1"/>
    </xf>
    <xf numFmtId="0" fontId="6" fillId="39" borderId="15" applyNumberFormat="0" applyProtection="0">
      <alignment horizontal="left" vertical="center" indent="1"/>
    </xf>
    <xf numFmtId="4" fontId="45" fillId="50" borderId="15" applyNumberFormat="0" applyProtection="0">
      <alignment horizontal="left" vertical="center" indent="1"/>
    </xf>
    <xf numFmtId="4" fontId="45" fillId="52" borderId="15" applyNumberFormat="0" applyProtection="0">
      <alignment horizontal="left" vertical="center" indent="1"/>
    </xf>
    <xf numFmtId="0" fontId="6" fillId="52" borderId="15" applyNumberFormat="0" applyProtection="0">
      <alignment horizontal="left" vertical="center" indent="1"/>
    </xf>
    <xf numFmtId="0" fontId="6" fillId="52" borderId="15" applyNumberFormat="0" applyProtection="0">
      <alignment horizontal="left" vertical="center" indent="1"/>
    </xf>
    <xf numFmtId="0" fontId="6" fillId="53" borderId="15" applyNumberFormat="0" applyProtection="0">
      <alignment horizontal="left" vertical="center" indent="1"/>
    </xf>
    <xf numFmtId="0" fontId="6" fillId="53" borderId="15" applyNumberFormat="0" applyProtection="0">
      <alignment horizontal="left" vertical="center" indent="1"/>
    </xf>
    <xf numFmtId="0" fontId="6" fillId="29" borderId="15" applyNumberFormat="0" applyProtection="0">
      <alignment horizontal="left" vertical="center" indent="1"/>
    </xf>
    <xf numFmtId="0" fontId="6" fillId="29" borderId="15" applyNumberFormat="0" applyProtection="0">
      <alignment horizontal="left" vertical="center" indent="1"/>
    </xf>
    <xf numFmtId="0" fontId="6" fillId="39" borderId="15" applyNumberFormat="0" applyProtection="0">
      <alignment horizontal="left" vertical="center" indent="1"/>
    </xf>
    <xf numFmtId="0" fontId="6" fillId="39" borderId="15" applyNumberFormat="0" applyProtection="0">
      <alignment horizontal="left" vertical="center" indent="1"/>
    </xf>
    <xf numFmtId="0" fontId="6" fillId="54" borderId="10" applyNumberFormat="0">
      <protection locked="0"/>
    </xf>
    <xf numFmtId="4" fontId="45" fillId="55" borderId="15" applyNumberFormat="0" applyProtection="0">
      <alignment vertical="center"/>
    </xf>
    <xf numFmtId="4" fontId="50" fillId="55" borderId="15" applyNumberFormat="0" applyProtection="0">
      <alignment vertical="center"/>
    </xf>
    <xf numFmtId="4" fontId="45" fillId="55" borderId="15" applyNumberFormat="0" applyProtection="0">
      <alignment horizontal="left" vertical="center" indent="1"/>
    </xf>
    <xf numFmtId="4" fontId="45" fillId="55" borderId="15" applyNumberFormat="0" applyProtection="0">
      <alignment horizontal="left" vertical="center" indent="1"/>
    </xf>
    <xf numFmtId="4" fontId="45" fillId="50" borderId="15" applyNumberFormat="0" applyProtection="0">
      <alignment horizontal="right" vertical="center"/>
    </xf>
    <xf numFmtId="4" fontId="50" fillId="50" borderId="15" applyNumberFormat="0" applyProtection="0">
      <alignment horizontal="right" vertical="center"/>
    </xf>
    <xf numFmtId="0" fontId="6" fillId="39" borderId="15" applyNumberFormat="0" applyProtection="0">
      <alignment horizontal="left" vertical="center" indent="1"/>
    </xf>
    <xf numFmtId="0" fontId="6" fillId="39" borderId="15" applyNumberFormat="0" applyProtection="0">
      <alignment horizontal="left" vertical="center" indent="1"/>
    </xf>
    <xf numFmtId="0" fontId="53" fillId="0" borderId="0"/>
    <xf numFmtId="4" fontId="54" fillId="50" borderId="15" applyNumberFormat="0" applyProtection="0">
      <alignment horizontal="right" vertical="center"/>
    </xf>
    <xf numFmtId="39" fontId="6" fillId="56" borderId="0"/>
    <xf numFmtId="0" fontId="55" fillId="0" borderId="0" applyNumberFormat="0" applyFill="0" applyBorder="0" applyAlignment="0" applyProtection="0"/>
    <xf numFmtId="38" fontId="37" fillId="0" borderId="17"/>
    <xf numFmtId="38" fontId="37" fillId="0" borderId="17"/>
    <xf numFmtId="38" fontId="37" fillId="0" borderId="17"/>
    <xf numFmtId="38" fontId="37" fillId="0" borderId="17"/>
    <xf numFmtId="38" fontId="41" fillId="0" borderId="4"/>
    <xf numFmtId="39" fontId="2" fillId="57" borderId="0"/>
    <xf numFmtId="164" fontId="6" fillId="0" borderId="0">
      <alignment horizontal="left" wrapText="1"/>
    </xf>
    <xf numFmtId="40" fontId="56" fillId="0" borderId="0" applyBorder="0">
      <alignment horizontal="right"/>
    </xf>
    <xf numFmtId="41" fontId="57" fillId="34" borderId="0">
      <alignment horizontal="left"/>
    </xf>
    <xf numFmtId="0" fontId="58" fillId="0" borderId="0"/>
    <xf numFmtId="0" fontId="59" fillId="0" borderId="0" applyFill="0" applyBorder="0" applyProtection="0">
      <alignment horizontal="left" vertical="top"/>
    </xf>
    <xf numFmtId="199" fontId="60" fillId="34" borderId="0">
      <alignment horizontal="left" vertical="center"/>
    </xf>
    <xf numFmtId="0" fontId="40" fillId="34" borderId="0">
      <alignment horizontal="left" wrapText="1"/>
    </xf>
    <xf numFmtId="0" fontId="61" fillId="0" borderId="0">
      <alignment horizontal="left" vertical="center"/>
    </xf>
    <xf numFmtId="0" fontId="31" fillId="0" borderId="18"/>
    <xf numFmtId="4" fontId="7" fillId="0" borderId="0" applyFont="0" applyFill="0" applyBorder="0" applyAlignment="0" applyProtection="0"/>
    <xf numFmtId="8" fontId="7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509">
    <xf numFmtId="164" fontId="0" fillId="0" borderId="0" xfId="0">
      <alignment horizontal="left" wrapText="1"/>
    </xf>
    <xf numFmtId="1" fontId="3" fillId="15" borderId="0" xfId="0" applyNumberFormat="1" applyFont="1" applyFill="1" applyAlignment="1"/>
    <xf numFmtId="164" fontId="4" fillId="0" borderId="0" xfId="0" applyFont="1" applyFill="1">
      <alignment horizontal="left" wrapText="1"/>
    </xf>
    <xf numFmtId="14" fontId="5" fillId="0" borderId="0" xfId="0" applyNumberFormat="1" applyFont="1" applyFill="1">
      <alignment horizontal="left" wrapText="1"/>
    </xf>
    <xf numFmtId="164" fontId="6" fillId="0" borderId="0" xfId="0" applyFont="1" applyFill="1">
      <alignment horizontal="left" wrapText="1"/>
    </xf>
    <xf numFmtId="164" fontId="5" fillId="0" borderId="0" xfId="0" applyFont="1" applyFill="1">
      <alignment horizontal="left" wrapText="1"/>
    </xf>
    <xf numFmtId="0" fontId="5" fillId="0" borderId="0" xfId="0" applyNumberFormat="1" applyFont="1" applyFill="1" applyAlignment="1"/>
    <xf numFmtId="0" fontId="4" fillId="0" borderId="0" xfId="0" applyNumberFormat="1" applyFont="1" applyFill="1" applyAlignment="1"/>
    <xf numFmtId="14" fontId="5" fillId="0" borderId="0" xfId="0" applyNumberFormat="1" applyFont="1" applyFill="1" applyAlignment="1"/>
    <xf numFmtId="15" fontId="4" fillId="0" borderId="0" xfId="0" applyNumberFormat="1" applyFont="1" applyFill="1" applyAlignment="1"/>
    <xf numFmtId="164" fontId="5" fillId="0" borderId="0" xfId="0" applyFont="1" applyFill="1" applyAlignment="1"/>
    <xf numFmtId="164" fontId="4" fillId="0" borderId="0" xfId="0" applyFont="1" applyFill="1" applyAlignment="1"/>
    <xf numFmtId="165" fontId="4" fillId="0" borderId="0" xfId="0" applyNumberFormat="1" applyFont="1" applyFill="1" applyBorder="1" applyAlignment="1"/>
    <xf numFmtId="0" fontId="3" fillId="0" borderId="0" xfId="0" applyNumberFormat="1" applyFont="1" applyFill="1" applyAlignment="1">
      <alignment horizontal="right"/>
    </xf>
    <xf numFmtId="0" fontId="4" fillId="0" borderId="0" xfId="0" applyNumberFormat="1" applyFont="1" applyFill="1" applyAlignment="1">
      <alignment horizontal="centerContinuous"/>
    </xf>
    <xf numFmtId="166" fontId="3" fillId="0" borderId="2" xfId="0" applyNumberFormat="1" applyFont="1" applyFill="1" applyBorder="1" applyAlignment="1">
      <alignment horizontal="center"/>
    </xf>
    <xf numFmtId="164" fontId="4" fillId="0" borderId="0" xfId="0" applyFont="1" applyFill="1" applyAlignment="1">
      <alignment horizontal="center" wrapText="1"/>
    </xf>
    <xf numFmtId="164" fontId="6" fillId="0" borderId="0" xfId="0" applyFont="1" applyFill="1" applyAlignment="1">
      <alignment horizontal="center" wrapText="1"/>
    </xf>
    <xf numFmtId="0" fontId="4" fillId="0" borderId="0" xfId="0" applyNumberFormat="1" applyFont="1" applyFill="1" applyAlignment="1">
      <alignment horizontal="center"/>
    </xf>
    <xf numFmtId="22" fontId="4" fillId="0" borderId="0" xfId="0" applyNumberFormat="1" applyFont="1" applyFill="1" applyAlignment="1">
      <alignment horizontal="center"/>
    </xf>
    <xf numFmtId="0" fontId="3" fillId="0" borderId="0" xfId="0" quotePrefix="1" applyNumberFormat="1" applyFont="1" applyFill="1" applyBorder="1" applyAlignment="1">
      <alignment horizontal="center"/>
    </xf>
    <xf numFmtId="15" fontId="4" fillId="0" borderId="0" xfId="0" applyNumberFormat="1" applyFont="1" applyFill="1" applyAlignment="1">
      <alignment horizontal="center"/>
    </xf>
    <xf numFmtId="164" fontId="4" fillId="0" borderId="0" xfId="0" applyFont="1" applyFill="1" applyAlignment="1">
      <alignment horizontal="center"/>
    </xf>
    <xf numFmtId="165" fontId="4" fillId="0" borderId="0" xfId="0" applyNumberFormat="1" applyFont="1" applyFill="1" applyBorder="1" applyAlignment="1">
      <alignment horizontal="center"/>
    </xf>
    <xf numFmtId="3" fontId="4" fillId="0" borderId="0" xfId="1" applyNumberFormat="1" applyFont="1" applyFill="1" applyAlignment="1">
      <alignment horizontal="center"/>
    </xf>
    <xf numFmtId="166" fontId="3" fillId="0" borderId="0" xfId="0" applyNumberFormat="1" applyFont="1" applyFill="1" applyBorder="1" applyAlignment="1">
      <alignment horizontal="center"/>
    </xf>
    <xf numFmtId="41" fontId="4" fillId="0" borderId="0" xfId="0" applyNumberFormat="1" applyFont="1" applyFill="1" applyAlignment="1"/>
    <xf numFmtId="0" fontId="3" fillId="0" borderId="2" xfId="0" applyNumberFormat="1" applyFont="1" applyFill="1" applyBorder="1" applyAlignment="1">
      <alignment horizontal="center"/>
    </xf>
    <xf numFmtId="14" fontId="8" fillId="0" borderId="2" xfId="0" applyNumberFormat="1" applyFont="1" applyFill="1" applyBorder="1" applyAlignment="1">
      <alignment horizontal="right"/>
    </xf>
    <xf numFmtId="164" fontId="3" fillId="0" borderId="0" xfId="0" applyFont="1" applyFill="1">
      <alignment horizontal="left" wrapText="1"/>
    </xf>
    <xf numFmtId="15" fontId="3" fillId="0" borderId="0" xfId="0" applyNumberFormat="1" applyFont="1" applyFill="1">
      <alignment horizontal="left" wrapText="1"/>
    </xf>
    <xf numFmtId="164" fontId="3" fillId="0" borderId="0" xfId="0" applyFont="1" applyFill="1" applyAlignment="1" applyProtection="1">
      <alignment horizontal="left"/>
      <protection locked="0"/>
    </xf>
    <xf numFmtId="164" fontId="3" fillId="0" borderId="0" xfId="0" applyFont="1" applyFill="1" applyBorder="1" applyAlignment="1">
      <alignment horizontal="right"/>
    </xf>
    <xf numFmtId="0" fontId="3" fillId="0" borderId="0" xfId="0" applyNumberFormat="1" applyFont="1" applyFill="1" applyAlignment="1"/>
    <xf numFmtId="0" fontId="3" fillId="0" borderId="0" xfId="0" applyNumberFormat="1" applyFont="1" applyFill="1" applyBorder="1" applyAlignment="1"/>
    <xf numFmtId="0" fontId="0" fillId="0" borderId="0" xfId="0" applyNumberFormat="1" applyFill="1" applyBorder="1" applyAlignment="1"/>
    <xf numFmtId="0" fontId="3" fillId="0" borderId="0" xfId="0" quotePrefix="1" applyNumberFormat="1" applyFont="1" applyFill="1" applyBorder="1" applyAlignment="1">
      <alignment horizontal="right"/>
    </xf>
    <xf numFmtId="164" fontId="3" fillId="0" borderId="0" xfId="0" applyFont="1" applyFill="1" applyAlignment="1"/>
    <xf numFmtId="165" fontId="3" fillId="0" borderId="0" xfId="0" applyNumberFormat="1" applyFont="1" applyFill="1" applyBorder="1" applyAlignment="1"/>
    <xf numFmtId="0" fontId="3" fillId="0" borderId="0" xfId="0" applyNumberFormat="1" applyFont="1" applyFill="1" applyAlignment="1">
      <alignment horizontal="left"/>
    </xf>
    <xf numFmtId="0" fontId="3" fillId="0" borderId="0" xfId="0" applyNumberFormat="1" applyFont="1" applyFill="1" applyAlignment="1">
      <alignment horizontal="centerContinuous"/>
    </xf>
    <xf numFmtId="0" fontId="3" fillId="0" borderId="0" xfId="0" applyNumberFormat="1" applyFont="1" applyFill="1" applyAlignment="1" applyProtection="1">
      <alignment horizontal="centerContinuous"/>
      <protection locked="0"/>
    </xf>
    <xf numFmtId="3" fontId="4" fillId="0" borderId="0" xfId="1" applyNumberFormat="1" applyFont="1" applyFill="1" applyAlignment="1">
      <alignment horizontal="centerContinuous"/>
    </xf>
    <xf numFmtId="164" fontId="3" fillId="0" borderId="0" xfId="0" applyFont="1" applyFill="1" applyAlignment="1" applyProtection="1">
      <alignment horizontal="centerContinuous" vertical="center"/>
      <protection locked="0"/>
    </xf>
    <xf numFmtId="164" fontId="3" fillId="0" borderId="0" xfId="0" applyFont="1" applyFill="1" applyAlignment="1">
      <alignment horizontal="centerContinuous" vertical="center"/>
    </xf>
    <xf numFmtId="164" fontId="6" fillId="0" borderId="0" xfId="0" applyFont="1" applyFill="1" applyAlignment="1">
      <alignment horizontal="centerContinuous" vertical="center"/>
    </xf>
    <xf numFmtId="3" fontId="3" fillId="0" borderId="0" xfId="1" applyNumberFormat="1" applyFont="1" applyFill="1" applyAlignment="1">
      <alignment horizontal="centerContinuous"/>
    </xf>
    <xf numFmtId="41" fontId="3" fillId="0" borderId="0" xfId="0" applyNumberFormat="1" applyFont="1" applyFill="1" applyAlignment="1">
      <alignment horizontal="centerContinuous"/>
    </xf>
    <xf numFmtId="164" fontId="3" fillId="0" borderId="0" xfId="0" applyFont="1" applyFill="1" applyAlignment="1">
      <alignment horizontal="centerContinuous"/>
    </xf>
    <xf numFmtId="165" fontId="3" fillId="0" borderId="0" xfId="0" applyNumberFormat="1" applyFont="1" applyFill="1" applyBorder="1" applyAlignment="1">
      <alignment horizontal="centerContinuous"/>
    </xf>
    <xf numFmtId="0" fontId="3" fillId="0" borderId="0" xfId="0" applyNumberFormat="1" applyFont="1" applyFill="1" applyBorder="1" applyAlignment="1">
      <alignment horizontal="centerContinuous"/>
    </xf>
    <xf numFmtId="0" fontId="9" fillId="0" borderId="0" xfId="0" applyNumberFormat="1" applyFont="1" applyFill="1" applyAlignment="1">
      <alignment horizontal="centerContinuous"/>
    </xf>
    <xf numFmtId="0" fontId="0" fillId="0" borderId="0" xfId="0" applyNumberFormat="1" applyFill="1" applyAlignment="1"/>
    <xf numFmtId="15" fontId="3" fillId="0" borderId="0" xfId="0" applyNumberFormat="1" applyFont="1" applyFill="1" applyAlignment="1">
      <alignment horizontal="centerContinuous"/>
    </xf>
    <xf numFmtId="164" fontId="3" fillId="0" borderId="0" xfId="0" applyFont="1" applyFill="1" applyAlignment="1" applyProtection="1">
      <alignment horizontal="centerContinuous"/>
      <protection locked="0"/>
    </xf>
    <xf numFmtId="15" fontId="10" fillId="0" borderId="0" xfId="0" applyNumberFormat="1" applyFont="1" applyFill="1" applyAlignment="1">
      <alignment horizontal="centerContinuous"/>
    </xf>
    <xf numFmtId="18" fontId="3" fillId="0" borderId="0" xfId="0" applyNumberFormat="1" applyFont="1" applyFill="1" applyAlignment="1">
      <alignment horizontal="centerContinuous"/>
    </xf>
    <xf numFmtId="0" fontId="9" fillId="0" borderId="0" xfId="0" applyNumberFormat="1" applyFont="1" applyFill="1" applyAlignment="1"/>
    <xf numFmtId="42" fontId="0" fillId="0" borderId="0" xfId="0" applyNumberFormat="1" applyFill="1" applyBorder="1" applyAlignment="1"/>
    <xf numFmtId="42" fontId="3" fillId="0" borderId="0" xfId="0" applyNumberFormat="1" applyFont="1" applyFill="1" applyAlignment="1">
      <alignment horizontal="centerContinuous"/>
    </xf>
    <xf numFmtId="0" fontId="3" fillId="16" borderId="0" xfId="0" applyNumberFormat="1" applyFont="1" applyFill="1" applyAlignment="1"/>
    <xf numFmtId="0" fontId="4" fillId="17" borderId="0" xfId="0" applyNumberFormat="1" applyFont="1" applyFill="1" applyAlignment="1"/>
    <xf numFmtId="164" fontId="3" fillId="0" borderId="0" xfId="0" applyFont="1" applyFill="1" applyAlignment="1" applyProtection="1">
      <alignment horizontal="center"/>
      <protection locked="0"/>
    </xf>
    <xf numFmtId="164" fontId="3" fillId="0" borderId="0" xfId="0" applyFont="1" applyFill="1" applyAlignment="1">
      <alignment horizontal="center"/>
    </xf>
    <xf numFmtId="0" fontId="3" fillId="0" borderId="0" xfId="0" applyNumberFormat="1" applyFont="1" applyFill="1" applyAlignment="1" applyProtection="1">
      <protection locked="0"/>
    </xf>
    <xf numFmtId="3" fontId="3" fillId="0" borderId="0" xfId="1" applyNumberFormat="1" applyFont="1" applyFill="1"/>
    <xf numFmtId="0" fontId="3" fillId="0" borderId="0" xfId="0" applyNumberFormat="1" applyFont="1" applyFill="1" applyBorder="1" applyAlignment="1">
      <alignment horizontal="center"/>
    </xf>
    <xf numFmtId="18" fontId="3" fillId="0" borderId="0" xfId="0" applyNumberFormat="1" applyFont="1" applyFill="1" applyAlignment="1"/>
    <xf numFmtId="2" fontId="3" fillId="0" borderId="0" xfId="0" applyNumberFormat="1" applyFont="1" applyFill="1" applyAlignment="1">
      <alignment horizontal="center"/>
    </xf>
    <xf numFmtId="0" fontId="3" fillId="0" borderId="0" xfId="0" applyNumberFormat="1" applyFont="1" applyFill="1" applyAlignment="1" applyProtection="1">
      <alignment horizontal="left"/>
      <protection locked="0"/>
    </xf>
    <xf numFmtId="0" fontId="3" fillId="0" borderId="0" xfId="0" quotePrefix="1" applyNumberFormat="1" applyFont="1" applyFill="1" applyAlignment="1">
      <alignment horizontal="fill"/>
    </xf>
    <xf numFmtId="0" fontId="3" fillId="0" borderId="0" xfId="0" applyNumberFormat="1" applyFont="1" applyFill="1" applyAlignment="1">
      <alignment horizontal="fill"/>
    </xf>
    <xf numFmtId="0" fontId="3" fillId="0" borderId="0" xfId="0" applyNumberFormat="1" applyFont="1" applyFill="1" applyAlignment="1" applyProtection="1">
      <alignment horizontal="center"/>
      <protection locked="0"/>
    </xf>
    <xf numFmtId="0" fontId="3" fillId="0" borderId="0" xfId="0" applyNumberFormat="1" applyFont="1" applyFill="1" applyAlignment="1">
      <alignment horizontal="center"/>
    </xf>
    <xf numFmtId="41" fontId="3" fillId="0" borderId="0" xfId="0" applyNumberFormat="1" applyFont="1" applyFill="1" applyAlignment="1"/>
    <xf numFmtId="164" fontId="3" fillId="0" borderId="0" xfId="0" applyFont="1" applyFill="1" applyAlignment="1" applyProtection="1">
      <protection locked="0"/>
    </xf>
    <xf numFmtId="165" fontId="3" fillId="0" borderId="0" xfId="0" applyNumberFormat="1" applyFont="1" applyFill="1" applyAlignment="1"/>
    <xf numFmtId="0" fontId="3" fillId="16" borderId="0" xfId="0" applyNumberFormat="1" applyFont="1" applyFill="1" applyAlignment="1">
      <alignment horizontal="center"/>
    </xf>
    <xf numFmtId="164" fontId="3" fillId="0" borderId="3" xfId="0" applyFont="1" applyFill="1" applyBorder="1" applyAlignment="1" applyProtection="1">
      <alignment horizontal="center"/>
      <protection locked="0"/>
    </xf>
    <xf numFmtId="164" fontId="3" fillId="0" borderId="3" xfId="0" applyFont="1" applyFill="1" applyBorder="1" applyAlignment="1">
      <alignment horizontal="left"/>
    </xf>
    <xf numFmtId="0" fontId="3" fillId="0" borderId="3" xfId="0" applyNumberFormat="1" applyFont="1" applyFill="1" applyBorder="1" applyAlignment="1" applyProtection="1">
      <alignment horizontal="center"/>
      <protection locked="0"/>
    </xf>
    <xf numFmtId="164" fontId="3" fillId="0" borderId="3" xfId="0" applyFont="1" applyFill="1" applyBorder="1" applyAlignment="1"/>
    <xf numFmtId="164" fontId="3" fillId="0" borderId="3" xfId="0" applyFont="1" applyFill="1" applyBorder="1" applyAlignment="1">
      <alignment horizontal="centerContinuous"/>
    </xf>
    <xf numFmtId="0" fontId="3" fillId="0" borderId="3" xfId="0" applyNumberFormat="1" applyFont="1" applyFill="1" applyBorder="1" applyAlignment="1" applyProtection="1">
      <protection locked="0"/>
    </xf>
    <xf numFmtId="0" fontId="3" fillId="0" borderId="3" xfId="0" applyNumberFormat="1" applyFont="1" applyFill="1" applyBorder="1" applyAlignment="1"/>
    <xf numFmtId="3" fontId="3" fillId="0" borderId="3" xfId="1" applyNumberFormat="1" applyFont="1" applyFill="1" applyBorder="1" applyAlignment="1">
      <alignment horizontal="center"/>
    </xf>
    <xf numFmtId="0" fontId="3" fillId="0" borderId="3" xfId="0" applyNumberFormat="1" applyFont="1" applyFill="1" applyBorder="1" applyAlignment="1">
      <alignment horizontal="center"/>
    </xf>
    <xf numFmtId="0" fontId="3" fillId="0" borderId="3" xfId="0" applyNumberFormat="1" applyFont="1" applyFill="1" applyBorder="1" applyAlignment="1">
      <alignment horizontal="left"/>
    </xf>
    <xf numFmtId="41" fontId="3" fillId="0" borderId="3" xfId="0" applyNumberFormat="1" applyFont="1" applyFill="1" applyBorder="1" applyAlignment="1">
      <alignment horizontal="center"/>
    </xf>
    <xf numFmtId="0" fontId="3" fillId="0" borderId="3" xfId="0" applyNumberFormat="1" applyFont="1" applyFill="1" applyBorder="1" applyAlignment="1">
      <alignment horizontal="right"/>
    </xf>
    <xf numFmtId="164" fontId="3" fillId="0" borderId="3" xfId="0" applyFont="1" applyFill="1" applyBorder="1" applyAlignment="1">
      <alignment horizontal="center"/>
    </xf>
    <xf numFmtId="164" fontId="3" fillId="0" borderId="3" xfId="0" applyFont="1" applyFill="1" applyBorder="1" applyAlignment="1">
      <alignment horizontal="right"/>
    </xf>
    <xf numFmtId="2" fontId="3" fillId="0" borderId="3" xfId="0" applyNumberFormat="1" applyFont="1" applyFill="1" applyBorder="1" applyAlignment="1">
      <alignment horizontal="center"/>
    </xf>
    <xf numFmtId="165" fontId="3" fillId="0" borderId="3" xfId="0" applyNumberFormat="1" applyFont="1" applyFill="1" applyBorder="1" applyAlignment="1">
      <alignment horizontal="center"/>
    </xf>
    <xf numFmtId="0" fontId="3" fillId="0" borderId="3" xfId="0" applyNumberFormat="1" applyFont="1" applyFill="1" applyBorder="1" applyAlignment="1">
      <alignment horizontal="centerContinuous"/>
    </xf>
    <xf numFmtId="0" fontId="3" fillId="0" borderId="3" xfId="4" applyFont="1" applyFill="1" applyBorder="1" applyAlignment="1"/>
    <xf numFmtId="0" fontId="3" fillId="0" borderId="3" xfId="0" quotePrefix="1" applyNumberFormat="1" applyFont="1" applyFill="1" applyBorder="1" applyAlignment="1" applyProtection="1">
      <alignment horizontal="center"/>
      <protection locked="0"/>
    </xf>
    <xf numFmtId="0" fontId="11" fillId="0" borderId="0" xfId="0" applyNumberFormat="1" applyFont="1" applyFill="1" applyAlignment="1">
      <alignment horizontal="right"/>
    </xf>
    <xf numFmtId="164" fontId="3" fillId="0" borderId="0" xfId="0" applyFont="1" applyFill="1" applyAlignment="1">
      <alignment horizontal="center" wrapText="1"/>
    </xf>
    <xf numFmtId="164" fontId="12" fillId="0" borderId="0" xfId="0" applyFont="1" applyFill="1" applyBorder="1">
      <alignment horizontal="left" wrapText="1"/>
    </xf>
    <xf numFmtId="164" fontId="4" fillId="0" borderId="0" xfId="0" applyFont="1" applyFill="1" applyBorder="1">
      <alignment horizontal="left" wrapText="1"/>
    </xf>
    <xf numFmtId="164" fontId="3" fillId="0" borderId="0" xfId="0" applyFont="1" applyFill="1" applyBorder="1" applyAlignment="1"/>
    <xf numFmtId="164" fontId="3" fillId="0" borderId="0" xfId="0" applyFont="1" applyFill="1" applyBorder="1" applyAlignment="1">
      <alignment horizontal="center"/>
    </xf>
    <xf numFmtId="3" fontId="4" fillId="0" borderId="0" xfId="1" applyNumberFormat="1" applyFont="1" applyFill="1"/>
    <xf numFmtId="17" fontId="4" fillId="0" borderId="0" xfId="0" applyNumberFormat="1" applyFont="1" applyFill="1" applyBorder="1" applyAlignment="1">
      <alignment horizontal="left"/>
    </xf>
    <xf numFmtId="165" fontId="4" fillId="0" borderId="0" xfId="0" applyNumberFormat="1" applyFont="1" applyFill="1" applyAlignment="1" applyProtection="1">
      <alignment horizontal="right"/>
      <protection locked="0"/>
    </xf>
    <xf numFmtId="165" fontId="4" fillId="0" borderId="0" xfId="0" applyNumberFormat="1" applyFont="1" applyFill="1" applyAlignment="1" applyProtection="1">
      <protection locked="0"/>
    </xf>
    <xf numFmtId="9" fontId="4" fillId="0" borderId="0" xfId="0" applyNumberFormat="1" applyFont="1" applyFill="1" applyBorder="1" applyAlignment="1" applyProtection="1">
      <alignment horizontal="left"/>
      <protection locked="0"/>
    </xf>
    <xf numFmtId="37" fontId="4" fillId="0" borderId="0" xfId="0" applyNumberFormat="1" applyFont="1" applyFill="1" applyBorder="1" applyAlignment="1" applyProtection="1">
      <protection locked="0"/>
    </xf>
    <xf numFmtId="41" fontId="4" fillId="0" borderId="0" xfId="0" applyNumberFormat="1" applyFont="1" applyFill="1" applyBorder="1" applyAlignment="1" applyProtection="1">
      <protection locked="0"/>
    </xf>
    <xf numFmtId="17" fontId="13" fillId="0" borderId="0" xfId="5" applyNumberFormat="1" applyFont="1" applyFill="1" applyBorder="1" applyAlignment="1">
      <alignment horizontal="center"/>
    </xf>
    <xf numFmtId="0" fontId="13" fillId="0" borderId="0" xfId="5" applyFont="1" applyFill="1" applyBorder="1" applyAlignment="1">
      <alignment horizontal="center"/>
    </xf>
    <xf numFmtId="1" fontId="4" fillId="0" borderId="0" xfId="0" applyNumberFormat="1" applyFont="1" applyFill="1" applyAlignment="1">
      <alignment horizontal="center"/>
    </xf>
    <xf numFmtId="0" fontId="12" fillId="0" borderId="0" xfId="0" applyNumberFormat="1" applyFont="1" applyFill="1" applyBorder="1" applyAlignment="1">
      <alignment horizontal="left"/>
    </xf>
    <xf numFmtId="0" fontId="4" fillId="0" borderId="0" xfId="0" applyNumberFormat="1" applyFont="1" applyFill="1" applyAlignment="1">
      <alignment horizontal="left"/>
    </xf>
    <xf numFmtId="37" fontId="4" fillId="0" borderId="0" xfId="0" applyNumberFormat="1" applyFont="1" applyFill="1" applyBorder="1" applyAlignment="1"/>
    <xf numFmtId="0" fontId="4" fillId="0" borderId="0" xfId="0" applyNumberFormat="1" applyFont="1" applyFill="1" applyAlignment="1">
      <alignment horizontal="right"/>
    </xf>
    <xf numFmtId="2" fontId="3" fillId="0" borderId="0" xfId="0" applyNumberFormat="1" applyFont="1" applyFill="1" applyBorder="1" applyAlignment="1" applyProtection="1">
      <alignment horizontal="center"/>
      <protection locked="0"/>
    </xf>
    <xf numFmtId="0" fontId="4" fillId="0" borderId="3" xfId="0" applyNumberFormat="1" applyFont="1" applyFill="1" applyBorder="1" applyAlignment="1"/>
    <xf numFmtId="0" fontId="3" fillId="16" borderId="3" xfId="0" applyNumberFormat="1" applyFont="1" applyFill="1" applyBorder="1" applyAlignment="1">
      <alignment horizontal="center"/>
    </xf>
    <xf numFmtId="164" fontId="4" fillId="0" borderId="0" xfId="0" applyFont="1" applyFill="1" applyBorder="1" applyAlignment="1"/>
    <xf numFmtId="164" fontId="4" fillId="0" borderId="0" xfId="0" applyFont="1" applyFill="1" applyAlignment="1">
      <alignment horizontal="left"/>
    </xf>
    <xf numFmtId="167" fontId="4" fillId="0" borderId="0" xfId="0" applyNumberFormat="1" applyFont="1" applyFill="1" applyAlignment="1">
      <alignment horizontal="left"/>
    </xf>
    <xf numFmtId="42" fontId="14" fillId="0" borderId="0" xfId="2" applyNumberFormat="1" applyFont="1" applyFill="1" applyProtection="1">
      <protection locked="0"/>
    </xf>
    <xf numFmtId="42" fontId="4" fillId="0" borderId="0" xfId="2" applyNumberFormat="1" applyFont="1" applyFill="1" applyBorder="1" applyAlignment="1" applyProtection="1">
      <alignment horizontal="right"/>
      <protection locked="0"/>
    </xf>
    <xf numFmtId="165" fontId="4" fillId="0" borderId="0" xfId="0" applyNumberFormat="1" applyFont="1" applyFill="1" applyBorder="1" applyAlignment="1" applyProtection="1">
      <protection locked="0"/>
    </xf>
    <xf numFmtId="164" fontId="12" fillId="0" borderId="0" xfId="0" applyFont="1" applyFill="1" applyAlignment="1">
      <alignment horizontal="left"/>
    </xf>
    <xf numFmtId="0" fontId="4" fillId="0" borderId="0" xfId="0" applyNumberFormat="1" applyFont="1" applyFill="1" applyBorder="1" applyAlignment="1">
      <alignment horizontal="right"/>
    </xf>
    <xf numFmtId="37" fontId="4" fillId="0" borderId="0" xfId="1" applyNumberFormat="1" applyFont="1" applyFill="1" applyBorder="1"/>
    <xf numFmtId="0" fontId="0" fillId="0" borderId="0" xfId="0" applyNumberFormat="1" applyAlignment="1"/>
    <xf numFmtId="0" fontId="4" fillId="0" borderId="0" xfId="0" applyNumberFormat="1" applyFont="1" applyFill="1" applyAlignment="1" applyProtection="1">
      <alignment horizontal="center"/>
      <protection locked="0"/>
    </xf>
    <xf numFmtId="168" fontId="4" fillId="0" borderId="0" xfId="5" quotePrefix="1" applyNumberFormat="1" applyFont="1" applyFill="1" applyBorder="1" applyAlignment="1">
      <alignment horizontal="left"/>
    </xf>
    <xf numFmtId="42" fontId="4" fillId="0" borderId="0" xfId="0" applyNumberFormat="1" applyFont="1" applyFill="1" applyAlignment="1"/>
    <xf numFmtId="42" fontId="4" fillId="0" borderId="0" xfId="0" applyNumberFormat="1" applyFont="1" applyFill="1" applyAlignment="1">
      <alignment horizontal="right"/>
    </xf>
    <xf numFmtId="169" fontId="4" fillId="0" borderId="0" xfId="3" applyNumberFormat="1" applyFont="1" applyFill="1" applyBorder="1" applyAlignment="1">
      <alignment horizontal="right"/>
    </xf>
    <xf numFmtId="0" fontId="3" fillId="0" borderId="0" xfId="2" applyNumberFormat="1" applyFont="1" applyFill="1" applyAlignment="1" applyProtection="1">
      <protection locked="0"/>
    </xf>
    <xf numFmtId="0" fontId="4" fillId="0" borderId="0" xfId="2" applyNumberFormat="1" applyFont="1" applyFill="1" applyAlignment="1" applyProtection="1">
      <protection locked="0"/>
    </xf>
    <xf numFmtId="42" fontId="4" fillId="0" borderId="0" xfId="2" applyNumberFormat="1" applyFont="1" applyFill="1" applyProtection="1">
      <protection locked="0"/>
    </xf>
    <xf numFmtId="42" fontId="4" fillId="0" borderId="0" xfId="2" applyNumberFormat="1" applyFont="1" applyFill="1" applyBorder="1" applyAlignment="1"/>
    <xf numFmtId="42" fontId="4" fillId="0" borderId="0" xfId="1" applyNumberFormat="1" applyFont="1" applyFill="1"/>
    <xf numFmtId="42" fontId="4" fillId="0" borderId="0" xfId="1" applyNumberFormat="1" applyFont="1" applyFill="1" applyBorder="1"/>
    <xf numFmtId="42" fontId="4" fillId="0" borderId="0" xfId="0" applyNumberFormat="1" applyFont="1" applyFill="1" applyAlignment="1" applyProtection="1">
      <alignment horizontal="right"/>
      <protection locked="0"/>
    </xf>
    <xf numFmtId="42" fontId="4" fillId="0" borderId="0" xfId="1" applyNumberFormat="1" applyFont="1" applyFill="1" applyBorder="1" applyAlignment="1">
      <alignment horizontal="center"/>
    </xf>
    <xf numFmtId="42" fontId="14" fillId="0" borderId="0" xfId="2" applyNumberFormat="1" applyFont="1" applyBorder="1"/>
    <xf numFmtId="0" fontId="4" fillId="0" borderId="0" xfId="4" applyFont="1" applyFill="1" applyAlignment="1"/>
    <xf numFmtId="42" fontId="4" fillId="0" borderId="0" xfId="4" applyNumberFormat="1" applyFont="1" applyFill="1" applyAlignment="1"/>
    <xf numFmtId="0" fontId="4" fillId="0" borderId="0" xfId="0" applyNumberFormat="1" applyFont="1" applyFill="1" applyBorder="1" applyAlignment="1">
      <alignment horizontal="left"/>
    </xf>
    <xf numFmtId="42" fontId="4" fillId="0" borderId="0" xfId="1" applyNumberFormat="1" applyFont="1" applyFill="1" applyAlignment="1"/>
    <xf numFmtId="164" fontId="4" fillId="0" borderId="0" xfId="0" applyFont="1" applyFill="1" applyBorder="1" applyAlignment="1">
      <alignment horizontal="right"/>
    </xf>
    <xf numFmtId="9" fontId="4" fillId="0" borderId="0" xfId="3" applyFont="1" applyFill="1" applyBorder="1"/>
    <xf numFmtId="0" fontId="4" fillId="0" borderId="0" xfId="0" applyNumberFormat="1" applyFont="1" applyFill="1" applyAlignment="1">
      <alignment horizontal="fill"/>
    </xf>
    <xf numFmtId="0" fontId="4" fillId="0" borderId="0" xfId="0" applyNumberFormat="1" applyFont="1" applyFill="1" applyAlignment="1" applyProtection="1">
      <alignment horizontal="fill"/>
      <protection locked="0"/>
    </xf>
    <xf numFmtId="0" fontId="4" fillId="16" borderId="0" xfId="0" applyNumberFormat="1" applyFont="1" applyFill="1" applyAlignment="1"/>
    <xf numFmtId="164" fontId="4" fillId="0" borderId="0" xfId="0" quotePrefix="1" applyFont="1" applyFill="1" applyAlignment="1">
      <alignment horizontal="center"/>
    </xf>
    <xf numFmtId="164" fontId="4" fillId="0" borderId="0" xfId="0" applyFont="1" applyFill="1" applyBorder="1" applyAlignment="1">
      <alignment horizontal="center"/>
    </xf>
    <xf numFmtId="37" fontId="4" fillId="0" borderId="0" xfId="0" applyNumberFormat="1" applyFont="1" applyFill="1" applyBorder="1" applyAlignment="1">
      <alignment horizontal="center"/>
    </xf>
    <xf numFmtId="164" fontId="4" fillId="0" borderId="0" xfId="0" applyNumberFormat="1" applyFont="1" applyFill="1" applyAlignment="1">
      <alignment horizontal="left" wrapText="1" indent="1"/>
    </xf>
    <xf numFmtId="3" fontId="4" fillId="0" borderId="0" xfId="1" applyNumberFormat="1" applyFont="1" applyFill="1" applyBorder="1" applyAlignment="1"/>
    <xf numFmtId="170" fontId="4" fillId="0" borderId="0" xfId="2" applyNumberFormat="1" applyFont="1" applyFill="1" applyBorder="1" applyAlignment="1"/>
    <xf numFmtId="37" fontId="14" fillId="0" borderId="0" xfId="1" applyNumberFormat="1" applyFont="1" applyFill="1"/>
    <xf numFmtId="41" fontId="4" fillId="0" borderId="0" xfId="1" applyNumberFormat="1" applyFont="1" applyFill="1" applyBorder="1" applyProtection="1">
      <protection locked="0"/>
    </xf>
    <xf numFmtId="164" fontId="4" fillId="0" borderId="0" xfId="6" applyNumberFormat="1" applyFont="1" applyFill="1" applyAlignment="1">
      <alignment horizontal="left"/>
    </xf>
    <xf numFmtId="0" fontId="4" fillId="0" borderId="0" xfId="0" applyNumberFormat="1" applyFont="1" applyFill="1" applyAlignment="1" applyProtection="1">
      <protection locked="0"/>
    </xf>
    <xf numFmtId="5" fontId="4" fillId="0" borderId="3" xfId="0" applyNumberFormat="1" applyFont="1" applyFill="1" applyBorder="1" applyAlignment="1" applyProtection="1">
      <protection locked="0"/>
    </xf>
    <xf numFmtId="164" fontId="4" fillId="0" borderId="0" xfId="0" applyFont="1" applyFill="1" applyAlignment="1" applyProtection="1">
      <alignment horizontal="left"/>
      <protection locked="0"/>
    </xf>
    <xf numFmtId="172" fontId="4" fillId="0" borderId="0" xfId="1" applyNumberFormat="1" applyFont="1" applyFill="1"/>
    <xf numFmtId="172" fontId="4" fillId="0" borderId="0" xfId="1" applyNumberFormat="1" applyFont="1" applyFill="1" applyBorder="1"/>
    <xf numFmtId="165" fontId="4" fillId="0" borderId="3" xfId="0" applyNumberFormat="1" applyFont="1" applyFill="1" applyBorder="1" applyAlignment="1" applyProtection="1">
      <alignment horizontal="right"/>
      <protection locked="0"/>
    </xf>
    <xf numFmtId="41" fontId="4" fillId="0" borderId="3" xfId="1" applyNumberFormat="1" applyFont="1" applyFill="1" applyBorder="1" applyAlignment="1">
      <alignment horizontal="center"/>
    </xf>
    <xf numFmtId="41" fontId="14" fillId="0" borderId="3" xfId="1" applyNumberFormat="1" applyFont="1" applyBorder="1"/>
    <xf numFmtId="41" fontId="4" fillId="0" borderId="3" xfId="1" applyNumberFormat="1" applyFont="1" applyBorder="1"/>
    <xf numFmtId="41" fontId="4" fillId="0" borderId="3" xfId="1" applyNumberFormat="1" applyFont="1" applyFill="1" applyBorder="1"/>
    <xf numFmtId="42" fontId="4" fillId="0" borderId="0" xfId="1" applyNumberFormat="1" applyFont="1" applyBorder="1"/>
    <xf numFmtId="164" fontId="4" fillId="0" borderId="0" xfId="0" applyNumberFormat="1" applyFont="1" applyFill="1" applyAlignment="1"/>
    <xf numFmtId="173" fontId="4" fillId="0" borderId="0" xfId="0" applyNumberFormat="1" applyFont="1" applyFill="1" applyAlignment="1"/>
    <xf numFmtId="165" fontId="4" fillId="0" borderId="0" xfId="0" applyNumberFormat="1" applyFont="1" applyFill="1" applyAlignment="1"/>
    <xf numFmtId="165" fontId="4" fillId="16" borderId="0" xfId="0" applyNumberFormat="1" applyFont="1" applyFill="1" applyAlignment="1"/>
    <xf numFmtId="164" fontId="12" fillId="0" borderId="0" xfId="0" applyFont="1" applyFill="1" applyAlignment="1">
      <alignment horizontal="center"/>
    </xf>
    <xf numFmtId="164" fontId="12" fillId="0" borderId="0" xfId="0" applyFont="1" applyFill="1" applyBorder="1" applyAlignment="1">
      <alignment horizontal="center"/>
    </xf>
    <xf numFmtId="37" fontId="12" fillId="0" borderId="0" xfId="0" applyNumberFormat="1" applyFont="1" applyFill="1" applyBorder="1" applyAlignment="1">
      <alignment horizontal="center"/>
    </xf>
    <xf numFmtId="164" fontId="4" fillId="0" borderId="0" xfId="0" applyNumberFormat="1" applyFont="1" applyFill="1" applyAlignment="1">
      <alignment horizontal="left" indent="1"/>
    </xf>
    <xf numFmtId="41" fontId="4" fillId="0" borderId="0" xfId="0" applyNumberFormat="1" applyFont="1" applyFill="1" applyBorder="1" applyAlignment="1">
      <alignment horizontal="right"/>
    </xf>
    <xf numFmtId="9" fontId="4" fillId="0" borderId="0" xfId="0" applyNumberFormat="1" applyFont="1" applyFill="1" applyAlignment="1">
      <alignment horizontal="center"/>
    </xf>
    <xf numFmtId="37" fontId="14" fillId="0" borderId="0" xfId="1" applyNumberFormat="1" applyFont="1" applyFill="1" applyBorder="1" applyProtection="1">
      <protection locked="0"/>
    </xf>
    <xf numFmtId="42" fontId="4" fillId="0" borderId="4" xfId="0" applyNumberFormat="1" applyFont="1" applyFill="1" applyBorder="1" applyAlignment="1"/>
    <xf numFmtId="42" fontId="4" fillId="0" borderId="0" xfId="0" applyNumberFormat="1" applyFont="1" applyFill="1" applyBorder="1" applyAlignment="1" applyProtection="1">
      <protection locked="0"/>
    </xf>
    <xf numFmtId="169" fontId="4" fillId="0" borderId="3" xfId="3" applyNumberFormat="1" applyFont="1" applyFill="1" applyBorder="1" applyAlignment="1">
      <alignment horizontal="right"/>
    </xf>
    <xf numFmtId="0" fontId="4" fillId="0" borderId="0" xfId="2" applyNumberFormat="1" applyFont="1" applyFill="1" applyBorder="1" applyAlignment="1" applyProtection="1">
      <protection locked="0"/>
    </xf>
    <xf numFmtId="42" fontId="4" fillId="0" borderId="0" xfId="2" applyNumberFormat="1" applyFont="1" applyFill="1" applyBorder="1" applyProtection="1">
      <protection locked="0"/>
    </xf>
    <xf numFmtId="42" fontId="4" fillId="0" borderId="0" xfId="0" applyNumberFormat="1" applyFont="1" applyFill="1" applyBorder="1" applyAlignment="1"/>
    <xf numFmtId="172" fontId="4" fillId="0" borderId="4" xfId="1" applyNumberFormat="1" applyFont="1" applyFill="1" applyBorder="1"/>
    <xf numFmtId="42" fontId="4" fillId="0" borderId="4" xfId="0" applyNumberFormat="1" applyFont="1" applyFill="1" applyBorder="1" applyAlignment="1" applyProtection="1">
      <alignment horizontal="right"/>
      <protection locked="0"/>
    </xf>
    <xf numFmtId="41" fontId="14" fillId="0" borderId="0" xfId="1" applyNumberFormat="1" applyFont="1" applyFill="1" applyBorder="1" applyAlignment="1">
      <alignment horizontal="center"/>
    </xf>
    <xf numFmtId="37" fontId="4" fillId="0" borderId="4" xfId="4" applyNumberFormat="1" applyFont="1" applyFill="1" applyBorder="1" applyAlignment="1"/>
    <xf numFmtId="41" fontId="4" fillId="0" borderId="4" xfId="1" applyNumberFormat="1" applyFont="1" applyFill="1" applyBorder="1" applyAlignment="1"/>
    <xf numFmtId="42" fontId="4" fillId="0" borderId="0" xfId="1" applyNumberFormat="1" applyFont="1"/>
    <xf numFmtId="174" fontId="4" fillId="0" borderId="3" xfId="3" applyNumberFormat="1" applyFont="1" applyFill="1" applyBorder="1" applyAlignment="1"/>
    <xf numFmtId="164" fontId="4" fillId="0" borderId="3" xfId="0" applyFont="1" applyFill="1" applyBorder="1" applyAlignment="1">
      <alignment horizontal="right"/>
    </xf>
    <xf numFmtId="42" fontId="4" fillId="0" borderId="0" xfId="2" applyNumberFormat="1" applyFont="1" applyFill="1"/>
    <xf numFmtId="42" fontId="4" fillId="0" borderId="0" xfId="2" applyNumberFormat="1" applyFont="1" applyFill="1" applyAlignment="1">
      <alignment horizontal="right"/>
    </xf>
    <xf numFmtId="42" fontId="4" fillId="16" borderId="0" xfId="2" applyNumberFormat="1" applyFont="1" applyFill="1"/>
    <xf numFmtId="42" fontId="4" fillId="16" borderId="0" xfId="2" applyNumberFormat="1" applyFont="1" applyFill="1" applyAlignment="1">
      <alignment horizontal="right"/>
    </xf>
    <xf numFmtId="42" fontId="4" fillId="17" borderId="0" xfId="0" applyNumberFormat="1" applyFont="1" applyFill="1" applyAlignment="1"/>
    <xf numFmtId="17" fontId="4" fillId="0" borderId="0" xfId="0" applyNumberFormat="1" applyFont="1" applyFill="1" applyAlignment="1"/>
    <xf numFmtId="172" fontId="4" fillId="0" borderId="0" xfId="1" applyNumberFormat="1" applyFont="1" applyFill="1" applyBorder="1" applyAlignment="1"/>
    <xf numFmtId="37" fontId="4" fillId="0" borderId="0" xfId="0" applyNumberFormat="1" applyFont="1" applyFill="1" applyAlignment="1">
      <alignment horizontal="right"/>
    </xf>
    <xf numFmtId="9" fontId="4" fillId="0" borderId="0" xfId="3" applyNumberFormat="1" applyFont="1" applyFill="1"/>
    <xf numFmtId="41" fontId="14" fillId="0" borderId="0" xfId="1" applyNumberFormat="1" applyFont="1" applyFill="1" applyBorder="1" applyProtection="1">
      <protection locked="0"/>
    </xf>
    <xf numFmtId="42" fontId="3" fillId="0" borderId="5" xfId="2" applyNumberFormat="1" applyFont="1" applyFill="1" applyBorder="1" applyAlignment="1"/>
    <xf numFmtId="42" fontId="4" fillId="0" borderId="0" xfId="0" applyNumberFormat="1" applyFont="1" applyFill="1">
      <alignment horizontal="left" wrapText="1"/>
    </xf>
    <xf numFmtId="170" fontId="14" fillId="0" borderId="0" xfId="2" applyNumberFormat="1" applyFont="1" applyFill="1" applyBorder="1"/>
    <xf numFmtId="41" fontId="4" fillId="0" borderId="0" xfId="1" applyNumberFormat="1" applyFont="1" applyFill="1" applyBorder="1" applyAlignment="1">
      <alignment horizontal="center"/>
    </xf>
    <xf numFmtId="41" fontId="14" fillId="0" borderId="0" xfId="1" applyNumberFormat="1" applyFont="1" applyBorder="1"/>
    <xf numFmtId="0" fontId="6" fillId="0" borderId="0" xfId="4"/>
    <xf numFmtId="171" fontId="4" fillId="0" borderId="0" xfId="0" applyNumberFormat="1" applyFont="1" applyFill="1" applyAlignment="1"/>
    <xf numFmtId="175" fontId="15" fillId="0" borderId="0" xfId="3" applyNumberFormat="1" applyFont="1" applyFill="1" applyBorder="1"/>
    <xf numFmtId="174" fontId="4" fillId="0" borderId="0" xfId="3" applyNumberFormat="1" applyFont="1" applyFill="1" applyBorder="1"/>
    <xf numFmtId="41" fontId="4" fillId="0" borderId="0" xfId="1" applyNumberFormat="1" applyFont="1" applyFill="1"/>
    <xf numFmtId="37" fontId="4" fillId="0" borderId="0" xfId="1" applyNumberFormat="1" applyFont="1" applyFill="1"/>
    <xf numFmtId="41" fontId="4" fillId="0" borderId="0" xfId="0" applyNumberFormat="1" applyFont="1" applyFill="1" applyAlignment="1">
      <alignment horizontal="right"/>
    </xf>
    <xf numFmtId="41" fontId="4" fillId="16" borderId="0" xfId="1" applyNumberFormat="1" applyFont="1" applyFill="1"/>
    <xf numFmtId="37" fontId="4" fillId="16" borderId="0" xfId="1" applyNumberFormat="1" applyFont="1" applyFill="1"/>
    <xf numFmtId="41" fontId="4" fillId="16" borderId="0" xfId="0" applyNumberFormat="1" applyFont="1" applyFill="1" applyAlignment="1">
      <alignment horizontal="right"/>
    </xf>
    <xf numFmtId="164" fontId="4" fillId="0" borderId="0" xfId="0" applyFont="1" applyFill="1" applyAlignment="1">
      <alignment horizontal="left" indent="1"/>
    </xf>
    <xf numFmtId="41" fontId="14" fillId="0" borderId="3" xfId="1" applyNumberFormat="1" applyFont="1" applyFill="1" applyBorder="1"/>
    <xf numFmtId="10" fontId="4" fillId="0" borderId="3" xfId="3" applyNumberFormat="1" applyFont="1" applyFill="1" applyBorder="1" applyAlignment="1">
      <alignment horizontal="right"/>
    </xf>
    <xf numFmtId="164" fontId="4" fillId="0" borderId="0" xfId="7" applyFont="1" applyFill="1" applyAlignment="1">
      <alignment horizontal="left"/>
    </xf>
    <xf numFmtId="0" fontId="4" fillId="0" borderId="0" xfId="0" applyNumberFormat="1" applyFont="1" applyFill="1" applyAlignment="1">
      <alignment horizontal="left" vertical="center" indent="2"/>
    </xf>
    <xf numFmtId="0" fontId="4" fillId="0" borderId="0" xfId="0" applyNumberFormat="1" applyFont="1" applyFill="1" applyAlignment="1">
      <alignment vertical="center"/>
    </xf>
    <xf numFmtId="37" fontId="4" fillId="0" borderId="0" xfId="2" applyNumberFormat="1" applyFont="1" applyFill="1" applyBorder="1" applyAlignment="1">
      <alignment vertical="center"/>
    </xf>
    <xf numFmtId="168" fontId="4" fillId="0" borderId="0" xfId="0" quotePrefix="1" applyNumberFormat="1" applyFont="1" applyFill="1" applyAlignment="1">
      <alignment horizontal="left"/>
    </xf>
    <xf numFmtId="169" fontId="3" fillId="0" borderId="0" xfId="3" applyNumberFormat="1" applyFont="1" applyFill="1" applyBorder="1" applyAlignment="1">
      <alignment horizontal="right"/>
    </xf>
    <xf numFmtId="0" fontId="3" fillId="0" borderId="0" xfId="2" quotePrefix="1" applyNumberFormat="1" applyFont="1" applyFill="1" applyAlignment="1" applyProtection="1">
      <protection locked="0"/>
    </xf>
    <xf numFmtId="0" fontId="4" fillId="0" borderId="0" xfId="2" quotePrefix="1" applyNumberFormat="1" applyFont="1" applyFill="1" applyAlignment="1" applyProtection="1">
      <protection locked="0"/>
    </xf>
    <xf numFmtId="164" fontId="4" fillId="0" borderId="0" xfId="0" applyFont="1" applyFill="1" applyAlignment="1" applyProtection="1">
      <alignment horizontal="center"/>
      <protection locked="0"/>
    </xf>
    <xf numFmtId="1" fontId="4" fillId="0" borderId="0" xfId="4" quotePrefix="1" applyNumberFormat="1" applyFont="1" applyFill="1" applyAlignment="1">
      <alignment horizontal="left"/>
    </xf>
    <xf numFmtId="170" fontId="4" fillId="0" borderId="4" xfId="4" applyNumberFormat="1" applyFont="1" applyFill="1" applyBorder="1" applyAlignment="1"/>
    <xf numFmtId="41" fontId="4" fillId="0" borderId="3" xfId="0" applyNumberFormat="1" applyFont="1" applyFill="1" applyBorder="1" applyAlignment="1"/>
    <xf numFmtId="37" fontId="4" fillId="0" borderId="3" xfId="1" applyNumberFormat="1" applyFont="1" applyFill="1" applyBorder="1"/>
    <xf numFmtId="41" fontId="4" fillId="0" borderId="3" xfId="0" applyNumberFormat="1" applyFont="1" applyFill="1" applyBorder="1" applyAlignment="1">
      <alignment horizontal="right"/>
    </xf>
    <xf numFmtId="41" fontId="4" fillId="16" borderId="3" xfId="1" applyNumberFormat="1" applyFont="1" applyFill="1" applyBorder="1"/>
    <xf numFmtId="37" fontId="4" fillId="16" borderId="3" xfId="1" applyNumberFormat="1" applyFont="1" applyFill="1" applyBorder="1"/>
    <xf numFmtId="41" fontId="4" fillId="16" borderId="3" xfId="0" applyNumberFormat="1" applyFont="1" applyFill="1" applyBorder="1" applyAlignment="1">
      <alignment horizontal="right"/>
    </xf>
    <xf numFmtId="3" fontId="4" fillId="0" borderId="4" xfId="1" applyNumberFormat="1" applyFont="1" applyFill="1" applyBorder="1" applyAlignment="1"/>
    <xf numFmtId="41" fontId="14" fillId="0" borderId="0" xfId="1" applyNumberFormat="1" applyFont="1" applyFill="1" applyProtection="1">
      <protection locked="0"/>
    </xf>
    <xf numFmtId="0" fontId="4" fillId="0" borderId="0" xfId="0" applyNumberFormat="1" applyFont="1" applyFill="1" applyAlignment="1">
      <alignment horizontal="left" indent="2"/>
    </xf>
    <xf numFmtId="0" fontId="4" fillId="0" borderId="0" xfId="0" applyNumberFormat="1" applyFont="1" applyFill="1" applyBorder="1" applyAlignment="1"/>
    <xf numFmtId="37" fontId="4" fillId="0" borderId="3" xfId="0" applyNumberFormat="1" applyFont="1" applyFill="1" applyBorder="1" applyAlignment="1" applyProtection="1">
      <protection locked="0"/>
    </xf>
    <xf numFmtId="41" fontId="4" fillId="0" borderId="3" xfId="0" applyNumberFormat="1" applyFont="1" applyFill="1" applyBorder="1" applyAlignment="1" applyProtection="1">
      <protection locked="0"/>
    </xf>
    <xf numFmtId="164" fontId="4" fillId="0" borderId="0" xfId="0" quotePrefix="1" applyFont="1" applyFill="1" applyAlignment="1">
      <alignment horizontal="left"/>
    </xf>
    <xf numFmtId="170" fontId="4" fillId="0" borderId="0" xfId="2" applyNumberFormat="1" applyFont="1" applyFill="1" applyBorder="1"/>
    <xf numFmtId="37" fontId="4" fillId="0" borderId="0" xfId="2" applyNumberFormat="1" applyFont="1" applyFill="1" applyBorder="1"/>
    <xf numFmtId="0" fontId="4" fillId="0" borderId="0" xfId="0" applyNumberFormat="1" applyFont="1" applyAlignment="1"/>
    <xf numFmtId="9" fontId="4" fillId="0" borderId="0" xfId="0" applyNumberFormat="1" applyFont="1" applyFill="1" applyBorder="1" applyAlignment="1"/>
    <xf numFmtId="41" fontId="14" fillId="0" borderId="3" xfId="0" applyNumberFormat="1" applyFont="1" applyBorder="1" applyAlignment="1"/>
    <xf numFmtId="37" fontId="16" fillId="0" borderId="0" xfId="4" applyNumberFormat="1" applyFont="1" applyFill="1" applyAlignment="1"/>
    <xf numFmtId="41" fontId="4" fillId="0" borderId="0" xfId="1" applyNumberFormat="1" applyFont="1" applyFill="1" applyAlignment="1"/>
    <xf numFmtId="175" fontId="4" fillId="0" borderId="0" xfId="3" applyNumberFormat="1" applyFont="1" applyFill="1"/>
    <xf numFmtId="42" fontId="4" fillId="0" borderId="4" xfId="2" applyNumberFormat="1" applyFont="1" applyFill="1" applyBorder="1" applyProtection="1">
      <protection locked="0"/>
    </xf>
    <xf numFmtId="42" fontId="4" fillId="16" borderId="4" xfId="2" applyNumberFormat="1" applyFont="1" applyFill="1" applyBorder="1" applyProtection="1">
      <protection locked="0"/>
    </xf>
    <xf numFmtId="3" fontId="4" fillId="0" borderId="0" xfId="1" applyNumberFormat="1" applyFont="1" applyFill="1" applyAlignment="1">
      <alignment horizontal="right"/>
    </xf>
    <xf numFmtId="0" fontId="4" fillId="0" borderId="0" xfId="0" applyNumberFormat="1" applyFont="1" applyFill="1" applyAlignment="1">
      <alignment vertical="top"/>
    </xf>
    <xf numFmtId="170" fontId="4" fillId="0" borderId="4" xfId="2" applyNumberFormat="1" applyFont="1" applyFill="1" applyBorder="1" applyProtection="1">
      <protection locked="0"/>
    </xf>
    <xf numFmtId="170" fontId="4" fillId="0" borderId="0" xfId="2" applyNumberFormat="1" applyFont="1" applyFill="1" applyBorder="1" applyProtection="1">
      <protection locked="0"/>
    </xf>
    <xf numFmtId="168" fontId="4" fillId="0" borderId="0" xfId="0" applyNumberFormat="1" applyFont="1" applyFill="1" applyAlignment="1">
      <alignment horizontal="left"/>
    </xf>
    <xf numFmtId="6" fontId="4" fillId="0" borderId="0" xfId="0" applyNumberFormat="1" applyFont="1" applyFill="1" applyAlignment="1">
      <alignment horizontal="right"/>
    </xf>
    <xf numFmtId="0" fontId="4" fillId="0" borderId="0" xfId="2" quotePrefix="1" applyNumberFormat="1" applyFont="1" applyFill="1" applyBorder="1" applyAlignment="1" applyProtection="1">
      <protection locked="0"/>
    </xf>
    <xf numFmtId="42" fontId="4" fillId="0" borderId="0" xfId="2" applyNumberFormat="1" applyFont="1" applyFill="1" applyBorder="1"/>
    <xf numFmtId="37" fontId="4" fillId="0" borderId="0" xfId="0" applyNumberFormat="1" applyFont="1" applyFill="1">
      <alignment horizontal="left" wrapText="1"/>
    </xf>
    <xf numFmtId="9" fontId="4" fillId="0" borderId="0" xfId="1" applyNumberFormat="1" applyFont="1" applyFill="1" applyBorder="1"/>
    <xf numFmtId="37" fontId="4" fillId="0" borderId="0" xfId="0" applyNumberFormat="1" applyFont="1" applyFill="1" applyAlignment="1">
      <alignment horizontal="right" wrapText="1"/>
    </xf>
    <xf numFmtId="9" fontId="4" fillId="0" borderId="0" xfId="0" applyNumberFormat="1" applyFont="1" applyFill="1" applyAlignment="1">
      <alignment horizontal="right"/>
    </xf>
    <xf numFmtId="41" fontId="4" fillId="0" borderId="0" xfId="0" applyNumberFormat="1" applyFont="1" applyFill="1" applyBorder="1" applyAlignment="1" applyProtection="1">
      <alignment horizontal="right"/>
      <protection locked="0"/>
    </xf>
    <xf numFmtId="41" fontId="14" fillId="0" borderId="0" xfId="0" applyNumberFormat="1" applyFont="1" applyAlignment="1"/>
    <xf numFmtId="9" fontId="4" fillId="0" borderId="0" xfId="0" applyNumberFormat="1" applyFont="1" applyFill="1" applyAlignment="1"/>
    <xf numFmtId="164" fontId="4" fillId="0" borderId="3" xfId="0" applyNumberFormat="1" applyFont="1" applyFill="1" applyBorder="1" applyAlignment="1"/>
    <xf numFmtId="164" fontId="4" fillId="0" borderId="4" xfId="0" applyFont="1" applyFill="1" applyBorder="1" applyAlignment="1"/>
    <xf numFmtId="41" fontId="14" fillId="0" borderId="3" xfId="2" applyNumberFormat="1" applyFont="1" applyFill="1" applyBorder="1" applyProtection="1">
      <protection locked="0"/>
    </xf>
    <xf numFmtId="37" fontId="4" fillId="0" borderId="0" xfId="0" applyNumberFormat="1" applyFont="1" applyFill="1" applyBorder="1" applyAlignment="1">
      <alignment vertical="top"/>
    </xf>
    <xf numFmtId="0" fontId="0" fillId="0" borderId="4" xfId="0" applyNumberFormat="1" applyBorder="1" applyAlignment="1"/>
    <xf numFmtId="41" fontId="4" fillId="0" borderId="0" xfId="8" applyNumberFormat="1" applyFont="1" applyFill="1" applyBorder="1" applyAlignment="1" applyProtection="1">
      <protection locked="0"/>
    </xf>
    <xf numFmtId="42" fontId="14" fillId="0" borderId="5" xfId="2" applyNumberFormat="1" applyFont="1" applyBorder="1"/>
    <xf numFmtId="0" fontId="16" fillId="0" borderId="4" xfId="4" applyFont="1" applyFill="1" applyBorder="1" applyAlignment="1"/>
    <xf numFmtId="175" fontId="4" fillId="0" borderId="0" xfId="0" applyNumberFormat="1" applyFont="1" applyFill="1" applyAlignment="1"/>
    <xf numFmtId="164" fontId="3" fillId="0" borderId="5" xfId="0" applyNumberFormat="1" applyFont="1" applyFill="1" applyBorder="1" applyAlignment="1" applyProtection="1">
      <protection locked="0"/>
    </xf>
    <xf numFmtId="165" fontId="4" fillId="0" borderId="0" xfId="0" applyNumberFormat="1" applyFont="1" applyFill="1" applyAlignment="1">
      <alignment horizontal="left"/>
    </xf>
    <xf numFmtId="41" fontId="14" fillId="0" borderId="0" xfId="0" applyNumberFormat="1" applyFont="1" applyFill="1" applyAlignment="1"/>
    <xf numFmtId="172" fontId="4" fillId="0" borderId="0" xfId="0" applyNumberFormat="1" applyFont="1" applyFill="1" applyAlignment="1"/>
    <xf numFmtId="170" fontId="4" fillId="0" borderId="6" xfId="2" applyNumberFormat="1" applyFont="1" applyFill="1" applyBorder="1" applyAlignment="1"/>
    <xf numFmtId="169" fontId="3" fillId="0" borderId="3" xfId="0" applyNumberFormat="1" applyFont="1" applyFill="1" applyBorder="1" applyAlignment="1"/>
    <xf numFmtId="42" fontId="3" fillId="0" borderId="7" xfId="0" applyNumberFormat="1" applyFont="1" applyFill="1" applyBorder="1">
      <alignment horizontal="left" wrapText="1"/>
    </xf>
    <xf numFmtId="42" fontId="3" fillId="0" borderId="7" xfId="2" applyNumberFormat="1" applyFont="1" applyFill="1" applyBorder="1" applyAlignment="1"/>
    <xf numFmtId="42" fontId="3" fillId="0" borderId="0" xfId="2" applyNumberFormat="1" applyFont="1" applyFill="1" applyBorder="1" applyAlignment="1"/>
    <xf numFmtId="170" fontId="4" fillId="0" borderId="5" xfId="4" applyNumberFormat="1" applyFont="1" applyFill="1" applyBorder="1" applyAlignment="1"/>
    <xf numFmtId="9" fontId="4" fillId="0" borderId="0" xfId="3" applyFont="1" applyFill="1" applyAlignment="1"/>
    <xf numFmtId="175" fontId="15" fillId="0" borderId="0" xfId="3" applyNumberFormat="1" applyFont="1" applyFill="1"/>
    <xf numFmtId="174" fontId="4" fillId="0" borderId="0" xfId="3" applyNumberFormat="1" applyFont="1" applyFill="1"/>
    <xf numFmtId="42" fontId="4" fillId="0" borderId="0" xfId="0" applyNumberFormat="1" applyFont="1" applyFill="1" applyBorder="1" applyAlignment="1">
      <alignment horizontal="right"/>
    </xf>
    <xf numFmtId="42" fontId="4" fillId="0" borderId="7" xfId="0" applyNumberFormat="1" applyFont="1" applyFill="1" applyBorder="1" applyAlignment="1"/>
    <xf numFmtId="9" fontId="4" fillId="0" borderId="0" xfId="0" applyNumberFormat="1" applyFont="1" applyFill="1" applyAlignment="1" applyProtection="1">
      <protection locked="0"/>
    </xf>
    <xf numFmtId="164" fontId="12" fillId="0" borderId="0" xfId="0" applyFont="1" applyFill="1" applyBorder="1" applyAlignment="1">
      <alignment horizontal="left"/>
    </xf>
    <xf numFmtId="165" fontId="4" fillId="0" borderId="0" xfId="0" applyNumberFormat="1" applyFont="1" applyFill="1" applyBorder="1" applyProtection="1">
      <alignment horizontal="left" wrapText="1"/>
      <protection locked="0"/>
    </xf>
    <xf numFmtId="165" fontId="4" fillId="0" borderId="0" xfId="0" applyNumberFormat="1" applyFont="1" applyFill="1" applyBorder="1">
      <alignment horizontal="left" wrapText="1"/>
    </xf>
    <xf numFmtId="171" fontId="4" fillId="0" borderId="0" xfId="3" applyNumberFormat="1" applyFont="1" applyFill="1"/>
    <xf numFmtId="41" fontId="14" fillId="0" borderId="0" xfId="1" applyNumberFormat="1" applyFont="1" applyFill="1"/>
    <xf numFmtId="173" fontId="4" fillId="0" borderId="0" xfId="0" applyNumberFormat="1" applyFont="1" applyFill="1">
      <alignment horizontal="left" wrapText="1"/>
    </xf>
    <xf numFmtId="170" fontId="4" fillId="0" borderId="0" xfId="2" applyNumberFormat="1" applyFont="1" applyFill="1" applyAlignment="1">
      <alignment horizontal="right" wrapText="1"/>
    </xf>
    <xf numFmtId="37" fontId="4" fillId="0" borderId="3" xfId="0" applyNumberFormat="1" applyFont="1" applyFill="1" applyBorder="1" applyAlignment="1"/>
    <xf numFmtId="172" fontId="4" fillId="0" borderId="3" xfId="1" applyNumberFormat="1" applyFont="1" applyFill="1" applyBorder="1"/>
    <xf numFmtId="3" fontId="4" fillId="0" borderId="0" xfId="1" applyNumberFormat="1" applyFont="1" applyFill="1" applyAlignment="1"/>
    <xf numFmtId="9" fontId="15" fillId="0" borderId="0" xfId="3" applyNumberFormat="1" applyFont="1" applyFill="1"/>
    <xf numFmtId="41" fontId="4" fillId="0" borderId="0" xfId="2" applyNumberFormat="1" applyFont="1" applyFill="1" applyProtection="1">
      <protection locked="0"/>
    </xf>
    <xf numFmtId="41" fontId="4" fillId="0" borderId="0" xfId="2" applyNumberFormat="1" applyFont="1" applyFill="1"/>
    <xf numFmtId="41" fontId="4" fillId="0" borderId="0" xfId="2" applyNumberFormat="1" applyFont="1" applyFill="1" applyAlignment="1">
      <alignment horizontal="right"/>
    </xf>
    <xf numFmtId="41" fontId="4" fillId="16" borderId="0" xfId="2" applyNumberFormat="1" applyFont="1" applyFill="1"/>
    <xf numFmtId="41" fontId="4" fillId="16" borderId="0" xfId="2" applyNumberFormat="1" applyFont="1" applyFill="1" applyAlignment="1">
      <alignment horizontal="right"/>
    </xf>
    <xf numFmtId="41" fontId="4" fillId="0" borderId="0" xfId="0" applyNumberFormat="1" applyFont="1" applyFill="1" applyBorder="1" applyAlignment="1"/>
    <xf numFmtId="42" fontId="17" fillId="0" borderId="7" xfId="1" applyNumberFormat="1" applyFont="1" applyFill="1" applyBorder="1"/>
    <xf numFmtId="170" fontId="4" fillId="0" borderId="7" xfId="2" applyNumberFormat="1" applyFont="1" applyFill="1" applyBorder="1" applyProtection="1">
      <protection locked="0"/>
    </xf>
    <xf numFmtId="1" fontId="4" fillId="0" borderId="0" xfId="0" quotePrefix="1" applyNumberFormat="1" applyFont="1" applyFill="1" applyAlignment="1">
      <alignment horizontal="left"/>
    </xf>
    <xf numFmtId="9" fontId="4" fillId="0" borderId="0" xfId="3" applyFont="1" applyFill="1" applyAlignment="1">
      <alignment horizontal="center"/>
    </xf>
    <xf numFmtId="170" fontId="4" fillId="0" borderId="0" xfId="0" applyNumberFormat="1" applyFont="1" applyFill="1" applyAlignment="1"/>
    <xf numFmtId="1" fontId="4" fillId="0" borderId="0" xfId="0" applyNumberFormat="1" applyFont="1" applyFill="1" applyBorder="1" applyAlignment="1">
      <alignment horizontal="center"/>
    </xf>
    <xf numFmtId="164" fontId="6" fillId="0" borderId="0" xfId="0" applyFont="1" applyFill="1" applyBorder="1">
      <alignment horizontal="left" wrapText="1"/>
    </xf>
    <xf numFmtId="10" fontId="4" fillId="0" borderId="0" xfId="0" applyNumberFormat="1" applyFont="1" applyFill="1" applyAlignment="1"/>
    <xf numFmtId="164" fontId="4" fillId="0" borderId="3" xfId="0" quotePrefix="1" applyFont="1" applyFill="1" applyBorder="1" applyAlignment="1">
      <alignment horizontal="left"/>
    </xf>
    <xf numFmtId="37" fontId="4" fillId="0" borderId="3" xfId="0" applyNumberFormat="1" applyFont="1" applyFill="1" applyBorder="1" applyAlignment="1">
      <alignment horizontal="right" wrapText="1"/>
    </xf>
    <xf numFmtId="1" fontId="4" fillId="0" borderId="0" xfId="0" applyNumberFormat="1" applyFont="1" applyFill="1" applyAlignment="1"/>
    <xf numFmtId="10" fontId="4" fillId="0" borderId="0" xfId="3" applyNumberFormat="1" applyFont="1" applyFill="1"/>
    <xf numFmtId="41" fontId="4" fillId="0" borderId="0" xfId="0" applyNumberFormat="1" applyFont="1" applyFill="1" applyAlignment="1" applyProtection="1">
      <protection locked="0"/>
    </xf>
    <xf numFmtId="41" fontId="4" fillId="16" borderId="3" xfId="0" applyNumberFormat="1" applyFont="1" applyFill="1" applyBorder="1" applyAlignment="1"/>
    <xf numFmtId="41" fontId="4" fillId="16" borderId="0" xfId="0" applyNumberFormat="1" applyFont="1" applyFill="1" applyAlignment="1"/>
    <xf numFmtId="172" fontId="4" fillId="0" borderId="3" xfId="1" applyNumberFormat="1" applyFont="1" applyFill="1" applyBorder="1" applyAlignment="1"/>
    <xf numFmtId="37" fontId="4" fillId="0" borderId="3" xfId="0" applyNumberFormat="1" applyFont="1" applyFill="1" applyBorder="1" applyAlignment="1">
      <alignment horizontal="right"/>
    </xf>
    <xf numFmtId="0" fontId="4" fillId="0" borderId="0" xfId="0" applyNumberFormat="1" applyFont="1" applyFill="1" applyAlignment="1">
      <alignment horizontal="left" vertical="top"/>
    </xf>
    <xf numFmtId="41" fontId="4" fillId="0" borderId="3" xfId="2" applyNumberFormat="1" applyFont="1" applyFill="1" applyBorder="1" applyAlignment="1" applyProtection="1">
      <alignment vertical="top"/>
      <protection locked="0"/>
    </xf>
    <xf numFmtId="173" fontId="4" fillId="0" borderId="0" xfId="0" applyNumberFormat="1" applyFont="1" applyFill="1" applyBorder="1" applyAlignment="1"/>
    <xf numFmtId="170" fontId="4" fillId="0" borderId="6" xfId="2" applyNumberFormat="1" applyFont="1" applyFill="1" applyBorder="1" applyAlignment="1">
      <alignment horizontal="right" wrapText="1"/>
    </xf>
    <xf numFmtId="42" fontId="3" fillId="0" borderId="7" xfId="2" applyNumberFormat="1" applyFont="1" applyFill="1" applyBorder="1"/>
    <xf numFmtId="41" fontId="4" fillId="0" borderId="0" xfId="0" applyNumberFormat="1" applyFont="1" applyFill="1" applyBorder="1">
      <alignment horizontal="left" wrapText="1"/>
    </xf>
    <xf numFmtId="171" fontId="4" fillId="0" borderId="0" xfId="0" applyNumberFormat="1" applyFont="1" applyFill="1" applyAlignment="1">
      <alignment vertical="top"/>
    </xf>
    <xf numFmtId="42" fontId="4" fillId="0" borderId="4" xfId="2" applyNumberFormat="1" applyFont="1" applyFill="1" applyBorder="1"/>
    <xf numFmtId="42" fontId="4" fillId="16" borderId="4" xfId="2" applyNumberFormat="1" applyFont="1" applyFill="1" applyBorder="1"/>
    <xf numFmtId="41" fontId="4" fillId="0" borderId="0" xfId="1" applyNumberFormat="1" applyFont="1" applyFill="1" applyBorder="1"/>
    <xf numFmtId="164" fontId="4" fillId="0" borderId="0" xfId="0" applyFont="1" applyFill="1" applyBorder="1" applyAlignment="1">
      <alignment horizontal="left" indent="1"/>
    </xf>
    <xf numFmtId="37" fontId="4" fillId="0" borderId="0" xfId="1" applyNumberFormat="1" applyFont="1" applyFill="1" applyBorder="1" applyAlignment="1"/>
    <xf numFmtId="171" fontId="4" fillId="0" borderId="0" xfId="0" applyNumberFormat="1" applyFont="1" applyFill="1" applyBorder="1" applyAlignment="1"/>
    <xf numFmtId="174" fontId="4" fillId="0" borderId="0" xfId="0" applyNumberFormat="1" applyFont="1" applyFill="1" applyAlignment="1"/>
    <xf numFmtId="165" fontId="4" fillId="0" borderId="0" xfId="0" applyNumberFormat="1" applyFont="1" applyFill="1" applyAlignment="1">
      <alignment vertical="top"/>
    </xf>
    <xf numFmtId="165" fontId="4" fillId="0" borderId="0" xfId="0" applyNumberFormat="1" applyFont="1" applyFill="1" applyBorder="1" applyAlignment="1">
      <alignment vertical="top"/>
    </xf>
    <xf numFmtId="42" fontId="4" fillId="0" borderId="0" xfId="0" applyNumberFormat="1" applyFont="1" applyFill="1" applyAlignment="1">
      <alignment vertical="top"/>
    </xf>
    <xf numFmtId="165" fontId="4" fillId="16" borderId="0" xfId="0" applyNumberFormat="1" applyFont="1" applyFill="1" applyAlignment="1">
      <alignment vertical="top"/>
    </xf>
    <xf numFmtId="41" fontId="4" fillId="0" borderId="0" xfId="2" applyNumberFormat="1" applyFont="1" applyFill="1" applyBorder="1"/>
    <xf numFmtId="0" fontId="4" fillId="0" borderId="0" xfId="0" applyNumberFormat="1" applyFont="1" applyFill="1" applyAlignment="1">
      <alignment horizontal="center" vertical="center"/>
    </xf>
    <xf numFmtId="165" fontId="4" fillId="0" borderId="0" xfId="0" applyNumberFormat="1" applyFont="1" applyFill="1" applyBorder="1" applyAlignment="1" applyProtection="1">
      <alignment vertical="center"/>
      <protection locked="0"/>
    </xf>
    <xf numFmtId="165" fontId="12" fillId="0" borderId="0" xfId="0" applyNumberFormat="1" applyFont="1" applyFill="1" applyBorder="1" applyAlignment="1" applyProtection="1">
      <protection locked="0"/>
    </xf>
    <xf numFmtId="164" fontId="4" fillId="0" borderId="0" xfId="0" applyFont="1" applyFill="1" applyBorder="1" applyAlignment="1">
      <alignment horizontal="left"/>
    </xf>
    <xf numFmtId="42" fontId="3" fillId="0" borderId="5" xfId="2" applyNumberFormat="1" applyFont="1" applyFill="1" applyBorder="1"/>
    <xf numFmtId="42" fontId="0" fillId="0" borderId="0" xfId="0" applyNumberFormat="1" applyFill="1" applyAlignment="1"/>
    <xf numFmtId="174" fontId="4" fillId="0" borderId="0" xfId="3" applyNumberFormat="1" applyFont="1" applyFill="1" applyBorder="1" applyAlignment="1">
      <alignment vertical="top"/>
    </xf>
    <xf numFmtId="0" fontId="4" fillId="0" borderId="0" xfId="0" quotePrefix="1" applyNumberFormat="1" applyFont="1" applyFill="1" applyAlignment="1">
      <alignment horizontal="left"/>
    </xf>
    <xf numFmtId="164" fontId="4" fillId="0" borderId="0" xfId="9" applyNumberFormat="1" applyFont="1" applyFill="1" applyAlignment="1">
      <alignment horizontal="left"/>
    </xf>
    <xf numFmtId="42" fontId="4" fillId="0" borderId="0" xfId="2" applyNumberFormat="1" applyFont="1" applyFill="1" applyAlignment="1"/>
    <xf numFmtId="174" fontId="4" fillId="0" borderId="0" xfId="0" applyNumberFormat="1" applyFont="1" applyFill="1" applyBorder="1" applyAlignment="1"/>
    <xf numFmtId="170" fontId="4" fillId="0" borderId="0" xfId="2" applyNumberFormat="1" applyFont="1" applyFill="1" applyBorder="1" applyAlignment="1">
      <alignment horizontal="right" wrapText="1"/>
    </xf>
    <xf numFmtId="175" fontId="4" fillId="0" borderId="0" xfId="3" applyNumberFormat="1" applyFont="1" applyFill="1" applyBorder="1" applyProtection="1">
      <protection locked="0"/>
    </xf>
    <xf numFmtId="164" fontId="4" fillId="0" borderId="0" xfId="9" applyNumberFormat="1" applyFont="1" applyFill="1" applyBorder="1" applyAlignment="1">
      <alignment horizontal="left"/>
    </xf>
    <xf numFmtId="164" fontId="4" fillId="0" borderId="0" xfId="9" applyNumberFormat="1" applyFont="1" applyFill="1" applyAlignment="1">
      <alignment horizontal="left" indent="1"/>
    </xf>
    <xf numFmtId="42" fontId="4" fillId="0" borderId="4" xfId="2" applyNumberFormat="1" applyFont="1" applyFill="1" applyBorder="1" applyAlignment="1"/>
    <xf numFmtId="37" fontId="0" fillId="0" borderId="0" xfId="1" applyNumberFormat="1" applyFont="1" applyFill="1" applyAlignment="1"/>
    <xf numFmtId="0" fontId="4" fillId="0" borderId="0" xfId="0" applyNumberFormat="1" applyFont="1" applyFill="1" applyAlignment="1">
      <alignment horizontal="left" vertical="center"/>
    </xf>
    <xf numFmtId="41" fontId="4" fillId="0" borderId="0" xfId="0" applyNumberFormat="1" applyFont="1" applyFill="1" applyAlignment="1">
      <alignment vertical="center"/>
    </xf>
    <xf numFmtId="164" fontId="4" fillId="0" borderId="0" xfId="9" quotePrefix="1" applyNumberFormat="1" applyFont="1" applyFill="1" applyAlignment="1">
      <alignment horizontal="left"/>
    </xf>
    <xf numFmtId="170" fontId="4" fillId="0" borderId="0" xfId="2" applyNumberFormat="1" applyFont="1" applyFill="1" applyBorder="1" applyAlignment="1" applyProtection="1">
      <protection locked="0"/>
    </xf>
    <xf numFmtId="3" fontId="0" fillId="0" borderId="0" xfId="1" applyNumberFormat="1" applyFont="1" applyFill="1" applyAlignment="1"/>
    <xf numFmtId="42" fontId="4" fillId="0" borderId="0" xfId="2" applyNumberFormat="1" applyFont="1" applyFill="1" applyBorder="1" applyAlignment="1">
      <alignment horizontal="right"/>
    </xf>
    <xf numFmtId="175" fontId="4" fillId="0" borderId="0" xfId="0" applyNumberFormat="1" applyFont="1" applyFill="1" applyAlignment="1">
      <alignment horizontal="right"/>
    </xf>
    <xf numFmtId="175" fontId="4" fillId="0" borderId="0" xfId="2" applyNumberFormat="1" applyFont="1" applyFill="1" applyAlignment="1">
      <alignment horizontal="right"/>
    </xf>
    <xf numFmtId="177" fontId="4" fillId="0" borderId="0" xfId="0" applyNumberFormat="1" applyFont="1" applyFill="1" applyAlignment="1"/>
    <xf numFmtId="37" fontId="4" fillId="0" borderId="4" xfId="0" applyNumberFormat="1" applyFont="1" applyFill="1" applyBorder="1" applyAlignment="1"/>
    <xf numFmtId="170" fontId="4" fillId="0" borderId="7" xfId="2" applyNumberFormat="1" applyFont="1" applyFill="1" applyBorder="1"/>
    <xf numFmtId="41" fontId="4" fillId="0" borderId="4" xfId="0" applyNumberFormat="1" applyFont="1" applyFill="1" applyBorder="1" applyAlignment="1"/>
    <xf numFmtId="41" fontId="4" fillId="0" borderId="0" xfId="2" applyNumberFormat="1" applyFont="1" applyFill="1" applyBorder="1" applyAlignment="1"/>
    <xf numFmtId="37" fontId="4" fillId="0" borderId="0" xfId="0" applyNumberFormat="1" applyFont="1" applyFill="1" applyAlignment="1"/>
    <xf numFmtId="164" fontId="2" fillId="0" borderId="0" xfId="0" applyFont="1" applyFill="1" applyBorder="1" applyAlignment="1"/>
    <xf numFmtId="0" fontId="3" fillId="0" borderId="0" xfId="0" applyNumberFormat="1" applyFont="1" applyFill="1" applyBorder="1" applyAlignment="1">
      <alignment horizontal="center" vertical="center"/>
    </xf>
    <xf numFmtId="42" fontId="4" fillId="16" borderId="0" xfId="0" applyNumberFormat="1" applyFont="1" applyFill="1" applyAlignment="1"/>
    <xf numFmtId="42" fontId="4" fillId="0" borderId="7" xfId="2" applyNumberFormat="1" applyFont="1" applyFill="1" applyBorder="1" applyAlignment="1"/>
    <xf numFmtId="42" fontId="4" fillId="16" borderId="0" xfId="2" applyNumberFormat="1" applyFont="1" applyFill="1" applyProtection="1">
      <protection locked="0"/>
    </xf>
    <xf numFmtId="164" fontId="3" fillId="0" borderId="0" xfId="0" applyFont="1" applyFill="1" applyBorder="1">
      <alignment horizontal="left" wrapText="1"/>
    </xf>
    <xf numFmtId="165" fontId="4" fillId="0" borderId="0" xfId="0" applyNumberFormat="1" applyFont="1" applyFill="1" applyBorder="1" applyAlignment="1">
      <alignment horizontal="left"/>
    </xf>
    <xf numFmtId="42" fontId="4" fillId="0" borderId="0" xfId="0" applyNumberFormat="1" applyFont="1" applyFill="1" applyAlignment="1">
      <alignment horizontal="left"/>
    </xf>
    <xf numFmtId="42" fontId="4" fillId="16" borderId="0" xfId="0" applyNumberFormat="1" applyFont="1" applyFill="1" applyAlignment="1">
      <alignment horizontal="left"/>
    </xf>
    <xf numFmtId="164" fontId="4" fillId="0" borderId="0" xfId="10" applyFont="1" applyFill="1">
      <alignment horizontal="left" wrapText="1"/>
    </xf>
    <xf numFmtId="41" fontId="4" fillId="0" borderId="0" xfId="2" applyNumberFormat="1" applyFont="1" applyFill="1" applyAlignment="1"/>
    <xf numFmtId="5" fontId="4" fillId="0" borderId="0" xfId="0" applyNumberFormat="1" applyFont="1" applyFill="1" applyAlignment="1"/>
    <xf numFmtId="5" fontId="4" fillId="16" borderId="0" xfId="0" applyNumberFormat="1" applyFont="1" applyFill="1" applyAlignment="1"/>
    <xf numFmtId="178" fontId="4" fillId="0" borderId="0" xfId="3" applyNumberFormat="1" applyFont="1" applyFill="1" applyAlignment="1"/>
    <xf numFmtId="42" fontId="4" fillId="0" borderId="3" xfId="2" applyNumberFormat="1" applyFont="1" applyFill="1" applyBorder="1" applyAlignment="1"/>
    <xf numFmtId="10" fontId="4" fillId="0" borderId="0" xfId="0" applyNumberFormat="1" applyFont="1" applyFill="1" applyBorder="1" applyAlignment="1"/>
    <xf numFmtId="10" fontId="4" fillId="0" borderId="0" xfId="0" applyNumberFormat="1" applyFont="1" applyFill="1" applyAlignment="1" applyProtection="1">
      <protection locked="0"/>
    </xf>
    <xf numFmtId="10" fontId="4" fillId="16" borderId="0" xfId="0" applyNumberFormat="1" applyFont="1" applyFill="1" applyAlignment="1"/>
    <xf numFmtId="41" fontId="4" fillId="0" borderId="3" xfId="2" applyNumberFormat="1" applyFont="1" applyFill="1" applyBorder="1" applyAlignment="1"/>
    <xf numFmtId="179" fontId="4" fillId="0" borderId="0" xfId="0" applyNumberFormat="1" applyFont="1" applyFill="1" applyAlignment="1"/>
    <xf numFmtId="179" fontId="4" fillId="16" borderId="0" xfId="0" applyNumberFormat="1" applyFont="1" applyFill="1" applyAlignment="1"/>
    <xf numFmtId="3" fontId="5" fillId="0" borderId="0" xfId="1" applyNumberFormat="1" applyFont="1" applyFill="1" applyAlignment="1"/>
    <xf numFmtId="180" fontId="14" fillId="0" borderId="0" xfId="0" applyNumberFormat="1" applyFont="1" applyFill="1" applyAlignment="1" applyProtection="1">
      <alignment horizontal="left"/>
    </xf>
    <xf numFmtId="42" fontId="14" fillId="0" borderId="0" xfId="2" applyNumberFormat="1" applyFont="1" applyFill="1" applyProtection="1"/>
    <xf numFmtId="42" fontId="14" fillId="16" borderId="0" xfId="2" applyNumberFormat="1" applyFont="1" applyFill="1" applyProtection="1"/>
    <xf numFmtId="42" fontId="14" fillId="16" borderId="0" xfId="2" applyNumberFormat="1" applyFont="1" applyFill="1" applyProtection="1">
      <protection locked="0"/>
    </xf>
    <xf numFmtId="41" fontId="14" fillId="0" borderId="0" xfId="0" applyNumberFormat="1" applyFont="1" applyFill="1" applyAlignment="1" applyProtection="1">
      <alignment horizontal="left"/>
    </xf>
    <xf numFmtId="41" fontId="14" fillId="0" borderId="0" xfId="0" applyNumberFormat="1" applyFont="1" applyFill="1" applyAlignment="1" applyProtection="1">
      <protection locked="0"/>
    </xf>
    <xf numFmtId="41" fontId="14" fillId="0" borderId="0" xfId="2" applyNumberFormat="1" applyFont="1" applyFill="1" applyProtection="1">
      <protection locked="0"/>
    </xf>
    <xf numFmtId="41" fontId="4" fillId="16" borderId="0" xfId="0" applyNumberFormat="1" applyFont="1" applyFill="1" applyAlignment="1" applyProtection="1">
      <protection locked="0"/>
    </xf>
    <xf numFmtId="41" fontId="14" fillId="16" borderId="0" xfId="0" applyNumberFormat="1" applyFont="1" applyFill="1" applyAlignment="1" applyProtection="1">
      <protection locked="0"/>
    </xf>
    <xf numFmtId="9" fontId="4" fillId="0" borderId="0" xfId="3" applyFont="1" applyFill="1"/>
    <xf numFmtId="1" fontId="6" fillId="0" borderId="0" xfId="0" applyNumberFormat="1" applyFont="1" applyFill="1">
      <alignment horizontal="left" wrapText="1"/>
    </xf>
    <xf numFmtId="41" fontId="14" fillId="0" borderId="0" xfId="0" applyNumberFormat="1" applyFont="1" applyFill="1" applyAlignment="1" applyProtection="1">
      <alignment horizontal="left"/>
      <protection locked="0"/>
    </xf>
    <xf numFmtId="41" fontId="4" fillId="0" borderId="0" xfId="0" applyNumberFormat="1" applyFont="1" applyFill="1" applyAlignment="1" applyProtection="1">
      <alignment horizontal="left"/>
      <protection locked="0"/>
    </xf>
    <xf numFmtId="41" fontId="4" fillId="16" borderId="0" xfId="0" applyNumberFormat="1" applyFont="1" applyFill="1" applyAlignment="1" applyProtection="1">
      <alignment horizontal="left"/>
      <protection locked="0"/>
    </xf>
    <xf numFmtId="41" fontId="14" fillId="16" borderId="0" xfId="0" applyNumberFormat="1" applyFont="1" applyFill="1" applyAlignment="1" applyProtection="1">
      <alignment horizontal="left"/>
      <protection locked="0"/>
    </xf>
    <xf numFmtId="41" fontId="14" fillId="0" borderId="3" xfId="0" applyNumberFormat="1" applyFont="1" applyFill="1" applyBorder="1" applyAlignment="1" applyProtection="1">
      <protection locked="0"/>
    </xf>
    <xf numFmtId="41" fontId="4" fillId="16" borderId="3" xfId="0" applyNumberFormat="1" applyFont="1" applyFill="1" applyBorder="1" applyAlignment="1" applyProtection="1">
      <protection locked="0"/>
    </xf>
    <xf numFmtId="41" fontId="14" fillId="16" borderId="3" xfId="0" applyNumberFormat="1" applyFont="1" applyFill="1" applyBorder="1" applyAlignment="1" applyProtection="1">
      <protection locked="0"/>
    </xf>
    <xf numFmtId="42" fontId="4" fillId="0" borderId="4" xfId="2" applyNumberFormat="1" applyFont="1" applyFill="1" applyBorder="1" applyProtection="1"/>
    <xf numFmtId="181" fontId="4" fillId="0" borderId="0" xfId="0" applyNumberFormat="1" applyFont="1" applyFill="1" applyBorder="1" applyAlignment="1">
      <alignment horizontal="center"/>
    </xf>
    <xf numFmtId="42" fontId="4" fillId="0" borderId="7" xfId="2" applyNumberFormat="1" applyFont="1" applyFill="1" applyBorder="1" applyProtection="1"/>
    <xf numFmtId="42" fontId="14" fillId="0" borderId="5" xfId="2" applyNumberFormat="1" applyFont="1" applyFill="1" applyBorder="1" applyProtection="1"/>
    <xf numFmtId="42" fontId="14" fillId="16" borderId="5" xfId="2" applyNumberFormat="1" applyFont="1" applyFill="1" applyBorder="1" applyProtection="1"/>
    <xf numFmtId="0" fontId="4" fillId="0" borderId="0" xfId="0" applyNumberFormat="1" applyFont="1" applyFill="1" applyBorder="1" applyAlignment="1" applyProtection="1">
      <alignment horizontal="left"/>
      <protection locked="0"/>
    </xf>
    <xf numFmtId="0" fontId="4" fillId="0" borderId="0" xfId="0" applyNumberFormat="1" applyFont="1" applyFill="1" applyBorder="1" applyAlignment="1">
      <alignment vertical="top"/>
    </xf>
    <xf numFmtId="42" fontId="18" fillId="0" borderId="0" xfId="0" applyNumberFormat="1" applyFont="1" applyFill="1" applyAlignment="1"/>
    <xf numFmtId="4" fontId="4" fillId="0" borderId="0" xfId="1" applyFont="1" applyFill="1"/>
    <xf numFmtId="0" fontId="4" fillId="0" borderId="0" xfId="0" applyNumberFormat="1" applyFont="1" applyFill="1" applyBorder="1" applyAlignment="1">
      <alignment horizontal="center"/>
    </xf>
    <xf numFmtId="181" fontId="4" fillId="0" borderId="0" xfId="0" applyNumberFormat="1" applyFont="1" applyFill="1" applyAlignment="1">
      <alignment horizontal="center"/>
    </xf>
    <xf numFmtId="6" fontId="4" fillId="0" borderId="0" xfId="2" applyNumberFormat="1" applyFont="1" applyFill="1" applyAlignment="1">
      <alignment horizontal="right"/>
    </xf>
    <xf numFmtId="0" fontId="10" fillId="0" borderId="0" xfId="0" applyNumberFormat="1" applyFont="1" applyFill="1" applyAlignment="1"/>
    <xf numFmtId="4" fontId="6" fillId="0" borderId="0" xfId="1" applyFont="1" applyFill="1" applyAlignment="1">
      <alignment horizontal="left" wrapText="1"/>
    </xf>
    <xf numFmtId="182" fontId="4" fillId="0" borderId="0" xfId="0" applyNumberFormat="1" applyFont="1" applyFill="1" applyBorder="1" applyAlignment="1" applyProtection="1">
      <protection locked="0"/>
    </xf>
    <xf numFmtId="10" fontId="3" fillId="0" borderId="7" xfId="0" applyNumberFormat="1" applyFont="1" applyFill="1" applyBorder="1" applyAlignment="1"/>
    <xf numFmtId="165" fontId="19" fillId="0" borderId="0" xfId="0" applyNumberFormat="1" applyFont="1" applyFill="1" applyBorder="1" applyAlignment="1"/>
    <xf numFmtId="41" fontId="19" fillId="0" borderId="0" xfId="1" applyNumberFormat="1" applyFont="1" applyFill="1" applyBorder="1"/>
    <xf numFmtId="6" fontId="4" fillId="0" borderId="0" xfId="2" applyNumberFormat="1" applyFont="1" applyFill="1" applyAlignment="1">
      <alignment vertical="top"/>
    </xf>
    <xf numFmtId="6" fontId="4" fillId="0" borderId="0" xfId="0" applyNumberFormat="1" applyFont="1" applyFill="1" applyAlignment="1">
      <alignment vertical="top"/>
    </xf>
    <xf numFmtId="1" fontId="4" fillId="0" borderId="0" xfId="0" applyNumberFormat="1" applyFont="1" applyFill="1" applyAlignment="1">
      <alignment vertical="top"/>
    </xf>
    <xf numFmtId="37" fontId="19" fillId="0" borderId="0" xfId="1" applyNumberFormat="1" applyFont="1" applyFill="1" applyAlignment="1">
      <alignment vertical="top"/>
    </xf>
    <xf numFmtId="37" fontId="20" fillId="0" borderId="0" xfId="1" applyNumberFormat="1" applyFont="1" applyFill="1" applyAlignment="1">
      <alignment vertical="top"/>
    </xf>
    <xf numFmtId="41" fontId="4" fillId="0" borderId="0" xfId="0" applyNumberFormat="1" applyFont="1" applyFill="1" applyAlignment="1">
      <alignment vertical="top"/>
    </xf>
    <xf numFmtId="0" fontId="4" fillId="0" borderId="0" xfId="0" applyNumberFormat="1" applyFont="1" applyFill="1" applyAlignment="1">
      <alignment horizontal="center" vertical="top"/>
    </xf>
    <xf numFmtId="18" fontId="4" fillId="0" borderId="0" xfId="0" applyNumberFormat="1" applyFont="1" applyFill="1" applyAlignment="1"/>
    <xf numFmtId="14" fontId="19" fillId="0" borderId="0" xfId="0" applyNumberFormat="1" applyFont="1" applyFill="1" applyAlignment="1"/>
    <xf numFmtId="0" fontId="19" fillId="0" borderId="0" xfId="0" applyNumberFormat="1" applyFont="1" applyFill="1" applyAlignment="1"/>
    <xf numFmtId="41" fontId="19" fillId="0" borderId="0" xfId="0" applyNumberFormat="1" applyFont="1" applyFill="1" applyAlignment="1">
      <alignment vertical="top"/>
    </xf>
    <xf numFmtId="38" fontId="4" fillId="0" borderId="0" xfId="0" applyNumberFormat="1" applyFont="1" applyFill="1" applyBorder="1" applyAlignment="1"/>
    <xf numFmtId="0" fontId="4" fillId="0" borderId="0" xfId="11" applyFont="1" applyFill="1" applyAlignment="1">
      <alignment horizontal="centerContinuous"/>
    </xf>
    <xf numFmtId="0" fontId="4" fillId="0" borderId="0" xfId="11" applyFont="1" applyFill="1" applyAlignment="1">
      <alignment horizontal="center"/>
    </xf>
    <xf numFmtId="0" fontId="4" fillId="0" borderId="0" xfId="11" applyFont="1" applyFill="1" applyBorder="1" applyAlignment="1">
      <alignment horizontal="center"/>
    </xf>
    <xf numFmtId="183" fontId="4" fillId="0" borderId="0" xfId="11" applyNumberFormat="1" applyFont="1" applyFill="1" applyBorder="1" applyAlignment="1">
      <alignment horizontal="center"/>
    </xf>
    <xf numFmtId="0" fontId="3" fillId="0" borderId="0" xfId="11" applyFont="1" applyFill="1" applyAlignment="1">
      <alignment horizontal="centerContinuous"/>
    </xf>
    <xf numFmtId="0" fontId="10" fillId="0" borderId="0" xfId="11" applyFont="1" applyFill="1" applyAlignment="1">
      <alignment horizontal="centerContinuous"/>
    </xf>
    <xf numFmtId="0" fontId="10" fillId="0" borderId="0" xfId="11" applyFont="1" applyFill="1" applyBorder="1" applyAlignment="1">
      <alignment horizontal="centerContinuous"/>
    </xf>
    <xf numFmtId="0" fontId="4" fillId="0" borderId="0" xfId="11" applyFont="1" applyFill="1" applyBorder="1"/>
    <xf numFmtId="0" fontId="3" fillId="0" borderId="0" xfId="11" applyFont="1" applyFill="1" applyBorder="1" applyAlignment="1">
      <alignment horizontal="centerContinuous"/>
    </xf>
    <xf numFmtId="0" fontId="4" fillId="0" borderId="0" xfId="11" applyFont="1" applyFill="1" applyBorder="1" applyAlignment="1">
      <alignment horizontal="centerContinuous"/>
    </xf>
    <xf numFmtId="0" fontId="3" fillId="0" borderId="0" xfId="12" applyFont="1" applyFill="1" applyBorder="1" applyAlignment="1">
      <alignment horizontal="centerContinuous"/>
    </xf>
    <xf numFmtId="0" fontId="4" fillId="0" borderId="0" xfId="12" applyFont="1" applyFill="1" applyBorder="1" applyAlignment="1">
      <alignment horizontal="center"/>
    </xf>
    <xf numFmtId="183" fontId="4" fillId="0" borderId="0" xfId="12" applyNumberFormat="1" applyFont="1" applyFill="1" applyBorder="1" applyAlignment="1">
      <alignment horizontal="center"/>
    </xf>
    <xf numFmtId="164" fontId="4" fillId="0" borderId="0" xfId="11" applyNumberFormat="1" applyFont="1" applyFill="1" applyBorder="1" applyAlignment="1">
      <alignment horizontal="left"/>
    </xf>
    <xf numFmtId="0" fontId="4" fillId="0" borderId="0" xfId="12" applyFont="1" applyFill="1" applyBorder="1" applyAlignment="1">
      <alignment horizontal="centerContinuous"/>
    </xf>
    <xf numFmtId="0" fontId="4" fillId="0" borderId="0" xfId="12" applyFont="1" applyFill="1" applyBorder="1"/>
    <xf numFmtId="5" fontId="4" fillId="0" borderId="0" xfId="12" applyNumberFormat="1" applyFont="1" applyFill="1" applyBorder="1"/>
    <xf numFmtId="37" fontId="4" fillId="0" borderId="0" xfId="12" applyNumberFormat="1" applyFont="1" applyFill="1" applyBorder="1"/>
    <xf numFmtId="184" fontId="4" fillId="0" borderId="0" xfId="12" applyNumberFormat="1" applyFont="1" applyFill="1" applyBorder="1"/>
    <xf numFmtId="185" fontId="4" fillId="0" borderId="0" xfId="12" applyNumberFormat="1" applyFont="1" applyFill="1" applyBorder="1"/>
    <xf numFmtId="0" fontId="6" fillId="0" borderId="0" xfId="0" applyNumberFormat="1" applyFont="1" applyFill="1" applyAlignment="1"/>
    <xf numFmtId="0" fontId="6" fillId="0" borderId="0" xfId="0" applyNumberFormat="1" applyFont="1" applyFill="1" applyAlignment="1">
      <alignment horizontal="center"/>
    </xf>
    <xf numFmtId="0" fontId="40" fillId="0" borderId="0" xfId="0" applyNumberFormat="1" applyFont="1" applyFill="1" applyAlignment="1">
      <alignment horizontal="centerContinuous" vertical="center"/>
    </xf>
    <xf numFmtId="0" fontId="62" fillId="0" borderId="0" xfId="0" applyNumberFormat="1" applyFont="1" applyFill="1" applyAlignment="1"/>
    <xf numFmtId="0" fontId="62" fillId="0" borderId="0" xfId="0" applyNumberFormat="1" applyFont="1" applyFill="1" applyAlignment="1">
      <alignment horizontal="center"/>
    </xf>
    <xf numFmtId="0" fontId="63" fillId="0" borderId="3" xfId="0" applyNumberFormat="1" applyFont="1" applyFill="1" applyBorder="1" applyAlignment="1">
      <alignment horizontal="center"/>
    </xf>
    <xf numFmtId="0" fontId="63" fillId="0" borderId="0" xfId="0" applyNumberFormat="1" applyFont="1" applyFill="1" applyAlignment="1">
      <alignment horizontal="center"/>
    </xf>
    <xf numFmtId="0" fontId="64" fillId="0" borderId="0" xfId="0" applyNumberFormat="1" applyFont="1" applyFill="1" applyAlignment="1"/>
    <xf numFmtId="14" fontId="62" fillId="0" borderId="0" xfId="0" applyNumberFormat="1" applyFont="1" applyFill="1" applyAlignment="1">
      <alignment horizontal="center"/>
    </xf>
    <xf numFmtId="172" fontId="62" fillId="0" borderId="0" xfId="503" applyNumberFormat="1" applyFont="1" applyFill="1"/>
    <xf numFmtId="0" fontId="62" fillId="0" borderId="0" xfId="0" applyNumberFormat="1" applyFont="1" applyFill="1" applyAlignment="1">
      <alignment horizontal="left"/>
    </xf>
    <xf numFmtId="10" fontId="63" fillId="0" borderId="7" xfId="423" applyNumberFormat="1" applyFont="1" applyFill="1" applyBorder="1"/>
    <xf numFmtId="10" fontId="62" fillId="0" borderId="7" xfId="423" applyNumberFormat="1" applyFont="1" applyFill="1" applyBorder="1"/>
    <xf numFmtId="3" fontId="62" fillId="0" borderId="0" xfId="503" applyNumberFormat="1" applyFont="1" applyFill="1"/>
    <xf numFmtId="3" fontId="62" fillId="0" borderId="0" xfId="0" applyNumberFormat="1" applyFont="1" applyFill="1" applyAlignment="1"/>
    <xf numFmtId="0" fontId="62" fillId="0" borderId="0" xfId="0" applyNumberFormat="1" applyFont="1" applyFill="1" applyAlignment="1">
      <alignment horizontal="left" wrapText="1"/>
    </xf>
    <xf numFmtId="42" fontId="62" fillId="0" borderId="0" xfId="504" applyNumberFormat="1" applyFont="1" applyFill="1"/>
    <xf numFmtId="41" fontId="62" fillId="0" borderId="0" xfId="504" applyNumberFormat="1" applyFont="1" applyFill="1"/>
    <xf numFmtId="0" fontId="62" fillId="0" borderId="0" xfId="0" applyNumberFormat="1" applyFont="1" applyFill="1" applyBorder="1" applyAlignment="1">
      <alignment horizontal="center"/>
    </xf>
    <xf numFmtId="42" fontId="62" fillId="0" borderId="6" xfId="504" applyNumberFormat="1" applyFont="1" applyFill="1" applyBorder="1"/>
    <xf numFmtId="10" fontId="62" fillId="0" borderId="6" xfId="423" applyNumberFormat="1" applyFont="1" applyFill="1" applyBorder="1"/>
    <xf numFmtId="10" fontId="62" fillId="0" borderId="6" xfId="0" applyNumberFormat="1" applyFont="1" applyFill="1" applyBorder="1" applyAlignment="1"/>
    <xf numFmtId="170" fontId="62" fillId="0" borderId="0" xfId="0" applyNumberFormat="1" applyFont="1" applyFill="1" applyAlignment="1"/>
    <xf numFmtId="172" fontId="62" fillId="0" borderId="0" xfId="505" applyNumberFormat="1" applyFont="1" applyFill="1" applyAlignment="1"/>
    <xf numFmtId="200" fontId="62" fillId="0" borderId="0" xfId="505" applyNumberFormat="1" applyFont="1" applyFill="1" applyAlignment="1"/>
    <xf numFmtId="170" fontId="62" fillId="0" borderId="0" xfId="504" applyNumberFormat="1" applyFont="1" applyFill="1"/>
    <xf numFmtId="10" fontId="62" fillId="0" borderId="0" xfId="0" applyNumberFormat="1" applyFont="1" applyFill="1" applyAlignment="1"/>
    <xf numFmtId="0" fontId="62" fillId="0" borderId="0" xfId="0" applyNumberFormat="1" applyFont="1" applyFill="1" applyBorder="1" applyAlignment="1"/>
    <xf numFmtId="10" fontId="62" fillId="0" borderId="3" xfId="423" applyNumberFormat="1" applyFont="1" applyFill="1" applyBorder="1"/>
    <xf numFmtId="4" fontId="62" fillId="0" borderId="0" xfId="503" applyFont="1" applyFill="1"/>
    <xf numFmtId="170" fontId="62" fillId="0" borderId="6" xfId="504" applyNumberFormat="1" applyFont="1" applyFill="1" applyBorder="1"/>
    <xf numFmtId="10" fontId="62" fillId="0" borderId="7" xfId="0" applyNumberFormat="1" applyFont="1" applyFill="1" applyBorder="1" applyAlignment="1"/>
    <xf numFmtId="4" fontId="62" fillId="0" borderId="0" xfId="0" applyNumberFormat="1" applyFont="1" applyFill="1" applyAlignment="1"/>
    <xf numFmtId="164" fontId="3" fillId="0" borderId="0" xfId="0" applyFont="1" applyFill="1" applyAlignment="1" applyProtection="1">
      <alignment horizontal="center" vertical="center"/>
      <protection locked="0"/>
    </xf>
    <xf numFmtId="164" fontId="6" fillId="0" borderId="0" xfId="0" applyFont="1" applyFill="1" applyAlignment="1">
      <alignment horizontal="center" wrapText="1"/>
    </xf>
  </cellXfs>
  <cellStyles count="506">
    <cellStyle name="_x0013_" xfId="13"/>
    <cellStyle name="_09GRC Gas Transport For Review" xfId="14"/>
    <cellStyle name="_4.06E Pass Throughs" xfId="15"/>
    <cellStyle name="_4.06E Pass Throughs_04 07E Wild Horse Wind Expansion (C) (2)" xfId="16"/>
    <cellStyle name="_4.06E Pass Throughs_3.01 Income Statement" xfId="17"/>
    <cellStyle name="_4.06E Pass Throughs_4 31 Regulatory Assets and Liabilities  7 06- Exhibit D" xfId="18"/>
    <cellStyle name="_4.06E Pass Throughs_4 32 Regulatory Assets and Liabilities  7 06- Exhibit D" xfId="19"/>
    <cellStyle name="_4.06E Pass Throughs_Book9" xfId="20"/>
    <cellStyle name="_4.13E Montana Energy Tax" xfId="21"/>
    <cellStyle name="_4.13E Montana Energy Tax_04 07E Wild Horse Wind Expansion (C) (2)" xfId="22"/>
    <cellStyle name="_4.13E Montana Energy Tax_3.01 Income Statement" xfId="23"/>
    <cellStyle name="_4.13E Montana Energy Tax_4 31 Regulatory Assets and Liabilities  7 06- Exhibit D" xfId="24"/>
    <cellStyle name="_4.13E Montana Energy Tax_4 32 Regulatory Assets and Liabilities  7 06- Exhibit D" xfId="25"/>
    <cellStyle name="_4.13E Montana Energy Tax_Book9" xfId="26"/>
    <cellStyle name="_AURORA WIP" xfId="27"/>
    <cellStyle name="_Book1" xfId="28"/>
    <cellStyle name="_Book1 (2)" xfId="29"/>
    <cellStyle name="_Book1 (2)_04 07E Wild Horse Wind Expansion (C) (2)" xfId="30"/>
    <cellStyle name="_Book1 (2)_3.01 Income Statement" xfId="31"/>
    <cellStyle name="_Book1 (2)_4 31 Regulatory Assets and Liabilities  7 06- Exhibit D" xfId="32"/>
    <cellStyle name="_Book1 (2)_4 32 Regulatory Assets and Liabilities  7 06- Exhibit D" xfId="33"/>
    <cellStyle name="_Book1 (2)_Book9" xfId="34"/>
    <cellStyle name="_Book1_3.01 Income Statement" xfId="35"/>
    <cellStyle name="_Book1_4 31 Regulatory Assets and Liabilities  7 06- Exhibit D" xfId="36"/>
    <cellStyle name="_Book1_4 32 Regulatory Assets and Liabilities  7 06- Exhibit D" xfId="37"/>
    <cellStyle name="_Book1_Book9" xfId="38"/>
    <cellStyle name="_Book2" xfId="39"/>
    <cellStyle name="_Book2_04 07E Wild Horse Wind Expansion (C) (2)" xfId="40"/>
    <cellStyle name="_Book2_3.01 Income Statement" xfId="41"/>
    <cellStyle name="_Book2_4 31 Regulatory Assets and Liabilities  7 06- Exhibit D" xfId="42"/>
    <cellStyle name="_Book2_4 32 Regulatory Assets and Liabilities  7 06- Exhibit D" xfId="43"/>
    <cellStyle name="_Book2_Book9" xfId="44"/>
    <cellStyle name="_Book3" xfId="45"/>
    <cellStyle name="_Book5" xfId="46"/>
    <cellStyle name="_Chelan Debt Forecast 12.19.05" xfId="47"/>
    <cellStyle name="_Chelan Debt Forecast 12.19.05_3.01 Income Statement" xfId="48"/>
    <cellStyle name="_Chelan Debt Forecast 12.19.05_4 31 Regulatory Assets and Liabilities  7 06- Exhibit D" xfId="49"/>
    <cellStyle name="_Chelan Debt Forecast 12.19.05_4 32 Regulatory Assets and Liabilities  7 06- Exhibit D" xfId="50"/>
    <cellStyle name="_Chelan Debt Forecast 12.19.05_Book9" xfId="51"/>
    <cellStyle name="_Copy 11-9 Sumas Proforma - Current" xfId="52"/>
    <cellStyle name="_Costs not in AURORA 06GRC" xfId="53"/>
    <cellStyle name="_Costs not in AURORA 06GRC_04 07E Wild Horse Wind Expansion (C) (2)" xfId="54"/>
    <cellStyle name="_Costs not in AURORA 06GRC_3.01 Income Statement" xfId="55"/>
    <cellStyle name="_Costs not in AURORA 06GRC_4 31 Regulatory Assets and Liabilities  7 06- Exhibit D" xfId="56"/>
    <cellStyle name="_Costs not in AURORA 06GRC_4 32 Regulatory Assets and Liabilities  7 06- Exhibit D" xfId="57"/>
    <cellStyle name="_Costs not in AURORA 06GRC_Book9" xfId="58"/>
    <cellStyle name="_Costs not in AURORA 2006GRC 6.15.06" xfId="59"/>
    <cellStyle name="_Costs not in AURORA 2006GRC 6.15.06_04 07E Wild Horse Wind Expansion (C) (2)" xfId="60"/>
    <cellStyle name="_Costs not in AURORA 2006GRC 6.15.06_3.01 Income Statement" xfId="61"/>
    <cellStyle name="_Costs not in AURORA 2006GRC 6.15.06_4 31 Regulatory Assets and Liabilities  7 06- Exhibit D" xfId="62"/>
    <cellStyle name="_Costs not in AURORA 2006GRC 6.15.06_4 32 Regulatory Assets and Liabilities  7 06- Exhibit D" xfId="63"/>
    <cellStyle name="_Costs not in AURORA 2006GRC 6.15.06_Book9" xfId="64"/>
    <cellStyle name="_Costs not in AURORA 2006GRC w gas price updated" xfId="65"/>
    <cellStyle name="_Costs not in AURORA 2007 Rate Case" xfId="66"/>
    <cellStyle name="_Costs not in AURORA 2007 Rate Case_3.01 Income Statement" xfId="67"/>
    <cellStyle name="_Costs not in AURORA 2007 Rate Case_4 31 Regulatory Assets and Liabilities  7 06- Exhibit D" xfId="68"/>
    <cellStyle name="_Costs not in AURORA 2007 Rate Case_4 32 Regulatory Assets and Liabilities  7 06- Exhibit D" xfId="69"/>
    <cellStyle name="_Costs not in AURORA 2007 Rate Case_Book9" xfId="70"/>
    <cellStyle name="_Costs not in KWI3000 '06Budget" xfId="71"/>
    <cellStyle name="_Costs not in KWI3000 '06Budget_3.01 Income Statement" xfId="72"/>
    <cellStyle name="_Costs not in KWI3000 '06Budget_4 31 Regulatory Assets and Liabilities  7 06- Exhibit D" xfId="73"/>
    <cellStyle name="_Costs not in KWI3000 '06Budget_4 32 Regulatory Assets and Liabilities  7 06- Exhibit D" xfId="74"/>
    <cellStyle name="_Costs not in KWI3000 '06Budget_Book9" xfId="75"/>
    <cellStyle name="_DEM-WP (C) Power Cost 2006GRC Order" xfId="76"/>
    <cellStyle name="_DEM-WP (C) Power Cost 2006GRC Order_04 07E Wild Horse Wind Expansion (C) (2)" xfId="77"/>
    <cellStyle name="_DEM-WP (C) Power Cost 2006GRC Order_3.01 Income Statement" xfId="78"/>
    <cellStyle name="_DEM-WP (C) Power Cost 2006GRC Order_4 31 Regulatory Assets and Liabilities  7 06- Exhibit D" xfId="79"/>
    <cellStyle name="_DEM-WP (C) Power Cost 2006GRC Order_4 32 Regulatory Assets and Liabilities  7 06- Exhibit D" xfId="80"/>
    <cellStyle name="_DEM-WP (C) Power Cost 2006GRC Order_Book9" xfId="81"/>
    <cellStyle name="_DEM-WP Revised (HC) Wild Horse 2006GRC" xfId="82"/>
    <cellStyle name="_DEM-WP(C) Colstrip FOR" xfId="83"/>
    <cellStyle name="_DEM-WP(C) Costs not in AURORA 2006GRC" xfId="84"/>
    <cellStyle name="_DEM-WP(C) Costs not in AURORA 2006GRC_3.01 Income Statement" xfId="85"/>
    <cellStyle name="_DEM-WP(C) Costs not in AURORA 2006GRC_4 31 Regulatory Assets and Liabilities  7 06- Exhibit D" xfId="86"/>
    <cellStyle name="_DEM-WP(C) Costs not in AURORA 2006GRC_4 32 Regulatory Assets and Liabilities  7 06- Exhibit D" xfId="87"/>
    <cellStyle name="_DEM-WP(C) Costs not in AURORA 2006GRC_Book9" xfId="88"/>
    <cellStyle name="_DEM-WP(C) Costs not in AURORA 2007GRC" xfId="89"/>
    <cellStyle name="_DEM-WP(C) Costs not in AURORA 2007PCORC-5.07Update" xfId="90"/>
    <cellStyle name="_DEM-WP(C) Costs not in AURORA 2007PCORC-5.07Update_DEM-WP(C) Production O&amp;M 2009GRC Rebuttal" xfId="91"/>
    <cellStyle name="_DEM-WP(C) Prod O&amp;M 2007GRC" xfId="92"/>
    <cellStyle name="_DEM-WP(C) Rate Year Sumas by Month Update Corrected" xfId="93"/>
    <cellStyle name="_DEM-WP(C) Sumas Proforma 11.5.07" xfId="94"/>
    <cellStyle name="_DEM-WP(C) Westside Hydro Data_051007" xfId="95"/>
    <cellStyle name="_Fixed Gas Transport 1 19 09" xfId="96"/>
    <cellStyle name="_Fuel Prices 4-14" xfId="97"/>
    <cellStyle name="_Fuel Prices 4-14_04 07E Wild Horse Wind Expansion (C) (2)" xfId="98"/>
    <cellStyle name="_Fuel Prices 4-14_3.01 Income Statement" xfId="99"/>
    <cellStyle name="_Fuel Prices 4-14_4 31 Regulatory Assets and Liabilities  7 06- Exhibit D" xfId="100"/>
    <cellStyle name="_Fuel Prices 4-14_4 32 Regulatory Assets and Liabilities  7 06- Exhibit D" xfId="101"/>
    <cellStyle name="_Fuel Prices 4-14_Book9" xfId="102"/>
    <cellStyle name="_Gas Transportation Charges_2009GRC_120308" xfId="103"/>
    <cellStyle name="_NIM 06 Base Case Current Trends" xfId="104"/>
    <cellStyle name="_Portfolio SPlan Base Case.xls Chart 1" xfId="105"/>
    <cellStyle name="_Portfolio SPlan Base Case.xls Chart 2" xfId="106"/>
    <cellStyle name="_Portfolio SPlan Base Case.xls Chart 3" xfId="107"/>
    <cellStyle name="_Power Cost Value Copy 11.30.05 gas 1.09.06 AURORA at 1.10.06" xfId="108"/>
    <cellStyle name="_Power Cost Value Copy 11.30.05 gas 1.09.06 AURORA at 1.10.06_04 07E Wild Horse Wind Expansion (C) (2)" xfId="109"/>
    <cellStyle name="_Power Cost Value Copy 11.30.05 gas 1.09.06 AURORA at 1.10.06_3.01 Income Statement" xfId="110"/>
    <cellStyle name="_Power Cost Value Copy 11.30.05 gas 1.09.06 AURORA at 1.10.06_4 31 Regulatory Assets and Liabilities  7 06- Exhibit D" xfId="111"/>
    <cellStyle name="_Power Cost Value Copy 11.30.05 gas 1.09.06 AURORA at 1.10.06_4 32 Regulatory Assets and Liabilities  7 06- Exhibit D" xfId="112"/>
    <cellStyle name="_Power Cost Value Copy 11.30.05 gas 1.09.06 AURORA at 1.10.06_Book9" xfId="113"/>
    <cellStyle name="_Pro Forma Rev 07 GRC" xfId="114"/>
    <cellStyle name="_Recon to Darrin's 5.11.05 proforma" xfId="115"/>
    <cellStyle name="_Recon to Darrin's 5.11.05 proforma_3.01 Income Statement" xfId="116"/>
    <cellStyle name="_Recon to Darrin's 5.11.05 proforma_4 31 Regulatory Assets and Liabilities  7 06- Exhibit D" xfId="117"/>
    <cellStyle name="_Recon to Darrin's 5.11.05 proforma_4 32 Regulatory Assets and Liabilities  7 06- Exhibit D" xfId="118"/>
    <cellStyle name="_Recon to Darrin's 5.11.05 proforma_Book9" xfId="119"/>
    <cellStyle name="_Revenue" xfId="120"/>
    <cellStyle name="_Revenue_Data" xfId="121"/>
    <cellStyle name="_Revenue_Data_1" xfId="122"/>
    <cellStyle name="_Revenue_Data_Pro Forma Rev 09 GRC" xfId="123"/>
    <cellStyle name="_Revenue_Data_Pro Forma Rev 2010 GRC" xfId="124"/>
    <cellStyle name="_Revenue_Data_Pro Forma Rev 2010 GRC_Preliminary" xfId="125"/>
    <cellStyle name="_Revenue_Data_Revenue (Feb 09 - Jan 10)" xfId="126"/>
    <cellStyle name="_Revenue_Data_Revenue (Jan 09 - Dec 09)" xfId="127"/>
    <cellStyle name="_Revenue_Data_Revenue (Mar 09 - Feb 10)" xfId="128"/>
    <cellStyle name="_Revenue_Data_Volume Exhibit (Jan09 - Dec09)" xfId="129"/>
    <cellStyle name="_Revenue_Mins" xfId="130"/>
    <cellStyle name="_Revenue_Pro Forma Rev 07 GRC" xfId="131"/>
    <cellStyle name="_Revenue_Pro Forma Rev 08 GRC" xfId="132"/>
    <cellStyle name="_Revenue_Pro Forma Rev 09 GRC" xfId="133"/>
    <cellStyle name="_Revenue_Pro Forma Rev 2010 GRC" xfId="134"/>
    <cellStyle name="_Revenue_Pro Forma Rev 2010 GRC_Preliminary" xfId="135"/>
    <cellStyle name="_Revenue_Revenue (Feb 09 - Jan 10)" xfId="136"/>
    <cellStyle name="_Revenue_Revenue (Jan 09 - Dec 09)" xfId="137"/>
    <cellStyle name="_Revenue_Revenue (Mar 09 - Feb 10)" xfId="138"/>
    <cellStyle name="_Revenue_Sheet2" xfId="139"/>
    <cellStyle name="_Revenue_Therms Data" xfId="140"/>
    <cellStyle name="_Revenue_Therms Data Rerun" xfId="141"/>
    <cellStyle name="_Revenue_Volume Exhibit (Jan09 - Dec09)" xfId="142"/>
    <cellStyle name="_Sumas Proforma - 11-09-07" xfId="143"/>
    <cellStyle name="_Sumas Property Taxes v1" xfId="144"/>
    <cellStyle name="_Tenaska Comparison" xfId="145"/>
    <cellStyle name="_Tenaska Comparison_3.01 Income Statement" xfId="146"/>
    <cellStyle name="_Tenaska Comparison_4 31 Regulatory Assets and Liabilities  7 06- Exhibit D" xfId="147"/>
    <cellStyle name="_Tenaska Comparison_4 32 Regulatory Assets and Liabilities  7 06- Exhibit D" xfId="148"/>
    <cellStyle name="_Tenaska Comparison_Book9" xfId="149"/>
    <cellStyle name="_Therms Data" xfId="150"/>
    <cellStyle name="_Therms Data_Pro Forma Rev 09 GRC" xfId="151"/>
    <cellStyle name="_Therms Data_Pro Forma Rev 2010 GRC" xfId="152"/>
    <cellStyle name="_Therms Data_Pro Forma Rev 2010 GRC_Preliminary" xfId="153"/>
    <cellStyle name="_Therms Data_Revenue (Feb 09 - Jan 10)" xfId="154"/>
    <cellStyle name="_Therms Data_Revenue (Jan 09 - Dec 09)" xfId="155"/>
    <cellStyle name="_Therms Data_Revenue (Mar 09 - Feb 10)" xfId="156"/>
    <cellStyle name="_Therms Data_Volume Exhibit (Jan09 - Dec09)" xfId="157"/>
    <cellStyle name="_Value Copy 11 30 05 gas 12 09 05 AURORA at 12 14 05" xfId="158"/>
    <cellStyle name="_Value Copy 11 30 05 gas 12 09 05 AURORA at 12 14 05_04 07E Wild Horse Wind Expansion (C) (2)" xfId="159"/>
    <cellStyle name="_Value Copy 11 30 05 gas 12 09 05 AURORA at 12 14 05_3.01 Income Statement" xfId="160"/>
    <cellStyle name="_Value Copy 11 30 05 gas 12 09 05 AURORA at 12 14 05_4 31 Regulatory Assets and Liabilities  7 06- Exhibit D" xfId="161"/>
    <cellStyle name="_Value Copy 11 30 05 gas 12 09 05 AURORA at 12 14 05_4 32 Regulatory Assets and Liabilities  7 06- Exhibit D" xfId="162"/>
    <cellStyle name="_Value Copy 11 30 05 gas 12 09 05 AURORA at 12 14 05_Book9" xfId="163"/>
    <cellStyle name="_VC 6.15.06 update on 06GRC power costs.xls Chart 1" xfId="164"/>
    <cellStyle name="_VC 6.15.06 update on 06GRC power costs.xls Chart 1_04 07E Wild Horse Wind Expansion (C) (2)" xfId="165"/>
    <cellStyle name="_VC 6.15.06 update on 06GRC power costs.xls Chart 1_3.01 Income Statement" xfId="166"/>
    <cellStyle name="_VC 6.15.06 update on 06GRC power costs.xls Chart 1_4 31 Regulatory Assets and Liabilities  7 06- Exhibit D" xfId="167"/>
    <cellStyle name="_VC 6.15.06 update on 06GRC power costs.xls Chart 1_4 32 Regulatory Assets and Liabilities  7 06- Exhibit D" xfId="168"/>
    <cellStyle name="_VC 6.15.06 update on 06GRC power costs.xls Chart 1_Book9" xfId="169"/>
    <cellStyle name="_VC 6.15.06 update on 06GRC power costs.xls Chart 2" xfId="170"/>
    <cellStyle name="_VC 6.15.06 update on 06GRC power costs.xls Chart 2_04 07E Wild Horse Wind Expansion (C) (2)" xfId="171"/>
    <cellStyle name="_VC 6.15.06 update on 06GRC power costs.xls Chart 2_3.01 Income Statement" xfId="172"/>
    <cellStyle name="_VC 6.15.06 update on 06GRC power costs.xls Chart 2_4 31 Regulatory Assets and Liabilities  7 06- Exhibit D" xfId="173"/>
    <cellStyle name="_VC 6.15.06 update on 06GRC power costs.xls Chart 2_4 32 Regulatory Assets and Liabilities  7 06- Exhibit D" xfId="174"/>
    <cellStyle name="_VC 6.15.06 update on 06GRC power costs.xls Chart 2_Book9" xfId="175"/>
    <cellStyle name="_VC 6.15.06 update on 06GRC power costs.xls Chart 3" xfId="176"/>
    <cellStyle name="_VC 6.15.06 update on 06GRC power costs.xls Chart 3_04 07E Wild Horse Wind Expansion (C) (2)" xfId="177"/>
    <cellStyle name="_VC 6.15.06 update on 06GRC power costs.xls Chart 3_3.01 Income Statement" xfId="178"/>
    <cellStyle name="_VC 6.15.06 update on 06GRC power costs.xls Chart 3_4 31 Regulatory Assets and Liabilities  7 06- Exhibit D" xfId="179"/>
    <cellStyle name="_VC 6.15.06 update on 06GRC power costs.xls Chart 3_4 32 Regulatory Assets and Liabilities  7 06- Exhibit D" xfId="180"/>
    <cellStyle name="_VC 6.15.06 update on 06GRC power costs.xls Chart 3_Book9" xfId="181"/>
    <cellStyle name="0,0_x000d__x000a_NA_x000d__x000a_" xfId="182"/>
    <cellStyle name="0000" xfId="183"/>
    <cellStyle name="000000" xfId="184"/>
    <cellStyle name="20% - Accent1 2" xfId="185"/>
    <cellStyle name="20% - Accent1 3" xfId="186"/>
    <cellStyle name="20% - Accent2 2" xfId="187"/>
    <cellStyle name="20% - Accent2 3" xfId="188"/>
    <cellStyle name="20% - Accent3 2" xfId="189"/>
    <cellStyle name="20% - Accent3 3" xfId="190"/>
    <cellStyle name="20% - Accent4 2" xfId="191"/>
    <cellStyle name="20% - Accent4 3" xfId="192"/>
    <cellStyle name="20% - Accent5 2" xfId="193"/>
    <cellStyle name="20% - Accent5 3" xfId="194"/>
    <cellStyle name="20% - Accent6 2" xfId="195"/>
    <cellStyle name="20% - Accent6 3" xfId="196"/>
    <cellStyle name="40% - Accent1 2" xfId="197"/>
    <cellStyle name="40% - Accent1 3" xfId="198"/>
    <cellStyle name="40% - Accent2 2" xfId="199"/>
    <cellStyle name="40% - Accent2 3" xfId="200"/>
    <cellStyle name="40% - Accent3 2" xfId="201"/>
    <cellStyle name="40% - Accent3 3" xfId="202"/>
    <cellStyle name="40% - Accent4 2" xfId="203"/>
    <cellStyle name="40% - Accent4 3" xfId="204"/>
    <cellStyle name="40% - Accent5 2" xfId="205"/>
    <cellStyle name="40% - Accent5 3" xfId="206"/>
    <cellStyle name="40% - Accent6 2" xfId="207"/>
    <cellStyle name="40% - Accent6 3" xfId="208"/>
    <cellStyle name="Accent1 - 20%" xfId="209"/>
    <cellStyle name="Accent1 - 40%" xfId="210"/>
    <cellStyle name="Accent1 - 60%" xfId="211"/>
    <cellStyle name="Accent2 - 20%" xfId="212"/>
    <cellStyle name="Accent2 - 40%" xfId="213"/>
    <cellStyle name="Accent2 - 60%" xfId="214"/>
    <cellStyle name="Accent3 - 20%" xfId="215"/>
    <cellStyle name="Accent3 - 40%" xfId="216"/>
    <cellStyle name="Accent3 - 60%" xfId="217"/>
    <cellStyle name="Accent4 - 20%" xfId="218"/>
    <cellStyle name="Accent4 - 40%" xfId="219"/>
    <cellStyle name="Accent4 - 60%" xfId="220"/>
    <cellStyle name="Accent5 - 20%" xfId="221"/>
    <cellStyle name="Accent5 - 40%" xfId="222"/>
    <cellStyle name="Accent5 - 60%" xfId="223"/>
    <cellStyle name="Accent6 - 20%" xfId="224"/>
    <cellStyle name="Accent6 - 40%" xfId="225"/>
    <cellStyle name="Accent6 - 60%" xfId="226"/>
    <cellStyle name="blank" xfId="227"/>
    <cellStyle name="Calc Currency (0)" xfId="228"/>
    <cellStyle name="CheckCell" xfId="229"/>
    <cellStyle name="Comma" xfId="1" builtinId="3"/>
    <cellStyle name="Comma 10" xfId="230"/>
    <cellStyle name="Comma 11" xfId="231"/>
    <cellStyle name="Comma 12" xfId="232"/>
    <cellStyle name="Comma 13" xfId="233"/>
    <cellStyle name="Comma 14" xfId="234"/>
    <cellStyle name="Comma 15" xfId="235"/>
    <cellStyle name="Comma 16" xfId="505"/>
    <cellStyle name="Comma 2" xfId="236"/>
    <cellStyle name="Comma 2 2" xfId="237"/>
    <cellStyle name="Comma 2 2 2" xfId="238"/>
    <cellStyle name="Comma 3" xfId="239"/>
    <cellStyle name="Comma 3 2" xfId="240"/>
    <cellStyle name="Comma 4" xfId="241"/>
    <cellStyle name="Comma 4 2" xfId="242"/>
    <cellStyle name="Comma 5" xfId="243"/>
    <cellStyle name="Comma 6" xfId="244"/>
    <cellStyle name="Comma 6 2" xfId="245"/>
    <cellStyle name="Comma 6 3" xfId="246"/>
    <cellStyle name="Comma 7" xfId="247"/>
    <cellStyle name="Comma 8" xfId="248"/>
    <cellStyle name="Comma 8 2" xfId="249"/>
    <cellStyle name="Comma 9" xfId="250"/>
    <cellStyle name="Comma 9 2" xfId="251"/>
    <cellStyle name="Comma_Common Allocators GRC TY 0903" xfId="503"/>
    <cellStyle name="Comma0" xfId="252"/>
    <cellStyle name="Comma0 - Style2" xfId="253"/>
    <cellStyle name="Comma0 - Style4" xfId="254"/>
    <cellStyle name="Comma0 - Style5" xfId="255"/>
    <cellStyle name="Comma0 2" xfId="256"/>
    <cellStyle name="Comma0 3" xfId="257"/>
    <cellStyle name="Comma0 4" xfId="258"/>
    <cellStyle name="Comma0_00COS Ind Allocators" xfId="259"/>
    <cellStyle name="Comma1 - Style1" xfId="260"/>
    <cellStyle name="Copied" xfId="261"/>
    <cellStyle name="COST1" xfId="262"/>
    <cellStyle name="Curren - Style1" xfId="263"/>
    <cellStyle name="Curren - Style2" xfId="264"/>
    <cellStyle name="Curren - Style5" xfId="265"/>
    <cellStyle name="Curren - Style6" xfId="266"/>
    <cellStyle name="Currency" xfId="2" builtinId="4"/>
    <cellStyle name="Currency 10" xfId="267"/>
    <cellStyle name="Currency 11" xfId="268"/>
    <cellStyle name="Currency 12" xfId="269"/>
    <cellStyle name="Currency 13" xfId="270"/>
    <cellStyle name="Currency 14" xfId="271"/>
    <cellStyle name="Currency 15" xfId="272"/>
    <cellStyle name="Currency 2" xfId="273"/>
    <cellStyle name="Currency 2 2" xfId="274"/>
    <cellStyle name="Currency 3" xfId="275"/>
    <cellStyle name="Currency 3 2" xfId="276"/>
    <cellStyle name="Currency 4" xfId="277"/>
    <cellStyle name="Currency 4 2" xfId="278"/>
    <cellStyle name="Currency 5" xfId="279"/>
    <cellStyle name="Currency 5 2" xfId="280"/>
    <cellStyle name="Currency 6" xfId="281"/>
    <cellStyle name="Currency 6 2" xfId="282"/>
    <cellStyle name="Currency 7" xfId="283"/>
    <cellStyle name="Currency 7 2" xfId="284"/>
    <cellStyle name="Currency 8" xfId="285"/>
    <cellStyle name="Currency 8 2" xfId="286"/>
    <cellStyle name="Currency 9" xfId="287"/>
    <cellStyle name="Currency 9 2" xfId="288"/>
    <cellStyle name="Currency_Common Allocators GRC TY 0903" xfId="504"/>
    <cellStyle name="Currency0" xfId="289"/>
    <cellStyle name="Date" xfId="290"/>
    <cellStyle name="Date 2" xfId="291"/>
    <cellStyle name="Date 3" xfId="292"/>
    <cellStyle name="Date 4" xfId="293"/>
    <cellStyle name="Emphasis 1" xfId="294"/>
    <cellStyle name="Emphasis 2" xfId="295"/>
    <cellStyle name="Emphasis 3" xfId="296"/>
    <cellStyle name="Entered" xfId="297"/>
    <cellStyle name="Euro" xfId="298"/>
    <cellStyle name="Fixed" xfId="299"/>
    <cellStyle name="Fixed3 - Style3" xfId="300"/>
    <cellStyle name="Grey" xfId="301"/>
    <cellStyle name="Grey 2" xfId="302"/>
    <cellStyle name="Grey 3" xfId="303"/>
    <cellStyle name="Grey 4" xfId="304"/>
    <cellStyle name="Header" xfId="305"/>
    <cellStyle name="Header1" xfId="306"/>
    <cellStyle name="Header2" xfId="307"/>
    <cellStyle name="Heading" xfId="308"/>
    <cellStyle name="Heading1" xfId="309"/>
    <cellStyle name="Heading2" xfId="310"/>
    <cellStyle name="Input [yellow]" xfId="311"/>
    <cellStyle name="Input [yellow] 2" xfId="312"/>
    <cellStyle name="Input [yellow] 3" xfId="313"/>
    <cellStyle name="Input [yellow] 4" xfId="314"/>
    <cellStyle name="Input Cells" xfId="315"/>
    <cellStyle name="Input Cells Percent" xfId="316"/>
    <cellStyle name="Input Cells_Book9" xfId="317"/>
    <cellStyle name="Lines" xfId="318"/>
    <cellStyle name="LINKED" xfId="319"/>
    <cellStyle name="modified border" xfId="320"/>
    <cellStyle name="modified border 2" xfId="321"/>
    <cellStyle name="modified border 3" xfId="322"/>
    <cellStyle name="modified border 4" xfId="323"/>
    <cellStyle name="modified border1" xfId="324"/>
    <cellStyle name="modified border1 2" xfId="325"/>
    <cellStyle name="modified border1 3" xfId="326"/>
    <cellStyle name="modified border1 4" xfId="327"/>
    <cellStyle name="no dec" xfId="328"/>
    <cellStyle name="Normal" xfId="0" builtinId="0"/>
    <cellStyle name="Normal - Style1" xfId="329"/>
    <cellStyle name="Normal - Style1 2" xfId="330"/>
    <cellStyle name="Normal - Style1 3" xfId="331"/>
    <cellStyle name="Normal - Style1 4" xfId="332"/>
    <cellStyle name="Normal 10" xfId="333"/>
    <cellStyle name="Normal 10 2" xfId="334"/>
    <cellStyle name="Normal 10 3" xfId="335"/>
    <cellStyle name="Normal 10_MRM-06 Retirement Method Change Dec 2010" xfId="336"/>
    <cellStyle name="Normal 11" xfId="337"/>
    <cellStyle name="Normal 12" xfId="338"/>
    <cellStyle name="Normal 13" xfId="339"/>
    <cellStyle name="Normal 14" xfId="340"/>
    <cellStyle name="Normal 14 2" xfId="341"/>
    <cellStyle name="Normal 15" xfId="342"/>
    <cellStyle name="Normal 15 2" xfId="343"/>
    <cellStyle name="Normal 16" xfId="344"/>
    <cellStyle name="Normal 17" xfId="345"/>
    <cellStyle name="Normal 18" xfId="346"/>
    <cellStyle name="Normal 19" xfId="347"/>
    <cellStyle name="Normal 2" xfId="4"/>
    <cellStyle name="Normal 2 2" xfId="348"/>
    <cellStyle name="Normal 2 2 2" xfId="349"/>
    <cellStyle name="Normal 2 2 2 2" xfId="350"/>
    <cellStyle name="Normal 2 2 3" xfId="351"/>
    <cellStyle name="Normal 2 3" xfId="352"/>
    <cellStyle name="Normal 2 4" xfId="353"/>
    <cellStyle name="Normal 2 5" xfId="354"/>
    <cellStyle name="Normal 2 6" xfId="355"/>
    <cellStyle name="Normal 2 7" xfId="356"/>
    <cellStyle name="Normal 2 7 2" xfId="357"/>
    <cellStyle name="Normal 2_3.05 Allocation Method 2010 GTR WF" xfId="358"/>
    <cellStyle name="Normal 3" xfId="5"/>
    <cellStyle name="Normal 3 2" xfId="359"/>
    <cellStyle name="Normal 3 3" xfId="360"/>
    <cellStyle name="Normal 3 4" xfId="361"/>
    <cellStyle name="Normal 3 5" xfId="362"/>
    <cellStyle name="Normal 3 6" xfId="363"/>
    <cellStyle name="Normal 3 6 2" xfId="364"/>
    <cellStyle name="Normal 3_Net Classified Plant" xfId="365"/>
    <cellStyle name="Normal 4" xfId="366"/>
    <cellStyle name="Normal 4 2" xfId="367"/>
    <cellStyle name="Normal 4_3.05 Allocation Method 2010 GTR WF" xfId="368"/>
    <cellStyle name="Normal 5" xfId="369"/>
    <cellStyle name="Normal 6" xfId="370"/>
    <cellStyle name="Normal 6 2" xfId="371"/>
    <cellStyle name="Normal 6 3" xfId="372"/>
    <cellStyle name="Normal 7" xfId="373"/>
    <cellStyle name="Normal 7 2" xfId="374"/>
    <cellStyle name="Normal 8" xfId="375"/>
    <cellStyle name="Normal 9" xfId="376"/>
    <cellStyle name="Normal 9 2" xfId="377"/>
    <cellStyle name="Normal_2.01G Revenue &amp; Purchased Gas" xfId="10"/>
    <cellStyle name="Normal_BASECOST" xfId="11"/>
    <cellStyle name="Normal_RESCOST" xfId="12"/>
    <cellStyle name="Note 10" xfId="378"/>
    <cellStyle name="Note 10 2" xfId="379"/>
    <cellStyle name="Note 11" xfId="380"/>
    <cellStyle name="Note 11 2" xfId="381"/>
    <cellStyle name="Note 12" xfId="382"/>
    <cellStyle name="Note 12 2" xfId="383"/>
    <cellStyle name="Note 2" xfId="384"/>
    <cellStyle name="Note 2 2" xfId="385"/>
    <cellStyle name="Note 3" xfId="386"/>
    <cellStyle name="Note 3 2" xfId="387"/>
    <cellStyle name="Note 4" xfId="388"/>
    <cellStyle name="Note 4 2" xfId="389"/>
    <cellStyle name="Note 5" xfId="390"/>
    <cellStyle name="Note 5 2" xfId="391"/>
    <cellStyle name="Note 6" xfId="392"/>
    <cellStyle name="Note 6 2" xfId="393"/>
    <cellStyle name="Note 7" xfId="394"/>
    <cellStyle name="Note 7 2" xfId="395"/>
    <cellStyle name="Note 8" xfId="396"/>
    <cellStyle name="Note 8 2" xfId="397"/>
    <cellStyle name="Note 9" xfId="398"/>
    <cellStyle name="Note 9 2" xfId="399"/>
    <cellStyle name="Percen - Style1" xfId="400"/>
    <cellStyle name="Percen - Style2" xfId="401"/>
    <cellStyle name="Percen - Style3" xfId="402"/>
    <cellStyle name="Percent" xfId="3" builtinId="5"/>
    <cellStyle name="Percent (0)" xfId="403"/>
    <cellStyle name="Percent [2]" xfId="404"/>
    <cellStyle name="Percent 10" xfId="405"/>
    <cellStyle name="Percent 11" xfId="406"/>
    <cellStyle name="Percent 12" xfId="407"/>
    <cellStyle name="Percent 13" xfId="408"/>
    <cellStyle name="Percent 14" xfId="409"/>
    <cellStyle name="Percent 15" xfId="410"/>
    <cellStyle name="Percent 16" xfId="411"/>
    <cellStyle name="Percent 2" xfId="412"/>
    <cellStyle name="Percent 2 2" xfId="413"/>
    <cellStyle name="Percent 3" xfId="414"/>
    <cellStyle name="Percent 3 2" xfId="415"/>
    <cellStyle name="Percent 4" xfId="416"/>
    <cellStyle name="Percent 4 2" xfId="417"/>
    <cellStyle name="Percent 4 3" xfId="418"/>
    <cellStyle name="Percent 5" xfId="419"/>
    <cellStyle name="Percent 6" xfId="420"/>
    <cellStyle name="Percent 7" xfId="421"/>
    <cellStyle name="Percent 8" xfId="422"/>
    <cellStyle name="Percent 9" xfId="423"/>
    <cellStyle name="Processing" xfId="424"/>
    <cellStyle name="PSChar" xfId="425"/>
    <cellStyle name="PSDate" xfId="426"/>
    <cellStyle name="PSDec" xfId="427"/>
    <cellStyle name="PSHeading" xfId="428"/>
    <cellStyle name="PSInt" xfId="429"/>
    <cellStyle name="PSSpacer" xfId="430"/>
    <cellStyle name="purple - Style8" xfId="431"/>
    <cellStyle name="RED" xfId="432"/>
    <cellStyle name="Red - Style7" xfId="433"/>
    <cellStyle name="RED_04 07E Wild Horse Wind Expansion (C) (2)" xfId="434"/>
    <cellStyle name="Report" xfId="435"/>
    <cellStyle name="Report Bar" xfId="436"/>
    <cellStyle name="Report Heading" xfId="437"/>
    <cellStyle name="Report Percent" xfId="438"/>
    <cellStyle name="Report Unit Cost" xfId="439"/>
    <cellStyle name="Reports" xfId="440"/>
    <cellStyle name="Reports Total" xfId="441"/>
    <cellStyle name="Reports Unit Cost Total" xfId="442"/>
    <cellStyle name="Reports_Book9" xfId="443"/>
    <cellStyle name="RevList" xfId="444"/>
    <cellStyle name="round100" xfId="445"/>
    <cellStyle name="SAPBEXaggData" xfId="446"/>
    <cellStyle name="SAPBEXaggDataEmph" xfId="447"/>
    <cellStyle name="SAPBEXaggItem" xfId="448"/>
    <cellStyle name="SAPBEXaggItemX" xfId="449"/>
    <cellStyle name="SAPBEXchaText" xfId="450"/>
    <cellStyle name="SAPBEXchaText 2" xfId="451"/>
    <cellStyle name="SAPBEXexcBad7" xfId="452"/>
    <cellStyle name="SAPBEXexcBad8" xfId="453"/>
    <cellStyle name="SAPBEXexcBad9" xfId="454"/>
    <cellStyle name="SAPBEXexcCritical4" xfId="455"/>
    <cellStyle name="SAPBEXexcCritical5" xfId="456"/>
    <cellStyle name="SAPBEXexcCritical6" xfId="457"/>
    <cellStyle name="SAPBEXexcGood1" xfId="458"/>
    <cellStyle name="SAPBEXexcGood2" xfId="459"/>
    <cellStyle name="SAPBEXexcGood3" xfId="460"/>
    <cellStyle name="SAPBEXfilterDrill" xfId="461"/>
    <cellStyle name="SAPBEXfilterItem" xfId="462"/>
    <cellStyle name="SAPBEXfilterText" xfId="463"/>
    <cellStyle name="SAPBEXformats" xfId="464"/>
    <cellStyle name="SAPBEXheaderItem" xfId="465"/>
    <cellStyle name="SAPBEXheaderText" xfId="466"/>
    <cellStyle name="SAPBEXHLevel0" xfId="467"/>
    <cellStyle name="SAPBEXHLevel0X" xfId="468"/>
    <cellStyle name="SAPBEXHLevel1" xfId="469"/>
    <cellStyle name="SAPBEXHLevel1X" xfId="470"/>
    <cellStyle name="SAPBEXHLevel2" xfId="471"/>
    <cellStyle name="SAPBEXHLevel2X" xfId="472"/>
    <cellStyle name="SAPBEXHLevel3" xfId="473"/>
    <cellStyle name="SAPBEXHLevel3X" xfId="474"/>
    <cellStyle name="SAPBEXinputData" xfId="475"/>
    <cellStyle name="SAPBEXresData" xfId="476"/>
    <cellStyle name="SAPBEXresDataEmph" xfId="477"/>
    <cellStyle name="SAPBEXresItem" xfId="478"/>
    <cellStyle name="SAPBEXresItemX" xfId="479"/>
    <cellStyle name="SAPBEXstdData" xfId="480"/>
    <cellStyle name="SAPBEXstdDataEmph" xfId="481"/>
    <cellStyle name="SAPBEXstdItem" xfId="482"/>
    <cellStyle name="SAPBEXstdItemX" xfId="483"/>
    <cellStyle name="SAPBEXtitle" xfId="484"/>
    <cellStyle name="SAPBEXundefined" xfId="485"/>
    <cellStyle name="shade" xfId="486"/>
    <cellStyle name="Sheet Title" xfId="487"/>
    <cellStyle name="StmtTtl1" xfId="488"/>
    <cellStyle name="StmtTtl1 2" xfId="489"/>
    <cellStyle name="StmtTtl1 3" xfId="490"/>
    <cellStyle name="StmtTtl1 4" xfId="491"/>
    <cellStyle name="StmtTtl2" xfId="492"/>
    <cellStyle name="STYL1 - Style1" xfId="493"/>
    <cellStyle name="Style 1" xfId="6"/>
    <cellStyle name="Style 1 2" xfId="8"/>
    <cellStyle name="Style 1 3" xfId="9"/>
    <cellStyle name="Style 1 4" xfId="7"/>
    <cellStyle name="Style 1_3.01 Income Statement" xfId="494"/>
    <cellStyle name="Subtotal" xfId="495"/>
    <cellStyle name="Sub-total" xfId="496"/>
    <cellStyle name="taples Plaza" xfId="497"/>
    <cellStyle name="Tickmark" xfId="498"/>
    <cellStyle name="Title: Major" xfId="499"/>
    <cellStyle name="Title: Minor" xfId="500"/>
    <cellStyle name="Title: Worksheet" xfId="501"/>
    <cellStyle name="Total4 - Style4" xfId="502"/>
  </cellStyles>
  <dxfs count="3">
    <dxf>
      <font>
        <b/>
        <i val="0"/>
        <condense val="0"/>
        <extend val="0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10"/>
        </patternFill>
      </fill>
    </dxf>
    <dxf>
      <fill>
        <patternFill>
          <bgColor indexed="5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file:///D:\Finance\SCCLP\2005\Quarterly%20Reporting\1Q%2005\Consolidating%20Financials%2003%2031%202005.xls" TargetMode="External" />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_rels/sheet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.bin" />
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autoPageBreaks="0" fitToPage="1"/>
  </sheetPr>
  <dimension ref="A1:DD353"/>
  <sheetViews>
    <sheetView tabSelected="1" topLeftCell="BL2" zoomScale="88" zoomScaleNormal="115" workbookViewId="0">
      <selection activeCell="BR2" sqref="BR2"/>
    </sheetView>
  </sheetViews>
  <sheetFormatPr defaultColWidth="21.1640625" defaultRowHeight="12.75" customHeight="1"/>
  <cols>
    <col min="1" max="1" width="6.5" style="4" bestFit="1" customWidth="1"/>
    <col min="2" max="2" width="24.1640625" style="4" customWidth="1"/>
    <col min="3" max="3" width="20.83203125" style="4" customWidth="1"/>
    <col min="4" max="4" width="19.6640625" style="4" customWidth="1"/>
    <col min="5" max="5" width="18" style="4" customWidth="1"/>
    <col min="6" max="6" width="17.83203125" style="4" customWidth="1"/>
    <col min="7" max="7" width="6.83203125" style="7" customWidth="1"/>
    <col min="8" max="8" width="76" style="7" bestFit="1" customWidth="1"/>
    <col min="9" max="9" width="16" style="7" customWidth="1"/>
    <col min="10" max="10" width="19.5" style="7" bestFit="1" customWidth="1"/>
    <col min="11" max="11" width="19" style="7" bestFit="1" customWidth="1"/>
    <col min="12" max="12" width="6.83203125" style="7" customWidth="1"/>
    <col min="13" max="13" width="23" style="7" customWidth="1"/>
    <col min="14" max="14" width="25.6640625" style="7" customWidth="1"/>
    <col min="15" max="15" width="24" style="7" customWidth="1"/>
    <col min="16" max="16" width="20" style="7" customWidth="1"/>
    <col min="17" max="17" width="6.83203125" style="7" customWidth="1"/>
    <col min="18" max="18" width="61.83203125" style="7" customWidth="1"/>
    <col min="19" max="19" width="21.5" style="7" customWidth="1"/>
    <col min="20" max="20" width="22.1640625" style="7" customWidth="1"/>
    <col min="21" max="21" width="6.5" style="7" bestFit="1" customWidth="1"/>
    <col min="22" max="22" width="85" style="7" bestFit="1" customWidth="1"/>
    <col min="23" max="23" width="16.1640625" style="7" customWidth="1"/>
    <col min="24" max="24" width="18.1640625" style="7" customWidth="1"/>
    <col min="25" max="25" width="6.5" style="7" customWidth="1"/>
    <col min="26" max="26" width="73.1640625" style="7" customWidth="1"/>
    <col min="27" max="27" width="5.5" style="7" customWidth="1"/>
    <col min="28" max="29" width="18.1640625" style="7" customWidth="1"/>
    <col min="30" max="30" width="6.83203125" style="7" customWidth="1"/>
    <col min="31" max="31" width="38.6640625" style="7" customWidth="1"/>
    <col min="32" max="35" width="17" style="7" customWidth="1"/>
    <col min="36" max="36" width="15.33203125" style="7" customWidth="1"/>
    <col min="37" max="37" width="5.83203125" style="7" customWidth="1"/>
    <col min="38" max="38" width="40.83203125" style="7" customWidth="1"/>
    <col min="39" max="39" width="14" style="7" customWidth="1"/>
    <col min="40" max="40" width="22.83203125" style="26" customWidth="1"/>
    <col min="41" max="41" width="5.83203125" style="11" customWidth="1"/>
    <col min="42" max="42" width="36.1640625" style="11" customWidth="1"/>
    <col min="43" max="43" width="16.1640625" style="11" customWidth="1"/>
    <col min="44" max="44" width="18.83203125" style="11" customWidth="1"/>
    <col min="45" max="45" width="6.83203125" style="7" customWidth="1"/>
    <col min="46" max="46" width="41.5" style="7" bestFit="1" customWidth="1"/>
    <col min="47" max="47" width="18.1640625" style="7" customWidth="1"/>
    <col min="48" max="48" width="17.1640625" style="7" customWidth="1"/>
    <col min="49" max="49" width="18.5" style="7" customWidth="1"/>
    <col min="50" max="50" width="5.83203125" style="309" customWidth="1"/>
    <col min="51" max="51" width="55.1640625" style="309" customWidth="1"/>
    <col min="52" max="54" width="17" style="309" customWidth="1"/>
    <col min="55" max="55" width="6.5" style="309" customWidth="1"/>
    <col min="56" max="56" width="71" style="309" customWidth="1"/>
    <col min="57" max="59" width="17" style="309" customWidth="1"/>
    <col min="60" max="60" width="11" style="309" customWidth="1"/>
    <col min="61" max="61" width="43.5" style="309" customWidth="1"/>
    <col min="62" max="64" width="17" style="309" customWidth="1"/>
    <col min="65" max="65" width="5.83203125" style="309" bestFit="1" customWidth="1"/>
    <col min="66" max="66" width="55.1640625" style="309" bestFit="1" customWidth="1"/>
    <col min="67" max="69" width="17" style="309" customWidth="1"/>
    <col min="70" max="70" width="6.83203125" style="7" customWidth="1"/>
    <col min="71" max="71" width="42.6640625" style="7" customWidth="1"/>
    <col min="72" max="72" width="17.6640625" style="7" customWidth="1"/>
    <col min="73" max="73" width="16.83203125" style="7" customWidth="1"/>
    <col min="74" max="74" width="19.1640625" style="7" customWidth="1"/>
    <col min="75" max="75" width="15.1640625" style="7" customWidth="1"/>
    <col min="76" max="76" width="6.83203125" style="7" customWidth="1"/>
    <col min="77" max="77" width="47.6640625" style="7" customWidth="1"/>
    <col min="78" max="78" width="23.33203125" style="7" bestFit="1" customWidth="1"/>
    <col min="79" max="85" width="23.83203125" style="7" customWidth="1"/>
    <col min="86" max="86" width="5.83203125" style="7" bestFit="1" customWidth="1"/>
    <col min="87" max="87" width="60.1640625" style="7" bestFit="1" customWidth="1"/>
    <col min="88" max="88" width="17.5" style="7" customWidth="1"/>
    <col min="89" max="89" width="23.6640625" style="7" customWidth="1"/>
    <col min="90" max="90" width="18.5" style="7" bestFit="1" customWidth="1"/>
    <col min="91" max="93" width="18.5" style="7" customWidth="1"/>
    <col min="94" max="94" width="18.5" style="7" bestFit="1" customWidth="1"/>
    <col min="95" max="95" width="22" style="7" bestFit="1" customWidth="1"/>
    <col min="96" max="96" width="20.5" style="7" bestFit="1" customWidth="1"/>
    <col min="97" max="97" width="6.83203125" style="7" customWidth="1"/>
    <col min="98" max="98" width="60.1640625" style="7" bestFit="1" customWidth="1"/>
    <col min="99" max="99" width="19.83203125" style="7" bestFit="1" customWidth="1"/>
    <col min="100" max="100" width="22" style="7" bestFit="1" customWidth="1"/>
    <col min="101" max="101" width="23.1640625" style="7" bestFit="1" customWidth="1"/>
    <col min="102" max="16384" width="21.1640625" style="7"/>
  </cols>
  <sheetData>
    <row r="1" spans="1:108" ht="15" customHeight="1" thickBot="1">
      <c r="A1" s="1">
        <f>ROUND(SUM(B1:CX1),0)</f>
        <v>0</v>
      </c>
      <c r="B1" s="1">
        <f>CR60</f>
        <v>0</v>
      </c>
      <c r="C1" s="2"/>
      <c r="D1" s="3"/>
      <c r="F1" s="1">
        <f>ROUND(F54-CA$44,0)</f>
        <v>0</v>
      </c>
      <c r="G1" s="5"/>
      <c r="H1" s="2"/>
      <c r="I1" s="2"/>
      <c r="J1" s="3"/>
      <c r="K1" s="1">
        <f>ROUND(K44-CB$44,0)</f>
        <v>0</v>
      </c>
      <c r="L1" s="6"/>
      <c r="P1" s="1">
        <f>ROUND(P31-CC$44,0)</f>
        <v>0</v>
      </c>
      <c r="Q1" s="6"/>
      <c r="T1" s="1">
        <f>ROUND(T24-CD$44,0)</f>
        <v>0</v>
      </c>
      <c r="U1" s="6"/>
      <c r="X1" s="1">
        <f>ROUND(X38-CE$44,0)</f>
        <v>0</v>
      </c>
      <c r="Y1" s="8"/>
      <c r="Z1" s="8"/>
      <c r="AA1" s="8"/>
      <c r="AB1" s="8"/>
      <c r="AC1" s="1">
        <f>ROUND(AC24-CF$44,0)</f>
        <v>0</v>
      </c>
      <c r="AD1" s="6"/>
      <c r="AE1" s="9"/>
      <c r="AF1" s="9"/>
      <c r="AG1" s="9"/>
      <c r="AH1" s="9"/>
      <c r="AI1" s="9"/>
      <c r="AJ1" s="1">
        <f>ROUND(AJ28-CG$44,0)</f>
        <v>0</v>
      </c>
      <c r="AK1" s="6"/>
      <c r="AN1" s="1">
        <f>ROUND(AN26-CJ$44,0)</f>
        <v>0</v>
      </c>
      <c r="AO1" s="10"/>
      <c r="AR1" s="1">
        <f>ROUND(AR15-CK$44,0)</f>
        <v>0</v>
      </c>
      <c r="AS1" s="6"/>
      <c r="AU1" s="12"/>
      <c r="AW1" s="1">
        <f>ROUND(AW20-CL$44,0)</f>
        <v>0</v>
      </c>
      <c r="AX1" s="6"/>
      <c r="AY1" s="7"/>
      <c r="AZ1" s="7"/>
      <c r="BA1" s="7"/>
      <c r="BB1" s="1">
        <f>ROUND(BB20-CM$44,0)</f>
        <v>0</v>
      </c>
      <c r="BC1" s="13"/>
      <c r="BD1" s="13"/>
      <c r="BE1" s="13"/>
      <c r="BF1" s="13"/>
      <c r="BG1" s="1">
        <f>ROUND(BG19-CN$44,0)</f>
        <v>0</v>
      </c>
      <c r="BH1" s="6"/>
      <c r="BI1" s="13"/>
      <c r="BJ1" s="13"/>
      <c r="BK1" s="13"/>
      <c r="BL1" s="1">
        <f>ROUND(BL20-CO$44,0)</f>
        <v>0</v>
      </c>
      <c r="BM1" s="6"/>
      <c r="BN1" s="7"/>
      <c r="BO1" s="7"/>
      <c r="BP1" s="7"/>
      <c r="BQ1" s="1">
        <f>ROUND(BQ21-CP$44,0)</f>
        <v>0</v>
      </c>
      <c r="BR1" s="6"/>
      <c r="BV1" s="1"/>
      <c r="BX1" s="6"/>
      <c r="CK1" s="14"/>
      <c r="CL1" s="14"/>
      <c r="CM1" s="14"/>
      <c r="CN1" s="14"/>
      <c r="CO1" s="14"/>
      <c r="CP1" s="14"/>
      <c r="CQ1" s="14"/>
      <c r="CR1" s="8"/>
      <c r="CW1" s="8"/>
    </row>
    <row r="2" spans="1:108" ht="15" customHeight="1" thickBot="1">
      <c r="A2" s="2"/>
      <c r="B2" s="2"/>
      <c r="C2" s="2"/>
      <c r="F2" s="15" t="s">
        <v>0</v>
      </c>
      <c r="G2" s="16"/>
      <c r="H2" s="16"/>
      <c r="I2" s="16"/>
      <c r="J2" s="17"/>
      <c r="K2" s="15" t="s">
        <v>1</v>
      </c>
      <c r="L2" s="18"/>
      <c r="M2" s="18"/>
      <c r="N2" s="18"/>
      <c r="O2" s="18"/>
      <c r="P2" s="15" t="s">
        <v>2</v>
      </c>
      <c r="Q2" s="18"/>
      <c r="R2" s="19" t="s">
        <v>3</v>
      </c>
      <c r="S2" s="18"/>
      <c r="T2" s="15" t="s">
        <v>4</v>
      </c>
      <c r="U2" s="18"/>
      <c r="V2" s="18"/>
      <c r="W2" s="18"/>
      <c r="X2" s="15" t="s">
        <v>5</v>
      </c>
      <c r="Y2" s="20"/>
      <c r="Z2" s="20"/>
      <c r="AA2" s="20"/>
      <c r="AB2" s="20"/>
      <c r="AC2" s="15" t="s">
        <v>6</v>
      </c>
      <c r="AD2" s="18"/>
      <c r="AE2" s="21"/>
      <c r="AF2" s="21"/>
      <c r="AG2" s="21"/>
      <c r="AH2" s="21"/>
      <c r="AI2" s="21"/>
      <c r="AJ2" s="15" t="s">
        <v>7</v>
      </c>
      <c r="AK2" s="18"/>
      <c r="AL2" s="18"/>
      <c r="AM2" s="18"/>
      <c r="AN2" s="15" t="s">
        <v>8</v>
      </c>
      <c r="AO2" s="22"/>
      <c r="AP2" s="22"/>
      <c r="AQ2" s="22"/>
      <c r="AR2" s="15" t="s">
        <v>9</v>
      </c>
      <c r="AS2" s="18"/>
      <c r="AT2" s="18"/>
      <c r="AU2" s="23"/>
      <c r="AV2" s="18"/>
      <c r="AW2" s="15" t="s">
        <v>10</v>
      </c>
      <c r="AX2" s="24"/>
      <c r="AY2" s="24"/>
      <c r="AZ2" s="24"/>
      <c r="BA2" s="24"/>
      <c r="BB2" s="15" t="s">
        <v>11</v>
      </c>
      <c r="BC2" s="20"/>
      <c r="BD2" s="20"/>
      <c r="BE2" s="20"/>
      <c r="BF2" s="20"/>
      <c r="BG2" s="15" t="s">
        <v>12</v>
      </c>
      <c r="BH2" s="24"/>
      <c r="BI2" s="25"/>
      <c r="BJ2" s="25"/>
      <c r="BK2" s="25"/>
      <c r="BL2" s="15" t="s">
        <v>13</v>
      </c>
      <c r="BM2" s="24"/>
      <c r="BN2" s="24"/>
      <c r="BO2" s="24"/>
      <c r="BP2" s="24"/>
      <c r="BQ2" s="15" t="s">
        <v>14</v>
      </c>
      <c r="BV2" s="15" t="s">
        <v>15</v>
      </c>
      <c r="BY2" s="26"/>
      <c r="CG2" s="27" t="s">
        <v>16</v>
      </c>
      <c r="CK2" s="14"/>
      <c r="CL2" s="14"/>
      <c r="CM2" s="14"/>
      <c r="CN2" s="14"/>
      <c r="CO2" s="14"/>
      <c r="CP2" s="14"/>
      <c r="CQ2" s="14"/>
      <c r="CR2" s="27" t="s">
        <v>17</v>
      </c>
      <c r="CS2" s="14"/>
      <c r="CT2" s="14"/>
      <c r="CU2" s="14"/>
      <c r="CV2" s="14"/>
      <c r="CW2" s="28" t="s">
        <v>18</v>
      </c>
    </row>
    <row r="3" spans="1:108" s="33" customFormat="1" ht="15" customHeight="1">
      <c r="A3" s="29"/>
      <c r="B3" s="30"/>
      <c r="C3" s="31"/>
      <c r="D3" s="29"/>
      <c r="E3" s="4"/>
      <c r="F3" s="32"/>
      <c r="G3" s="29"/>
      <c r="H3" s="30"/>
      <c r="I3" s="31"/>
      <c r="J3" s="29"/>
      <c r="K3" s="4"/>
      <c r="AD3" s="34"/>
      <c r="AK3" s="35"/>
      <c r="AL3" s="36"/>
      <c r="AM3" s="36"/>
      <c r="AO3" s="37"/>
      <c r="AP3" s="37"/>
      <c r="AQ3" s="37"/>
      <c r="AU3" s="38"/>
      <c r="AX3" s="39"/>
      <c r="AY3" s="39"/>
      <c r="AZ3" s="39"/>
      <c r="BA3" s="39"/>
      <c r="BH3" s="39"/>
      <c r="BM3" s="39"/>
      <c r="BN3" s="39"/>
      <c r="BO3" s="39"/>
      <c r="BP3" s="39"/>
      <c r="BS3" s="40"/>
      <c r="BT3" s="40"/>
      <c r="BU3" s="40"/>
      <c r="BW3" s="36"/>
      <c r="BX3" s="41" t="s">
        <v>19</v>
      </c>
      <c r="BY3" s="40"/>
      <c r="BZ3" s="40"/>
      <c r="CA3" s="40"/>
      <c r="CB3" s="40"/>
      <c r="CC3" s="40"/>
      <c r="CD3" s="40"/>
      <c r="CE3" s="40"/>
      <c r="CF3" s="40"/>
      <c r="CG3" s="40"/>
      <c r="CH3" s="41" t="s">
        <v>19</v>
      </c>
      <c r="CI3" s="40"/>
      <c r="CJ3" s="40"/>
      <c r="CK3" s="40"/>
      <c r="CL3" s="40"/>
      <c r="CM3" s="40"/>
      <c r="CN3" s="40"/>
      <c r="CO3" s="40"/>
      <c r="CP3" s="40"/>
      <c r="CQ3" s="40"/>
      <c r="CR3" s="40"/>
      <c r="CS3" s="41" t="str">
        <f>PSPL</f>
        <v>PUGET SOUND ENERGY-GAS</v>
      </c>
      <c r="CT3" s="40"/>
      <c r="CU3" s="40"/>
      <c r="CV3" s="40"/>
      <c r="CW3" s="42"/>
    </row>
    <row r="4" spans="1:108" s="52" customFormat="1" ht="15" customHeight="1">
      <c r="A4" s="507" t="s">
        <v>19</v>
      </c>
      <c r="B4" s="507"/>
      <c r="C4" s="507"/>
      <c r="D4" s="507"/>
      <c r="E4" s="507"/>
      <c r="F4" s="507"/>
      <c r="G4" s="43" t="s">
        <v>19</v>
      </c>
      <c r="H4" s="44"/>
      <c r="I4" s="44"/>
      <c r="J4" s="44"/>
      <c r="K4" s="45"/>
      <c r="L4" s="41" t="str">
        <f>PSPL</f>
        <v>PUGET SOUND ENERGY-GAS</v>
      </c>
      <c r="M4" s="40"/>
      <c r="N4" s="40"/>
      <c r="O4" s="40"/>
      <c r="P4" s="46"/>
      <c r="Q4" s="41" t="str">
        <f>PSPL</f>
        <v>PUGET SOUND ENERGY-GAS</v>
      </c>
      <c r="R4" s="40"/>
      <c r="S4" s="40"/>
      <c r="T4" s="40"/>
      <c r="U4" s="41" t="str">
        <f>PSPL</f>
        <v>PUGET SOUND ENERGY-GAS</v>
      </c>
      <c r="V4" s="40"/>
      <c r="W4" s="40"/>
      <c r="X4" s="47"/>
      <c r="Y4" s="41" t="str">
        <f>PSPL</f>
        <v>PUGET SOUND ENERGY-GAS</v>
      </c>
      <c r="Z4" s="47"/>
      <c r="AA4" s="47"/>
      <c r="AB4" s="47"/>
      <c r="AC4" s="47"/>
      <c r="AD4" s="40" t="str">
        <f>PSPL</f>
        <v>PUGET SOUND ENERGY-GAS</v>
      </c>
      <c r="AE4" s="40"/>
      <c r="AF4" s="40"/>
      <c r="AG4" s="40"/>
      <c r="AH4" s="40"/>
      <c r="AI4" s="40"/>
      <c r="AJ4" s="40"/>
      <c r="AK4" s="41" t="str">
        <f>PSPL</f>
        <v>PUGET SOUND ENERGY-GAS</v>
      </c>
      <c r="AL4" s="40"/>
      <c r="AM4" s="40"/>
      <c r="AN4" s="40"/>
      <c r="AO4" s="48" t="str">
        <f>PSPL</f>
        <v>PUGET SOUND ENERGY-GAS</v>
      </c>
      <c r="AP4" s="48"/>
      <c r="AQ4" s="48"/>
      <c r="AR4" s="48"/>
      <c r="AS4" s="41" t="str">
        <f>PSPL</f>
        <v>PUGET SOUND ENERGY-GAS</v>
      </c>
      <c r="AT4" s="40"/>
      <c r="AU4" s="49"/>
      <c r="AV4" s="40"/>
      <c r="AW4" s="40"/>
      <c r="AX4" s="41" t="str">
        <f>PSPL</f>
        <v>PUGET SOUND ENERGY-GAS</v>
      </c>
      <c r="AY4" s="40"/>
      <c r="AZ4" s="40"/>
      <c r="BA4" s="40"/>
      <c r="BB4" s="50"/>
      <c r="BC4" s="41" t="str">
        <f>PSPL</f>
        <v>PUGET SOUND ENERGY-GAS</v>
      </c>
      <c r="BD4" s="50"/>
      <c r="BE4" s="50"/>
      <c r="BF4" s="50"/>
      <c r="BG4" s="50"/>
      <c r="BH4" s="41" t="str">
        <f>PSPL</f>
        <v>PUGET SOUND ENERGY-GAS</v>
      </c>
      <c r="BI4" s="50"/>
      <c r="BJ4" s="50"/>
      <c r="BK4" s="50"/>
      <c r="BL4" s="50"/>
      <c r="BM4" s="41" t="str">
        <f>PSPL</f>
        <v>PUGET SOUND ENERGY-GAS</v>
      </c>
      <c r="BN4" s="40"/>
      <c r="BO4" s="40"/>
      <c r="BP4" s="40"/>
      <c r="BQ4" s="50"/>
      <c r="BR4" s="41" t="str">
        <f>PSPL</f>
        <v>PUGET SOUND ENERGY-GAS</v>
      </c>
      <c r="BS4" s="40"/>
      <c r="BT4" s="40"/>
      <c r="BU4" s="40"/>
      <c r="BV4" s="40"/>
      <c r="BW4" s="40"/>
      <c r="BX4" s="41" t="s">
        <v>20</v>
      </c>
      <c r="BY4" s="40"/>
      <c r="BZ4" s="40"/>
      <c r="CA4" s="40"/>
      <c r="CB4" s="51"/>
      <c r="CC4" s="40"/>
      <c r="CD4" s="41"/>
      <c r="CE4" s="41"/>
      <c r="CF4" s="41"/>
      <c r="CG4" s="41"/>
      <c r="CH4" s="41" t="s">
        <v>20</v>
      </c>
      <c r="CI4" s="41"/>
      <c r="CJ4" s="41"/>
      <c r="CK4" s="40"/>
      <c r="CL4" s="40"/>
      <c r="CM4" s="40"/>
      <c r="CN4" s="40"/>
      <c r="CO4" s="40"/>
      <c r="CP4" s="40"/>
      <c r="CQ4" s="41"/>
      <c r="CR4" s="40"/>
      <c r="CS4" s="41" t="s">
        <v>21</v>
      </c>
      <c r="CT4" s="41"/>
      <c r="CU4" s="41"/>
      <c r="CV4" s="41"/>
      <c r="CW4" s="41"/>
    </row>
    <row r="5" spans="1:108" s="52" customFormat="1" ht="15" customHeight="1">
      <c r="A5" s="43" t="s">
        <v>22</v>
      </c>
      <c r="B5" s="44"/>
      <c r="C5" s="43"/>
      <c r="D5" s="44"/>
      <c r="E5" s="45"/>
      <c r="F5" s="48"/>
      <c r="G5" s="43" t="s">
        <v>23</v>
      </c>
      <c r="H5" s="44"/>
      <c r="I5" s="43"/>
      <c r="J5" s="44"/>
      <c r="K5" s="45"/>
      <c r="L5" s="40" t="s">
        <v>24</v>
      </c>
      <c r="M5" s="40"/>
      <c r="N5" s="40"/>
      <c r="O5" s="40"/>
      <c r="P5" s="46"/>
      <c r="Q5" s="40" t="s">
        <v>25</v>
      </c>
      <c r="R5" s="40"/>
      <c r="S5" s="40"/>
      <c r="T5" s="53"/>
      <c r="U5" s="41" t="s">
        <v>26</v>
      </c>
      <c r="V5" s="40"/>
      <c r="W5" s="53"/>
      <c r="X5" s="47"/>
      <c r="Y5" s="40" t="s">
        <v>27</v>
      </c>
      <c r="Z5" s="47"/>
      <c r="AA5" s="47"/>
      <c r="AB5" s="47"/>
      <c r="AC5" s="47"/>
      <c r="AD5" s="41" t="s">
        <v>28</v>
      </c>
      <c r="AE5" s="40"/>
      <c r="AF5" s="40"/>
      <c r="AG5" s="40"/>
      <c r="AH5" s="40"/>
      <c r="AI5" s="40"/>
      <c r="AJ5" s="40"/>
      <c r="AK5" s="41" t="s">
        <v>29</v>
      </c>
      <c r="AL5" s="53"/>
      <c r="AM5" s="53"/>
      <c r="AN5" s="53"/>
      <c r="AO5" s="54" t="s">
        <v>30</v>
      </c>
      <c r="AP5" s="48"/>
      <c r="AQ5" s="48"/>
      <c r="AR5" s="48"/>
      <c r="AS5" s="40" t="s">
        <v>31</v>
      </c>
      <c r="AT5" s="40"/>
      <c r="AU5" s="49"/>
      <c r="AV5" s="40"/>
      <c r="AW5" s="53"/>
      <c r="AX5" s="40" t="s">
        <v>32</v>
      </c>
      <c r="AY5" s="40"/>
      <c r="AZ5" s="40"/>
      <c r="BA5" s="40"/>
      <c r="BB5" s="53"/>
      <c r="BC5" s="40" t="s">
        <v>33</v>
      </c>
      <c r="BD5" s="53"/>
      <c r="BE5" s="53"/>
      <c r="BF5" s="53"/>
      <c r="BG5" s="53"/>
      <c r="BH5" s="40" t="s">
        <v>34</v>
      </c>
      <c r="BI5" s="53"/>
      <c r="BJ5" s="53"/>
      <c r="BK5" s="53"/>
      <c r="BL5" s="53"/>
      <c r="BM5" s="40" t="s">
        <v>35</v>
      </c>
      <c r="BN5" s="40"/>
      <c r="BO5" s="40"/>
      <c r="BP5" s="40"/>
      <c r="BQ5" s="53"/>
      <c r="BR5" s="40" t="s">
        <v>36</v>
      </c>
      <c r="BS5" s="40"/>
      <c r="BT5" s="40"/>
      <c r="BU5" s="40"/>
      <c r="BV5" s="40"/>
      <c r="BW5" s="40"/>
      <c r="BX5" s="40" t="str">
        <f>TESTYEAR</f>
        <v>FOR THE TWELVE MONTHS ENDED JUNE 30, 2012</v>
      </c>
      <c r="BY5" s="40"/>
      <c r="BZ5" s="40"/>
      <c r="CA5" s="40"/>
      <c r="CB5" s="40"/>
      <c r="CC5" s="40"/>
      <c r="CD5" s="41"/>
      <c r="CE5" s="41"/>
      <c r="CF5" s="41"/>
      <c r="CG5" s="41"/>
      <c r="CH5" s="40" t="str">
        <f>TESTYEAR</f>
        <v>FOR THE TWELVE MONTHS ENDED JUNE 30, 2012</v>
      </c>
      <c r="CI5" s="41"/>
      <c r="CJ5" s="40"/>
      <c r="CK5" s="40"/>
      <c r="CL5" s="40"/>
      <c r="CM5" s="40"/>
      <c r="CN5" s="40"/>
      <c r="CO5" s="40"/>
      <c r="CP5" s="40"/>
      <c r="CQ5" s="41"/>
      <c r="CR5" s="40"/>
      <c r="CS5" s="40" t="str">
        <f>TESTYEAR</f>
        <v>FOR THE TWELVE MONTHS ENDED JUNE 30, 2012</v>
      </c>
      <c r="CT5" s="41"/>
      <c r="CU5" s="41"/>
      <c r="CV5" s="41"/>
      <c r="CW5" s="41"/>
    </row>
    <row r="6" spans="1:108" s="52" customFormat="1" ht="15" customHeight="1">
      <c r="A6" s="44" t="s">
        <v>37</v>
      </c>
      <c r="B6" s="44"/>
      <c r="C6" s="43"/>
      <c r="D6" s="44"/>
      <c r="E6" s="45"/>
      <c r="F6" s="55"/>
      <c r="G6" s="44" t="str">
        <f>A6</f>
        <v>FOR THE TWELVE MONTHS ENDED JUNE 30, 2012</v>
      </c>
      <c r="H6" s="44"/>
      <c r="I6" s="43"/>
      <c r="J6" s="44"/>
      <c r="K6" s="45"/>
      <c r="L6" s="40" t="str">
        <f>TESTYEAR</f>
        <v>FOR THE TWELVE MONTHS ENDED JUNE 30, 2012</v>
      </c>
      <c r="M6" s="40"/>
      <c r="N6" s="40"/>
      <c r="O6" s="40"/>
      <c r="P6" s="46"/>
      <c r="Q6" s="40" t="str">
        <f>TESTYEAR</f>
        <v>FOR THE TWELVE MONTHS ENDED JUNE 30, 2012</v>
      </c>
      <c r="R6" s="40"/>
      <c r="S6" s="40"/>
      <c r="T6" s="56"/>
      <c r="U6" s="40" t="str">
        <f>TESTYEAR</f>
        <v>FOR THE TWELVE MONTHS ENDED JUNE 30, 2012</v>
      </c>
      <c r="V6" s="40"/>
      <c r="W6" s="56"/>
      <c r="X6" s="47"/>
      <c r="Y6" s="40" t="str">
        <f>TESTYEAR</f>
        <v>FOR THE TWELVE MONTHS ENDED JUNE 30, 2012</v>
      </c>
      <c r="Z6" s="47"/>
      <c r="AA6" s="47"/>
      <c r="AB6" s="47"/>
      <c r="AC6" s="47"/>
      <c r="AD6" s="41" t="str">
        <f>TESTYEAR</f>
        <v>FOR THE TWELVE MONTHS ENDED JUNE 30, 2012</v>
      </c>
      <c r="AE6" s="40"/>
      <c r="AF6" s="40"/>
      <c r="AG6" s="40"/>
      <c r="AH6" s="40"/>
      <c r="AI6" s="40"/>
      <c r="AJ6" s="40"/>
      <c r="AK6" s="40" t="str">
        <f>TESTYEAR</f>
        <v>FOR THE TWELVE MONTHS ENDED JUNE 30, 2012</v>
      </c>
      <c r="AL6" s="56"/>
      <c r="AM6" s="56"/>
      <c r="AN6" s="56"/>
      <c r="AO6" s="54" t="str">
        <f>TESTYEAR</f>
        <v>FOR THE TWELVE MONTHS ENDED JUNE 30, 2012</v>
      </c>
      <c r="AP6" s="48"/>
      <c r="AQ6" s="48"/>
      <c r="AR6" s="48"/>
      <c r="AS6" s="40" t="str">
        <f>TESTYEAR</f>
        <v>FOR THE TWELVE MONTHS ENDED JUNE 30, 2012</v>
      </c>
      <c r="AT6" s="40"/>
      <c r="AU6" s="49"/>
      <c r="AV6" s="40"/>
      <c r="AW6" s="56"/>
      <c r="AX6" s="40" t="str">
        <f>TESTYEAR</f>
        <v>FOR THE TWELVE MONTHS ENDED JUNE 30, 2012</v>
      </c>
      <c r="AY6" s="40"/>
      <c r="AZ6" s="40"/>
      <c r="BA6" s="40"/>
      <c r="BB6" s="56"/>
      <c r="BC6" s="40" t="str">
        <f>TESTYEAR</f>
        <v>FOR THE TWELVE MONTHS ENDED JUNE 30, 2012</v>
      </c>
      <c r="BD6" s="56"/>
      <c r="BE6" s="56"/>
      <c r="BF6" s="56"/>
      <c r="BG6" s="56"/>
      <c r="BH6" s="40" t="str">
        <f>TESTYEAR</f>
        <v>FOR THE TWELVE MONTHS ENDED JUNE 30, 2012</v>
      </c>
      <c r="BI6" s="56"/>
      <c r="BJ6" s="56"/>
      <c r="BK6" s="56"/>
      <c r="BL6" s="56"/>
      <c r="BM6" s="40" t="str">
        <f>TESTYEAR</f>
        <v>FOR THE TWELVE MONTHS ENDED JUNE 30, 2012</v>
      </c>
      <c r="BN6" s="40"/>
      <c r="BO6" s="40"/>
      <c r="BP6" s="40"/>
      <c r="BQ6" s="56"/>
      <c r="BR6" s="40" t="str">
        <f>TESTYEAR</f>
        <v>FOR THE TWELVE MONTHS ENDED JUNE 30, 2012</v>
      </c>
      <c r="BS6" s="40"/>
      <c r="BT6" s="40"/>
      <c r="BU6" s="40"/>
      <c r="BV6" s="40"/>
      <c r="BW6" s="40"/>
      <c r="BX6" s="41" t="str">
        <f>DOCKET</f>
        <v>COMMISSION BASIS REPORT</v>
      </c>
      <c r="BY6" s="40"/>
      <c r="BZ6" s="40"/>
      <c r="CA6" s="40"/>
      <c r="CB6" s="40"/>
      <c r="CC6" s="40"/>
      <c r="CD6" s="40"/>
      <c r="CE6" s="40"/>
      <c r="CF6" s="40"/>
      <c r="CG6" s="40"/>
      <c r="CH6" s="40" t="str">
        <f>DOCKET</f>
        <v>COMMISSION BASIS REPORT</v>
      </c>
      <c r="CI6" s="40"/>
      <c r="CJ6" s="41"/>
      <c r="CK6" s="40"/>
      <c r="CL6" s="40"/>
      <c r="CM6" s="40"/>
      <c r="CN6" s="40"/>
      <c r="CO6" s="40"/>
      <c r="CP6" s="40"/>
      <c r="CQ6" s="50"/>
      <c r="CR6" s="40"/>
      <c r="CS6" s="40" t="str">
        <f>DOCKET</f>
        <v>COMMISSION BASIS REPORT</v>
      </c>
      <c r="CT6" s="40"/>
      <c r="CU6" s="40"/>
      <c r="CV6" s="40"/>
      <c r="CW6" s="40"/>
    </row>
    <row r="7" spans="1:108" s="33" customFormat="1" ht="15" customHeight="1">
      <c r="A7" s="43" t="s">
        <v>38</v>
      </c>
      <c r="B7" s="44"/>
      <c r="C7" s="43"/>
      <c r="D7" s="43"/>
      <c r="E7" s="45"/>
      <c r="F7" s="56"/>
      <c r="G7" s="43" t="s">
        <v>38</v>
      </c>
      <c r="H7" s="44"/>
      <c r="I7" s="43"/>
      <c r="J7" s="43"/>
      <c r="K7" s="45"/>
      <c r="L7" s="40" t="str">
        <f>DOCKET</f>
        <v>COMMISSION BASIS REPORT</v>
      </c>
      <c r="M7" s="41"/>
      <c r="N7" s="40"/>
      <c r="O7" s="41"/>
      <c r="P7" s="46"/>
      <c r="Q7" s="41" t="str">
        <f>DOCKET</f>
        <v>COMMISSION BASIS REPORT</v>
      </c>
      <c r="R7" s="40"/>
      <c r="S7" s="40"/>
      <c r="T7" s="56"/>
      <c r="U7" s="41" t="str">
        <f>DOCKET</f>
        <v>COMMISSION BASIS REPORT</v>
      </c>
      <c r="V7" s="41"/>
      <c r="W7" s="40"/>
      <c r="X7" s="47"/>
      <c r="Y7" s="41" t="str">
        <f>DOCKET</f>
        <v>COMMISSION BASIS REPORT</v>
      </c>
      <c r="Z7" s="47"/>
      <c r="AA7" s="47"/>
      <c r="AB7" s="47"/>
      <c r="AC7" s="47"/>
      <c r="AD7" s="41" t="str">
        <f>DOCKET</f>
        <v>COMMISSION BASIS REPORT</v>
      </c>
      <c r="AE7" s="40"/>
      <c r="AF7" s="40"/>
      <c r="AG7" s="40"/>
      <c r="AH7" s="40"/>
      <c r="AI7" s="40"/>
      <c r="AJ7" s="40"/>
      <c r="AK7" s="41" t="str">
        <f>DOCKET</f>
        <v>COMMISSION BASIS REPORT</v>
      </c>
      <c r="AL7" s="40"/>
      <c r="AM7" s="40"/>
      <c r="AN7" s="40"/>
      <c r="AO7" s="54" t="str">
        <f>DOCKET</f>
        <v>COMMISSION BASIS REPORT</v>
      </c>
      <c r="AP7" s="48"/>
      <c r="AQ7" s="48"/>
      <c r="AR7" s="48"/>
      <c r="AS7" s="40" t="str">
        <f>DOCKET</f>
        <v>COMMISSION BASIS REPORT</v>
      </c>
      <c r="AT7" s="40"/>
      <c r="AU7" s="49"/>
      <c r="AV7" s="40"/>
      <c r="AW7" s="40"/>
      <c r="AX7" s="41" t="str">
        <f>DOCKET</f>
        <v>COMMISSION BASIS REPORT</v>
      </c>
      <c r="AY7" s="40"/>
      <c r="AZ7" s="40"/>
      <c r="BA7" s="41"/>
      <c r="BB7" s="56"/>
      <c r="BC7" s="41" t="str">
        <f>DOCKET</f>
        <v>COMMISSION BASIS REPORT</v>
      </c>
      <c r="BD7" s="56"/>
      <c r="BE7" s="56"/>
      <c r="BF7" s="56"/>
      <c r="BG7" s="56"/>
      <c r="BH7" s="41" t="str">
        <f>DOCKET</f>
        <v>COMMISSION BASIS REPORT</v>
      </c>
      <c r="BI7" s="56"/>
      <c r="BJ7" s="56"/>
      <c r="BK7" s="56"/>
      <c r="BL7" s="56"/>
      <c r="BM7" s="41" t="str">
        <f>DOCKET</f>
        <v>COMMISSION BASIS REPORT</v>
      </c>
      <c r="BN7" s="40"/>
      <c r="BO7" s="40"/>
      <c r="BP7" s="41"/>
      <c r="BQ7" s="56"/>
      <c r="BR7" s="41" t="str">
        <f>DOCKET</f>
        <v>COMMISSION BASIS REPORT</v>
      </c>
      <c r="BS7" s="40"/>
      <c r="BT7" s="40"/>
      <c r="BU7" s="40"/>
      <c r="BV7" s="40"/>
      <c r="BW7" s="40"/>
      <c r="BX7" s="57"/>
      <c r="BY7" s="40"/>
      <c r="BZ7" s="40"/>
      <c r="CA7" s="40"/>
      <c r="CB7" s="40"/>
      <c r="CC7" s="40"/>
      <c r="CD7" s="41"/>
      <c r="CE7" s="41"/>
      <c r="CF7" s="41"/>
      <c r="CG7" s="41"/>
      <c r="CH7" s="41"/>
      <c r="CI7" s="41"/>
      <c r="CJ7" s="40"/>
      <c r="CK7" s="40"/>
      <c r="CL7" s="40"/>
      <c r="CM7" s="40"/>
      <c r="CN7" s="40"/>
      <c r="CO7" s="40"/>
      <c r="CP7" s="40"/>
      <c r="CQ7" s="58"/>
      <c r="CR7" s="59"/>
      <c r="CT7" s="40"/>
      <c r="CU7" s="40"/>
      <c r="CV7" s="40"/>
      <c r="CW7" s="40"/>
      <c r="CY7" s="60"/>
      <c r="CZ7" s="60"/>
      <c r="DA7" s="60"/>
      <c r="DB7" s="61" t="s">
        <v>39</v>
      </c>
      <c r="DC7" s="61" t="s">
        <v>39</v>
      </c>
      <c r="DD7" s="61" t="s">
        <v>39</v>
      </c>
    </row>
    <row r="8" spans="1:108" s="33" customFormat="1" ht="15" customHeight="1">
      <c r="A8" s="29"/>
      <c r="B8" s="29"/>
      <c r="C8" s="29"/>
      <c r="D8" s="29"/>
      <c r="E8" s="62"/>
      <c r="F8" s="62"/>
      <c r="G8" s="62"/>
      <c r="H8" s="63"/>
      <c r="I8" s="63"/>
      <c r="J8" s="63"/>
      <c r="K8" s="63"/>
      <c r="M8" s="64"/>
      <c r="N8" s="64"/>
      <c r="O8" s="64"/>
      <c r="P8" s="65"/>
      <c r="R8" s="64"/>
      <c r="S8" s="66"/>
      <c r="T8" s="66"/>
      <c r="U8" s="67"/>
      <c r="AF8" s="63"/>
      <c r="AG8" s="63"/>
      <c r="AH8" s="63" t="s">
        <v>40</v>
      </c>
      <c r="AI8" s="63"/>
      <c r="AJ8" s="63" t="s">
        <v>41</v>
      </c>
      <c r="AO8" s="37"/>
      <c r="AP8" s="37"/>
      <c r="AQ8" s="37"/>
      <c r="AR8" s="37"/>
      <c r="AS8" s="68"/>
      <c r="AU8" s="38"/>
      <c r="AX8" s="39"/>
      <c r="AY8" s="69"/>
      <c r="AZ8" s="6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69"/>
      <c r="BO8" s="69"/>
      <c r="BP8" s="39"/>
      <c r="BQ8" s="39"/>
      <c r="BZ8" s="70" t="s">
        <v>42</v>
      </c>
      <c r="CA8" s="70"/>
      <c r="CB8" s="70"/>
      <c r="CC8" s="70"/>
      <c r="CD8" s="70"/>
      <c r="CE8" s="70"/>
      <c r="CF8" s="70"/>
      <c r="CG8" s="70"/>
      <c r="CH8" s="70" t="s">
        <v>42</v>
      </c>
      <c r="CI8" s="71"/>
      <c r="CJ8" s="70"/>
      <c r="CK8" s="70"/>
      <c r="CL8" s="70"/>
      <c r="CM8" s="70"/>
      <c r="CN8" s="70"/>
      <c r="CO8" s="70"/>
      <c r="CP8" s="70"/>
      <c r="CQ8" s="70"/>
      <c r="CR8" s="70"/>
      <c r="CY8" s="60"/>
      <c r="CZ8" s="60"/>
      <c r="DA8" s="60"/>
      <c r="DB8" s="60"/>
      <c r="DC8" s="60"/>
      <c r="DD8" s="60"/>
    </row>
    <row r="9" spans="1:108" s="33" customFormat="1" ht="15" customHeight="1">
      <c r="A9" s="62" t="s">
        <v>43</v>
      </c>
      <c r="B9" s="31"/>
      <c r="C9" s="29"/>
      <c r="D9" s="29"/>
      <c r="E9" s="62"/>
      <c r="F9" s="62"/>
      <c r="G9" s="62" t="s">
        <v>43</v>
      </c>
      <c r="H9" s="63"/>
      <c r="I9" s="63"/>
      <c r="J9" s="63"/>
      <c r="K9" s="63"/>
      <c r="L9" s="72" t="s">
        <v>43</v>
      </c>
      <c r="P9" s="65"/>
      <c r="Q9" s="72" t="s">
        <v>43</v>
      </c>
      <c r="T9" s="73" t="s">
        <v>3</v>
      </c>
      <c r="U9" s="73" t="s">
        <v>43</v>
      </c>
      <c r="W9" s="67"/>
      <c r="X9" s="74"/>
      <c r="Y9" s="73" t="s">
        <v>43</v>
      </c>
      <c r="AC9" s="52"/>
      <c r="AD9" s="72" t="s">
        <v>43</v>
      </c>
      <c r="AE9" s="64"/>
      <c r="AF9" s="63" t="s">
        <v>44</v>
      </c>
      <c r="AG9" s="63" t="s">
        <v>45</v>
      </c>
      <c r="AH9" s="63" t="s">
        <v>46</v>
      </c>
      <c r="AI9" s="63" t="s">
        <v>44</v>
      </c>
      <c r="AJ9" s="63" t="s">
        <v>47</v>
      </c>
      <c r="AK9" s="72" t="s">
        <v>43</v>
      </c>
      <c r="AO9" s="62" t="s">
        <v>43</v>
      </c>
      <c r="AP9" s="75"/>
      <c r="AQ9" s="75"/>
      <c r="AR9" s="37"/>
      <c r="AS9" s="68" t="s">
        <v>48</v>
      </c>
      <c r="AU9" s="38"/>
      <c r="AV9" s="72"/>
      <c r="AW9" s="72"/>
      <c r="AX9" s="73" t="s">
        <v>43</v>
      </c>
      <c r="AY9" s="39"/>
      <c r="AZ9" s="39"/>
      <c r="BA9" s="39"/>
      <c r="BB9" s="39"/>
      <c r="BC9" s="72" t="s">
        <v>43</v>
      </c>
      <c r="BE9" s="72"/>
      <c r="BF9" s="72"/>
      <c r="BG9" s="72"/>
      <c r="BH9" s="72" t="s">
        <v>43</v>
      </c>
      <c r="BI9" s="72"/>
      <c r="BJ9" s="72"/>
      <c r="BK9" s="72"/>
      <c r="BL9" s="72"/>
      <c r="BM9" s="72" t="s">
        <v>43</v>
      </c>
      <c r="BO9" s="76"/>
      <c r="BP9" s="72"/>
      <c r="BQ9" s="72"/>
      <c r="BR9" s="73" t="s">
        <v>43</v>
      </c>
      <c r="BZ9" s="73" t="s">
        <v>49</v>
      </c>
      <c r="CA9" s="66" t="s">
        <v>50</v>
      </c>
      <c r="CB9" s="66" t="s">
        <v>51</v>
      </c>
      <c r="CC9" s="66" t="s">
        <v>52</v>
      </c>
      <c r="CD9" s="66" t="s">
        <v>53</v>
      </c>
      <c r="CE9" s="73" t="s">
        <v>54</v>
      </c>
      <c r="CF9" s="73" t="s">
        <v>55</v>
      </c>
      <c r="CG9" s="66" t="s">
        <v>56</v>
      </c>
      <c r="CH9" s="66"/>
      <c r="CI9" s="66"/>
      <c r="CJ9" s="73" t="s">
        <v>57</v>
      </c>
      <c r="CK9" s="63" t="s">
        <v>58</v>
      </c>
      <c r="CL9" s="73" t="s">
        <v>59</v>
      </c>
      <c r="CM9" s="73" t="s">
        <v>60</v>
      </c>
      <c r="CN9" s="73" t="s">
        <v>61</v>
      </c>
      <c r="CO9" s="73" t="s">
        <v>62</v>
      </c>
      <c r="CP9" s="73" t="s">
        <v>63</v>
      </c>
      <c r="CQ9" s="73" t="s">
        <v>64</v>
      </c>
      <c r="CR9" s="73" t="s">
        <v>65</v>
      </c>
      <c r="CU9" s="73" t="s">
        <v>66</v>
      </c>
      <c r="CV9" s="73"/>
      <c r="CW9" s="73" t="s">
        <v>67</v>
      </c>
      <c r="CY9" s="77" t="s">
        <v>66</v>
      </c>
      <c r="CZ9" s="77"/>
      <c r="DA9" s="77" t="s">
        <v>67</v>
      </c>
      <c r="DB9" s="77" t="s">
        <v>66</v>
      </c>
      <c r="DC9" s="77"/>
      <c r="DD9" s="77" t="s">
        <v>67</v>
      </c>
    </row>
    <row r="10" spans="1:108" s="33" customFormat="1" ht="15" customHeight="1">
      <c r="A10" s="78" t="s">
        <v>68</v>
      </c>
      <c r="B10" s="79" t="s">
        <v>69</v>
      </c>
      <c r="C10" s="80" t="s">
        <v>66</v>
      </c>
      <c r="D10" s="80" t="s">
        <v>67</v>
      </c>
      <c r="E10" s="80" t="s">
        <v>70</v>
      </c>
      <c r="F10" s="80"/>
      <c r="G10" s="78" t="s">
        <v>68</v>
      </c>
      <c r="H10" s="81" t="s">
        <v>69</v>
      </c>
      <c r="I10" s="81"/>
      <c r="J10" s="82" t="s">
        <v>70</v>
      </c>
      <c r="K10" s="82"/>
      <c r="L10" s="80" t="s">
        <v>68</v>
      </c>
      <c r="M10" s="83" t="s">
        <v>69</v>
      </c>
      <c r="N10" s="84"/>
      <c r="O10" s="84"/>
      <c r="P10" s="85" t="s">
        <v>71</v>
      </c>
      <c r="Q10" s="80" t="s">
        <v>68</v>
      </c>
      <c r="R10" s="83" t="s">
        <v>69</v>
      </c>
      <c r="S10" s="86"/>
      <c r="T10" s="86" t="s">
        <v>71</v>
      </c>
      <c r="U10" s="86" t="s">
        <v>68</v>
      </c>
      <c r="V10" s="87" t="s">
        <v>69</v>
      </c>
      <c r="W10" s="86"/>
      <c r="X10" s="88" t="s">
        <v>70</v>
      </c>
      <c r="Y10" s="86" t="s">
        <v>68</v>
      </c>
      <c r="Z10" s="87" t="s">
        <v>69</v>
      </c>
      <c r="AA10" s="83"/>
      <c r="AB10" s="89"/>
      <c r="AC10" s="86" t="s">
        <v>71</v>
      </c>
      <c r="AD10" s="80" t="s">
        <v>68</v>
      </c>
      <c r="AE10" s="90" t="s">
        <v>72</v>
      </c>
      <c r="AF10" s="90" t="s">
        <v>47</v>
      </c>
      <c r="AG10" s="90" t="s">
        <v>73</v>
      </c>
      <c r="AH10" s="90" t="s">
        <v>51</v>
      </c>
      <c r="AI10" s="90" t="s">
        <v>73</v>
      </c>
      <c r="AJ10" s="90" t="s">
        <v>74</v>
      </c>
      <c r="AK10" s="86" t="s">
        <v>68</v>
      </c>
      <c r="AL10" s="87" t="s">
        <v>69</v>
      </c>
      <c r="AM10" s="87"/>
      <c r="AN10" s="80" t="s">
        <v>71</v>
      </c>
      <c r="AO10" s="78" t="s">
        <v>68</v>
      </c>
      <c r="AP10" s="79" t="s">
        <v>69</v>
      </c>
      <c r="AQ10" s="90"/>
      <c r="AR10" s="91" t="s">
        <v>71</v>
      </c>
      <c r="AS10" s="92" t="s">
        <v>68</v>
      </c>
      <c r="AT10" s="83" t="s">
        <v>69</v>
      </c>
      <c r="AU10" s="93" t="s">
        <v>66</v>
      </c>
      <c r="AV10" s="80" t="s">
        <v>75</v>
      </c>
      <c r="AW10" s="80" t="s">
        <v>70</v>
      </c>
      <c r="AX10" s="86" t="s">
        <v>68</v>
      </c>
      <c r="AY10" s="87" t="s">
        <v>69</v>
      </c>
      <c r="AZ10" s="86" t="s">
        <v>76</v>
      </c>
      <c r="BA10" s="86" t="s">
        <v>67</v>
      </c>
      <c r="BB10" s="94" t="s">
        <v>70</v>
      </c>
      <c r="BC10" s="86" t="s">
        <v>68</v>
      </c>
      <c r="BD10" s="84" t="s">
        <v>69</v>
      </c>
      <c r="BE10" s="80" t="s">
        <v>66</v>
      </c>
      <c r="BF10" s="80" t="s">
        <v>67</v>
      </c>
      <c r="BG10" s="80" t="s">
        <v>70</v>
      </c>
      <c r="BH10" s="86" t="s">
        <v>68</v>
      </c>
      <c r="BI10" s="95" t="s">
        <v>69</v>
      </c>
      <c r="BJ10" s="93" t="s">
        <v>66</v>
      </c>
      <c r="BK10" s="96" t="s">
        <v>67</v>
      </c>
      <c r="BL10" s="80" t="s">
        <v>70</v>
      </c>
      <c r="BM10" s="86" t="s">
        <v>68</v>
      </c>
      <c r="BN10" s="84" t="s">
        <v>69</v>
      </c>
      <c r="BO10" s="93" t="s">
        <v>66</v>
      </c>
      <c r="BP10" s="96" t="s">
        <v>67</v>
      </c>
      <c r="BQ10" s="80" t="s">
        <v>70</v>
      </c>
      <c r="BR10" s="86" t="s">
        <v>68</v>
      </c>
      <c r="BS10" s="83" t="s">
        <v>69</v>
      </c>
      <c r="BT10" s="86" t="s">
        <v>77</v>
      </c>
      <c r="BU10" s="86" t="s">
        <v>78</v>
      </c>
      <c r="BV10" s="86" t="s">
        <v>71</v>
      </c>
      <c r="BW10" s="66"/>
      <c r="BX10" s="73" t="s">
        <v>43</v>
      </c>
      <c r="BY10" s="97"/>
      <c r="BZ10" s="73" t="s">
        <v>79</v>
      </c>
      <c r="CA10" s="66" t="s">
        <v>80</v>
      </c>
      <c r="CB10" s="66" t="s">
        <v>81</v>
      </c>
      <c r="CC10" s="66" t="s">
        <v>82</v>
      </c>
      <c r="CD10" s="66" t="s">
        <v>83</v>
      </c>
      <c r="CE10" s="73" t="s">
        <v>84</v>
      </c>
      <c r="CF10" s="73" t="s">
        <v>85</v>
      </c>
      <c r="CG10" s="66" t="s">
        <v>86</v>
      </c>
      <c r="CH10" s="73" t="s">
        <v>43</v>
      </c>
      <c r="CJ10" s="73" t="s">
        <v>87</v>
      </c>
      <c r="CK10" s="98" t="s">
        <v>88</v>
      </c>
      <c r="CL10" s="73" t="s">
        <v>89</v>
      </c>
      <c r="CM10" s="73" t="s">
        <v>90</v>
      </c>
      <c r="CN10" s="73" t="s">
        <v>91</v>
      </c>
      <c r="CO10" s="73" t="s">
        <v>92</v>
      </c>
      <c r="CP10" s="73" t="s">
        <v>93</v>
      </c>
      <c r="CQ10" s="66" t="s">
        <v>94</v>
      </c>
      <c r="CR10" s="73" t="s">
        <v>95</v>
      </c>
      <c r="CS10" s="73" t="s">
        <v>43</v>
      </c>
      <c r="CU10" s="73" t="s">
        <v>95</v>
      </c>
      <c r="CV10" s="73" t="s">
        <v>64</v>
      </c>
      <c r="CW10" s="73" t="s">
        <v>95</v>
      </c>
      <c r="CY10" s="77" t="s">
        <v>95</v>
      </c>
      <c r="CZ10" s="77" t="s">
        <v>64</v>
      </c>
      <c r="DA10" s="77" t="s">
        <v>95</v>
      </c>
      <c r="DB10" s="77" t="s">
        <v>95</v>
      </c>
      <c r="DC10" s="77" t="s">
        <v>64</v>
      </c>
      <c r="DD10" s="77" t="s">
        <v>95</v>
      </c>
    </row>
    <row r="11" spans="1:108" ht="15" customHeight="1">
      <c r="A11" s="22"/>
      <c r="B11" s="99"/>
      <c r="C11" s="99"/>
      <c r="D11" s="100"/>
      <c r="E11" s="2"/>
      <c r="F11" s="2"/>
      <c r="G11" s="2"/>
      <c r="H11" s="101"/>
      <c r="I11" s="101"/>
      <c r="J11" s="102"/>
      <c r="K11" s="102"/>
      <c r="P11" s="103"/>
      <c r="Q11" s="18"/>
      <c r="R11" s="104"/>
      <c r="S11" s="105"/>
      <c r="T11" s="106"/>
      <c r="U11" s="18"/>
      <c r="V11" s="107"/>
      <c r="W11" s="108"/>
      <c r="X11" s="109"/>
      <c r="Y11" s="109"/>
      <c r="Z11" s="109"/>
      <c r="AA11" s="109"/>
      <c r="AB11" s="109"/>
      <c r="AC11" s="109"/>
      <c r="AF11" s="110" t="s">
        <v>96</v>
      </c>
      <c r="AG11" s="111" t="s">
        <v>97</v>
      </c>
      <c r="AH11" s="111" t="s">
        <v>97</v>
      </c>
      <c r="AI11" s="111" t="s">
        <v>97</v>
      </c>
      <c r="AN11" s="7"/>
      <c r="AS11" s="112"/>
      <c r="AT11" s="113"/>
      <c r="AU11" s="12"/>
      <c r="AX11" s="114"/>
      <c r="AY11" s="114"/>
      <c r="AZ11" s="114"/>
      <c r="BA11" s="114"/>
      <c r="BB11" s="114"/>
      <c r="BC11" s="7"/>
      <c r="BD11" s="115"/>
      <c r="BE11" s="115"/>
      <c r="BF11" s="115"/>
      <c r="BG11" s="115"/>
      <c r="BH11" s="7"/>
      <c r="BI11" s="115"/>
      <c r="BJ11" s="115"/>
      <c r="BK11" s="115"/>
      <c r="BL11" s="115"/>
      <c r="BM11" s="7"/>
      <c r="BN11" s="7"/>
      <c r="BO11" s="7"/>
      <c r="BP11" s="7"/>
      <c r="BQ11" s="7"/>
      <c r="BX11" s="73" t="s">
        <v>68</v>
      </c>
      <c r="BY11" s="116"/>
      <c r="BZ11" s="73" t="s">
        <v>98</v>
      </c>
      <c r="CA11" s="117">
        <v>6.01</v>
      </c>
      <c r="CB11" s="117">
        <f t="shared" ref="CB11:CF11" si="0">CA11+0.01</f>
        <v>6.02</v>
      </c>
      <c r="CC11" s="117">
        <f t="shared" si="0"/>
        <v>6.0299999999999994</v>
      </c>
      <c r="CD11" s="117">
        <f t="shared" si="0"/>
        <v>6.0399999999999991</v>
      </c>
      <c r="CE11" s="117">
        <f t="shared" si="0"/>
        <v>6.0499999999999989</v>
      </c>
      <c r="CF11" s="117">
        <f t="shared" si="0"/>
        <v>6.0599999999999987</v>
      </c>
      <c r="CG11" s="117">
        <f>CF11+0.01</f>
        <v>6.0699999999999985</v>
      </c>
      <c r="CH11" s="73" t="s">
        <v>68</v>
      </c>
      <c r="CI11" s="33"/>
      <c r="CJ11" s="117">
        <f>CG11+0.01</f>
        <v>6.0799999999999983</v>
      </c>
      <c r="CK11" s="117">
        <f t="shared" ref="CK11:CP11" si="1">CJ11+0.01</f>
        <v>6.0899999999999981</v>
      </c>
      <c r="CL11" s="117">
        <f t="shared" si="1"/>
        <v>6.0999999999999979</v>
      </c>
      <c r="CM11" s="117">
        <f t="shared" si="1"/>
        <v>6.1099999999999977</v>
      </c>
      <c r="CN11" s="117">
        <f t="shared" si="1"/>
        <v>6.1199999999999974</v>
      </c>
      <c r="CO11" s="117">
        <f t="shared" si="1"/>
        <v>6.1299999999999972</v>
      </c>
      <c r="CP11" s="117">
        <f t="shared" si="1"/>
        <v>6.139999999999997</v>
      </c>
      <c r="CQ11" s="66"/>
      <c r="CR11" s="66" t="s">
        <v>79</v>
      </c>
      <c r="CS11" s="86" t="s">
        <v>68</v>
      </c>
      <c r="CT11" s="118"/>
      <c r="CU11" s="86" t="s">
        <v>79</v>
      </c>
      <c r="CV11" s="86" t="s">
        <v>94</v>
      </c>
      <c r="CW11" s="86" t="s">
        <v>79</v>
      </c>
      <c r="CY11" s="119" t="s">
        <v>79</v>
      </c>
      <c r="CZ11" s="119" t="s">
        <v>94</v>
      </c>
      <c r="DA11" s="119" t="s">
        <v>79</v>
      </c>
      <c r="DB11" s="119" t="s">
        <v>79</v>
      </c>
      <c r="DC11" s="119" t="s">
        <v>94</v>
      </c>
      <c r="DD11" s="119" t="s">
        <v>79</v>
      </c>
    </row>
    <row r="12" spans="1:108" ht="15" customHeight="1">
      <c r="A12" s="18">
        <v>1</v>
      </c>
      <c r="B12" s="120" t="s">
        <v>99</v>
      </c>
      <c r="C12" s="121"/>
      <c r="D12" s="121"/>
      <c r="E12" s="11"/>
      <c r="F12" s="2"/>
      <c r="G12" s="112">
        <v>1</v>
      </c>
      <c r="H12" s="11" t="s">
        <v>100</v>
      </c>
      <c r="I12" s="11"/>
      <c r="J12" s="11"/>
      <c r="K12" s="11"/>
      <c r="L12" s="18">
        <v>1</v>
      </c>
      <c r="M12" s="122" t="s">
        <v>101</v>
      </c>
      <c r="N12" s="122"/>
      <c r="O12" s="122"/>
      <c r="P12" s="123">
        <v>131848343.48317702</v>
      </c>
      <c r="Q12" s="18">
        <v>1</v>
      </c>
      <c r="R12" s="104" t="s">
        <v>102</v>
      </c>
      <c r="S12" s="124">
        <f>CW57</f>
        <v>1592297567.4962132</v>
      </c>
      <c r="T12" s="125"/>
      <c r="U12" s="18">
        <v>1</v>
      </c>
      <c r="V12" s="126" t="s">
        <v>103</v>
      </c>
      <c r="X12" s="26"/>
      <c r="Y12" s="18">
        <v>1</v>
      </c>
      <c r="Z12" s="39" t="s">
        <v>104</v>
      </c>
      <c r="AA12" s="127"/>
      <c r="AB12" s="128"/>
      <c r="AC12" s="129"/>
      <c r="AD12" s="130" t="s">
        <v>105</v>
      </c>
      <c r="AE12" s="131" t="s">
        <v>106</v>
      </c>
      <c r="AF12" s="132">
        <v>3795862.6100000003</v>
      </c>
      <c r="AG12" s="133">
        <v>1176566925</v>
      </c>
      <c r="AH12" s="133">
        <v>17321699</v>
      </c>
      <c r="AI12" s="133">
        <f>AG12-AH12</f>
        <v>1159245226</v>
      </c>
      <c r="AJ12" s="134">
        <f>ROUND(AF12/AI12,6)</f>
        <v>3.274E-3</v>
      </c>
      <c r="AK12" s="18">
        <v>1</v>
      </c>
      <c r="AL12" s="135" t="s">
        <v>107</v>
      </c>
      <c r="AM12" s="136"/>
      <c r="AN12" s="137"/>
      <c r="AO12" s="18">
        <v>1</v>
      </c>
      <c r="AP12" s="120" t="s">
        <v>108</v>
      </c>
      <c r="AQ12" s="120"/>
      <c r="AR12" s="138"/>
      <c r="AS12" s="112">
        <v>1</v>
      </c>
      <c r="AT12" s="121" t="s">
        <v>109</v>
      </c>
      <c r="AU12" s="139">
        <v>1980501.9673875351</v>
      </c>
      <c r="AV12" s="139">
        <v>3473977.011757127</v>
      </c>
      <c r="AW12" s="140">
        <f>AV12-AU12</f>
        <v>1493475.0443695919</v>
      </c>
      <c r="AX12" s="18">
        <v>1</v>
      </c>
      <c r="AY12" s="114" t="s">
        <v>110</v>
      </c>
      <c r="AZ12" s="141"/>
      <c r="BA12" s="141"/>
      <c r="BB12" s="141">
        <f>+BA12-AZ12</f>
        <v>0</v>
      </c>
      <c r="BC12" s="18">
        <v>1</v>
      </c>
      <c r="BD12" s="140" t="s">
        <v>111</v>
      </c>
      <c r="BE12" s="142"/>
      <c r="BF12" s="142"/>
      <c r="BG12" s="143"/>
      <c r="BH12" s="18">
        <v>1</v>
      </c>
      <c r="BI12" s="144" t="s">
        <v>112</v>
      </c>
      <c r="BJ12" s="132"/>
      <c r="BK12" s="132"/>
      <c r="BL12" s="145">
        <f>BK12-BJ12</f>
        <v>0</v>
      </c>
      <c r="BM12" s="18">
        <v>1</v>
      </c>
      <c r="BN12" s="146" t="s">
        <v>113</v>
      </c>
      <c r="BO12" s="147"/>
      <c r="BP12" s="147"/>
      <c r="BQ12" s="7"/>
      <c r="BR12" s="18">
        <v>1</v>
      </c>
      <c r="BS12" s="121" t="s">
        <v>28</v>
      </c>
      <c r="BV12" s="148">
        <f>AJ16</f>
        <v>3.7230000000000002E-3</v>
      </c>
      <c r="BW12" s="149"/>
      <c r="BX12" s="150" t="s">
        <v>114</v>
      </c>
      <c r="BY12" s="150"/>
      <c r="BZ12" s="151"/>
      <c r="CA12" s="150"/>
      <c r="CB12" s="150"/>
      <c r="CC12" s="150"/>
      <c r="CD12" s="150"/>
      <c r="CE12" s="150"/>
      <c r="CF12" s="150"/>
      <c r="CG12" s="150"/>
      <c r="CH12" s="150"/>
      <c r="CI12" s="150"/>
      <c r="CJ12" s="150"/>
      <c r="CK12" s="150"/>
      <c r="CL12" s="150"/>
      <c r="CM12" s="150"/>
      <c r="CN12" s="150"/>
      <c r="CO12" s="150"/>
      <c r="CP12" s="150"/>
      <c r="CQ12" s="150"/>
      <c r="CR12" s="150"/>
      <c r="CY12" s="152"/>
      <c r="CZ12" s="152"/>
      <c r="DA12" s="152"/>
      <c r="DB12" s="152"/>
      <c r="DC12" s="152"/>
      <c r="DD12" s="152"/>
    </row>
    <row r="13" spans="1:108">
      <c r="A13" s="18">
        <f t="shared" ref="A13:A54" si="2">+A12+1</f>
        <v>2</v>
      </c>
      <c r="B13" s="11"/>
      <c r="C13" s="153" t="s">
        <v>66</v>
      </c>
      <c r="D13" s="154" t="s">
        <v>115</v>
      </c>
      <c r="E13" s="155" t="s">
        <v>116</v>
      </c>
      <c r="F13" s="2"/>
      <c r="G13" s="112">
        <f>+G12+1</f>
        <v>2</v>
      </c>
      <c r="H13" s="156" t="s">
        <v>117</v>
      </c>
      <c r="I13" s="157"/>
      <c r="J13" s="158">
        <v>-18556923.068923313</v>
      </c>
      <c r="K13" s="11"/>
      <c r="L13" s="18">
        <f>L12+1</f>
        <v>2</v>
      </c>
      <c r="M13" s="114"/>
      <c r="N13" s="114"/>
      <c r="O13" s="114"/>
      <c r="P13" s="159"/>
      <c r="Q13" s="18">
        <f>+Q12+1</f>
        <v>2</v>
      </c>
      <c r="R13" s="104"/>
      <c r="S13" s="160"/>
      <c r="T13" s="125" t="s">
        <v>3</v>
      </c>
      <c r="U13" s="18">
        <f>+U12+1</f>
        <v>2</v>
      </c>
      <c r="V13" s="161" t="s">
        <v>118</v>
      </c>
      <c r="X13" s="140">
        <v>3858501.61</v>
      </c>
      <c r="Y13" s="18">
        <f t="shared" ref="Y13:Y24" si="3">+Y12+1</f>
        <v>2</v>
      </c>
      <c r="Z13" s="114"/>
      <c r="AA13" s="127"/>
      <c r="AB13" s="128"/>
      <c r="AC13" s="129"/>
      <c r="AD13" s="130">
        <f t="shared" ref="AD13:AD28" si="4">1+AD12</f>
        <v>2</v>
      </c>
      <c r="AE13" s="131" t="s">
        <v>119</v>
      </c>
      <c r="AF13" s="132">
        <v>4117417.1999999997</v>
      </c>
      <c r="AG13" s="133">
        <v>1087839185.1300001</v>
      </c>
      <c r="AH13" s="133">
        <v>14337567.130000001</v>
      </c>
      <c r="AI13" s="133">
        <f t="shared" ref="AI13:AI14" si="5">AG13-AH13</f>
        <v>1073501618.0000001</v>
      </c>
      <c r="AJ13" s="134">
        <f t="shared" ref="AJ13:AJ14" si="6">ROUND(AF13/AI13,6)</f>
        <v>3.836E-3</v>
      </c>
      <c r="AK13" s="18">
        <v>2</v>
      </c>
      <c r="AL13" s="162" t="s">
        <v>120</v>
      </c>
      <c r="AM13" s="162"/>
      <c r="AN13" s="163"/>
      <c r="AO13" s="18">
        <f>AO12+1</f>
        <v>2</v>
      </c>
      <c r="AP13" s="164"/>
      <c r="AQ13" s="164"/>
      <c r="AR13" s="132"/>
      <c r="AS13" s="112">
        <f t="shared" ref="AS13:AS20" si="7">AS12+1</f>
        <v>2</v>
      </c>
      <c r="AT13" s="121"/>
      <c r="AU13" s="165"/>
      <c r="AV13" s="165"/>
      <c r="AW13" s="166"/>
      <c r="AX13" s="18">
        <f t="shared" ref="AX13:AX20" si="8">AX12+1</f>
        <v>2</v>
      </c>
      <c r="AY13" s="114"/>
      <c r="AZ13" s="167"/>
      <c r="BA13" s="167"/>
      <c r="BB13" s="105"/>
      <c r="BC13" s="18">
        <f>BC12+1</f>
        <v>2</v>
      </c>
      <c r="BD13" s="140" t="s">
        <v>121</v>
      </c>
      <c r="BE13" s="168"/>
      <c r="BF13" s="168"/>
      <c r="BG13" s="169"/>
      <c r="BH13" s="18">
        <f>BH12+1</f>
        <v>2</v>
      </c>
      <c r="BI13" s="144" t="s">
        <v>122</v>
      </c>
      <c r="BJ13" s="26"/>
      <c r="BK13" s="170"/>
      <c r="BL13" s="171">
        <f>BK13-BJ13</f>
        <v>0</v>
      </c>
      <c r="BM13" s="18">
        <f>BM12+1</f>
        <v>2</v>
      </c>
      <c r="BN13" s="7" t="s">
        <v>123</v>
      </c>
      <c r="BO13" s="132">
        <v>4283751.8147460539</v>
      </c>
      <c r="BP13" s="132">
        <v>2902873.1546747983</v>
      </c>
      <c r="BQ13" s="172">
        <f>BP13-BO13</f>
        <v>-1380878.6600712556</v>
      </c>
      <c r="BR13" s="18">
        <f t="shared" ref="BR13:BR19" si="9">+BR12+1</f>
        <v>2</v>
      </c>
      <c r="BS13" s="121" t="s">
        <v>124</v>
      </c>
      <c r="BV13" s="173">
        <v>2E-3</v>
      </c>
      <c r="BW13" s="174"/>
      <c r="BX13" s="18">
        <v>1</v>
      </c>
      <c r="BY13" s="114" t="s">
        <v>125</v>
      </c>
      <c r="BZ13" s="106"/>
      <c r="CA13" s="175"/>
      <c r="CB13" s="175"/>
      <c r="CC13" s="175"/>
      <c r="CD13" s="175"/>
      <c r="CE13" s="175"/>
      <c r="CF13" s="175"/>
      <c r="CH13" s="18">
        <v>1</v>
      </c>
      <c r="CI13" s="114" t="s">
        <v>125</v>
      </c>
      <c r="CJ13" s="175"/>
      <c r="CL13" s="18"/>
      <c r="CM13" s="18"/>
      <c r="CN13" s="18"/>
      <c r="CO13" s="18"/>
      <c r="CP13" s="18"/>
      <c r="CQ13" s="102"/>
      <c r="CR13" s="102"/>
      <c r="CS13" s="18">
        <v>1</v>
      </c>
      <c r="CT13" s="113" t="s">
        <v>126</v>
      </c>
      <c r="CU13" s="175"/>
      <c r="CY13" s="176"/>
      <c r="CZ13" s="152"/>
      <c r="DA13" s="152"/>
      <c r="DB13" s="152"/>
      <c r="DC13" s="152"/>
      <c r="DD13" s="152"/>
    </row>
    <row r="14" spans="1:108">
      <c r="A14" s="18">
        <f t="shared" si="2"/>
        <v>3</v>
      </c>
      <c r="B14" s="11"/>
      <c r="C14" s="177" t="s">
        <v>116</v>
      </c>
      <c r="D14" s="178" t="s">
        <v>116</v>
      </c>
      <c r="E14" s="179" t="s">
        <v>127</v>
      </c>
      <c r="F14" s="2"/>
      <c r="G14" s="112">
        <v>2</v>
      </c>
      <c r="H14" s="180" t="s">
        <v>128</v>
      </c>
      <c r="I14" s="157"/>
      <c r="J14" s="181">
        <v>-1311748.4563245822</v>
      </c>
      <c r="K14" s="11"/>
      <c r="L14" s="18">
        <f t="shared" ref="L14:L31" si="10">L13+1</f>
        <v>3</v>
      </c>
      <c r="M14" s="114" t="s">
        <v>129</v>
      </c>
      <c r="N14" s="182"/>
      <c r="O14" s="182"/>
      <c r="P14" s="183"/>
      <c r="Q14" s="18">
        <f t="shared" ref="Q14:Q24" si="11">+Q13+1</f>
        <v>3</v>
      </c>
      <c r="R14" s="7" t="s">
        <v>130</v>
      </c>
      <c r="S14" s="184">
        <f>SUM(S12:S13)</f>
        <v>1592297567.4962132</v>
      </c>
      <c r="U14" s="18">
        <f t="shared" ref="U14:U38" si="12">+U13+1</f>
        <v>3</v>
      </c>
      <c r="V14" s="161" t="s">
        <v>131</v>
      </c>
      <c r="X14" s="26">
        <v>30746209.699999999</v>
      </c>
      <c r="Y14" s="18">
        <f t="shared" si="3"/>
        <v>3</v>
      </c>
      <c r="Z14" s="114" t="s">
        <v>132</v>
      </c>
      <c r="AA14" s="127"/>
      <c r="AB14" s="185"/>
      <c r="AC14" s="129"/>
      <c r="AD14" s="130">
        <f t="shared" si="4"/>
        <v>3</v>
      </c>
      <c r="AE14" s="131" t="s">
        <v>133</v>
      </c>
      <c r="AF14" s="132">
        <v>4671504.6099999994</v>
      </c>
      <c r="AG14" s="133">
        <v>1164738301.3</v>
      </c>
      <c r="AH14" s="133">
        <v>14103030.289999999</v>
      </c>
      <c r="AI14" s="133">
        <f t="shared" si="5"/>
        <v>1150635271.01</v>
      </c>
      <c r="AJ14" s="186">
        <f t="shared" si="6"/>
        <v>4.0600000000000002E-3</v>
      </c>
      <c r="AK14" s="18">
        <v>3</v>
      </c>
      <c r="AL14" s="187" t="s">
        <v>134</v>
      </c>
      <c r="AM14" s="187"/>
      <c r="AN14" s="188">
        <f>AN12-AN13</f>
        <v>0</v>
      </c>
      <c r="AO14" s="18">
        <f>AO13+1</f>
        <v>3</v>
      </c>
      <c r="AR14" s="189"/>
      <c r="AS14" s="112">
        <f t="shared" si="7"/>
        <v>3</v>
      </c>
      <c r="AT14" s="121"/>
      <c r="AU14" s="190"/>
      <c r="AV14" s="190"/>
      <c r="AW14" s="190"/>
      <c r="AX14" s="18">
        <f t="shared" si="8"/>
        <v>3</v>
      </c>
      <c r="AY14" s="114" t="s">
        <v>135</v>
      </c>
      <c r="AZ14" s="133">
        <f>SUM(AZ12:AZ13)</f>
        <v>0</v>
      </c>
      <c r="BA14" s="133">
        <f>SUM(BA12:BA13)</f>
        <v>0</v>
      </c>
      <c r="BB14" s="191">
        <f>SUM(BB12:BB13)</f>
        <v>0</v>
      </c>
      <c r="BC14" s="18">
        <f t="shared" ref="BC14:BC19" si="13">BC13+1</f>
        <v>3</v>
      </c>
      <c r="BD14" s="140" t="s">
        <v>136</v>
      </c>
      <c r="BE14" s="192">
        <f>SUM(BE12:BE13)</f>
        <v>0</v>
      </c>
      <c r="BF14" s="192">
        <f>SUM(BF12:BF13)</f>
        <v>0</v>
      </c>
      <c r="BG14" s="192">
        <f>SUM(BG12:BG13)</f>
        <v>0</v>
      </c>
      <c r="BH14" s="18">
        <f t="shared" ref="BH14:BH21" si="14">BH13+1</f>
        <v>3</v>
      </c>
      <c r="BI14" s="144" t="s">
        <v>137</v>
      </c>
      <c r="BJ14" s="193">
        <f>SUM(BJ12:BJ13)</f>
        <v>0</v>
      </c>
      <c r="BK14" s="193">
        <f>SUM(BK12:BK13)</f>
        <v>0</v>
      </c>
      <c r="BL14" s="194">
        <f>SUM(BL12:BL13)</f>
        <v>0</v>
      </c>
      <c r="BM14" s="18">
        <f t="shared" ref="BM14:BM21" si="15">BM13+1</f>
        <v>3</v>
      </c>
      <c r="BN14" s="26"/>
      <c r="BO14" s="7"/>
      <c r="BP14" s="7"/>
      <c r="BQ14" s="195"/>
      <c r="BR14" s="18">
        <f t="shared" si="9"/>
        <v>3</v>
      </c>
      <c r="BS14" s="121" t="s">
        <v>138</v>
      </c>
      <c r="BU14" s="196">
        <v>3.8519999999999999E-2</v>
      </c>
      <c r="BV14" s="197">
        <f>ROUND(BU14-(BU14*BV12),6)</f>
        <v>3.8377000000000001E-2</v>
      </c>
      <c r="BW14" s="174"/>
      <c r="BX14" s="18">
        <f t="shared" ref="BX14:BX57" si="16">+BX13+1</f>
        <v>2</v>
      </c>
      <c r="BY14" s="114" t="s">
        <v>139</v>
      </c>
      <c r="BZ14" s="198">
        <v>1086060277.5899999</v>
      </c>
      <c r="CA14" s="198">
        <f>+F39</f>
        <v>-28424725.768279988</v>
      </c>
      <c r="CB14" s="198">
        <f>+K18</f>
        <v>-17589509.470812134</v>
      </c>
      <c r="CC14" s="198">
        <v>0</v>
      </c>
      <c r="CD14" s="198">
        <v>0</v>
      </c>
      <c r="CE14" s="198">
        <f>-X13-X14-X15-X16</f>
        <v>-10754884.149213705</v>
      </c>
      <c r="CF14" s="198"/>
      <c r="CG14" s="198">
        <v>0</v>
      </c>
      <c r="CH14" s="18">
        <f t="shared" ref="CH14:CH57" si="17">+CH13+1</f>
        <v>2</v>
      </c>
      <c r="CI14" s="114" t="s">
        <v>139</v>
      </c>
      <c r="CJ14" s="198"/>
      <c r="CK14" s="198">
        <v>0</v>
      </c>
      <c r="CL14" s="198">
        <v>0</v>
      </c>
      <c r="CM14" s="198">
        <v>0</v>
      </c>
      <c r="CN14" s="198"/>
      <c r="CO14" s="198"/>
      <c r="CP14" s="198"/>
      <c r="CQ14" s="132">
        <f>SUM(CA14:CP14)-CH14</f>
        <v>-56769119.388305828</v>
      </c>
      <c r="CR14" s="132">
        <f>BZ14+CQ14</f>
        <v>1029291158.2016941</v>
      </c>
      <c r="CS14" s="18">
        <f t="shared" ref="CS14:CS57" si="18">+CS13+1</f>
        <v>2</v>
      </c>
      <c r="CT14" s="114" t="s">
        <v>139</v>
      </c>
      <c r="CU14" s="198">
        <f>BZ14</f>
        <v>1086060277.5899999</v>
      </c>
      <c r="CV14" s="198">
        <f>CQ14</f>
        <v>-56769119.388305828</v>
      </c>
      <c r="CW14" s="199">
        <f>CU14+CV14</f>
        <v>1029291158.2016941</v>
      </c>
      <c r="CY14" s="200">
        <v>1103913121</v>
      </c>
      <c r="CZ14" s="200">
        <v>-58108884.15879716</v>
      </c>
      <c r="DA14" s="201">
        <v>1045804236.8412029</v>
      </c>
      <c r="DB14" s="202">
        <f>+CU14-CY14</f>
        <v>-17852843.410000086</v>
      </c>
      <c r="DC14" s="202">
        <f t="shared" ref="DC14:DD17" si="19">+CV14-CZ14</f>
        <v>1339764.7704913318</v>
      </c>
      <c r="DD14" s="202">
        <f t="shared" si="19"/>
        <v>-16513078.639508724</v>
      </c>
    </row>
    <row r="15" spans="1:108" ht="15" customHeight="1" thickBot="1">
      <c r="A15" s="18">
        <f t="shared" si="2"/>
        <v>4</v>
      </c>
      <c r="B15" s="203">
        <v>40755</v>
      </c>
      <c r="C15" s="204">
        <v>44803127.077827565</v>
      </c>
      <c r="D15" s="204">
        <v>44502738.077827565</v>
      </c>
      <c r="E15" s="205">
        <f t="shared" ref="E15:E26" si="20">+D15-C15</f>
        <v>-300389</v>
      </c>
      <c r="F15" s="204"/>
      <c r="G15" s="112">
        <f>+G14+1</f>
        <v>3</v>
      </c>
      <c r="H15" s="180" t="s">
        <v>140</v>
      </c>
      <c r="I15" s="157"/>
      <c r="J15" s="181">
        <v>-834559.37556423992</v>
      </c>
      <c r="K15" s="11"/>
      <c r="L15" s="18">
        <f t="shared" si="10"/>
        <v>4</v>
      </c>
      <c r="M15" s="114" t="s">
        <v>141</v>
      </c>
      <c r="N15" s="206"/>
      <c r="O15" s="114"/>
      <c r="P15" s="207">
        <v>-6541084.5418687444</v>
      </c>
      <c r="Q15" s="18">
        <f t="shared" si="11"/>
        <v>4</v>
      </c>
      <c r="U15" s="18">
        <f t="shared" si="12"/>
        <v>4</v>
      </c>
      <c r="V15" s="161" t="s">
        <v>142</v>
      </c>
      <c r="X15" s="26">
        <v>-23923456.570786297</v>
      </c>
      <c r="Y15" s="18">
        <f t="shared" si="3"/>
        <v>4</v>
      </c>
      <c r="Z15" s="114"/>
      <c r="AA15" s="127"/>
      <c r="AB15" s="128"/>
      <c r="AC15" s="129"/>
      <c r="AD15" s="130">
        <f t="shared" si="4"/>
        <v>4</v>
      </c>
      <c r="AF15" s="132"/>
      <c r="AG15" s="133"/>
      <c r="AH15" s="133"/>
      <c r="AI15" s="133"/>
      <c r="AJ15" s="52"/>
      <c r="AK15" s="18">
        <v>4</v>
      </c>
      <c r="AO15" s="18">
        <f>AO14+1</f>
        <v>4</v>
      </c>
      <c r="AP15" s="11" t="s">
        <v>143</v>
      </c>
      <c r="AR15" s="208">
        <f>-AR12</f>
        <v>0</v>
      </c>
      <c r="AS15" s="112">
        <f t="shared" si="7"/>
        <v>4</v>
      </c>
      <c r="AT15" s="121" t="s">
        <v>144</v>
      </c>
      <c r="AU15" s="209">
        <f>SUM(AU12:AU13)</f>
        <v>1980501.9673875351</v>
      </c>
      <c r="AV15" s="209">
        <f>SUM(AV12:AV13)</f>
        <v>3473977.011757127</v>
      </c>
      <c r="AW15" s="209">
        <f>SUM(AW12:AW13)</f>
        <v>1493475.0443695919</v>
      </c>
      <c r="AX15" s="18">
        <f t="shared" si="8"/>
        <v>4</v>
      </c>
      <c r="AY15" s="114"/>
      <c r="AZ15" s="116"/>
      <c r="BA15" s="116"/>
      <c r="BB15" s="116"/>
      <c r="BC15" s="18">
        <f t="shared" si="13"/>
        <v>4</v>
      </c>
      <c r="BD15" s="210"/>
      <c r="BE15" s="211"/>
      <c r="BF15" s="211"/>
      <c r="BG15" s="212"/>
      <c r="BH15" s="18">
        <f t="shared" si="14"/>
        <v>4</v>
      </c>
      <c r="BI15" s="213"/>
      <c r="BJ15" s="144"/>
      <c r="BK15" s="144"/>
      <c r="BL15" s="213"/>
      <c r="BM15" s="18">
        <f t="shared" si="15"/>
        <v>4</v>
      </c>
      <c r="BN15" s="146" t="s">
        <v>145</v>
      </c>
      <c r="BO15" s="26">
        <v>326868.76885249151</v>
      </c>
      <c r="BP15" s="170">
        <v>221501.76182878346</v>
      </c>
      <c r="BQ15" s="171">
        <f>BP15-BO15</f>
        <v>-105367.00702370805</v>
      </c>
      <c r="BR15" s="18">
        <f t="shared" si="9"/>
        <v>4</v>
      </c>
      <c r="BS15" s="121"/>
      <c r="BU15" s="214"/>
      <c r="BV15" s="215"/>
      <c r="BW15" s="216"/>
      <c r="BX15" s="18">
        <f t="shared" si="16"/>
        <v>3</v>
      </c>
      <c r="BY15" s="114" t="s">
        <v>146</v>
      </c>
      <c r="BZ15" s="26">
        <v>49438053.879999995</v>
      </c>
      <c r="CA15" s="26"/>
      <c r="CB15" s="26"/>
      <c r="CC15" s="26"/>
      <c r="CD15" s="26"/>
      <c r="CE15" s="26">
        <f>-X18-X19</f>
        <v>-49438053.789999992</v>
      </c>
      <c r="CF15" s="26"/>
      <c r="CG15" s="26"/>
      <c r="CH15" s="18">
        <f t="shared" si="17"/>
        <v>3</v>
      </c>
      <c r="CI15" s="114" t="s">
        <v>146</v>
      </c>
      <c r="CJ15" s="26"/>
      <c r="CK15" s="26"/>
      <c r="CL15" s="26"/>
      <c r="CM15" s="26"/>
      <c r="CN15" s="26"/>
      <c r="CO15" s="26"/>
      <c r="CP15" s="26"/>
      <c r="CQ15" s="26">
        <f>SUM(CA15:CP15)-CH15</f>
        <v>-49438053.789999992</v>
      </c>
      <c r="CR15" s="26">
        <f>BZ15+CQ15</f>
        <v>9.0000003576278687E-2</v>
      </c>
      <c r="CS15" s="18">
        <f t="shared" si="18"/>
        <v>3</v>
      </c>
      <c r="CT15" s="114" t="str">
        <f>BY15</f>
        <v>MUNICIPAL ADDITIONS</v>
      </c>
      <c r="CU15" s="217">
        <f>BZ15</f>
        <v>49438053.879999995</v>
      </c>
      <c r="CV15" s="218">
        <f>CQ15</f>
        <v>-49438053.789999992</v>
      </c>
      <c r="CW15" s="219">
        <f>+CU15+CV15</f>
        <v>9.0000003576278687E-2</v>
      </c>
      <c r="CY15" s="220">
        <v>51136280</v>
      </c>
      <c r="CZ15" s="221">
        <v>-51136280.210000001</v>
      </c>
      <c r="DA15" s="222">
        <v>-0.21000000089406967</v>
      </c>
      <c r="DB15" s="202">
        <f>+CU15-CY15</f>
        <v>-1698226.1200000048</v>
      </c>
      <c r="DC15" s="202">
        <f t="shared" si="19"/>
        <v>1698226.4200000092</v>
      </c>
      <c r="DD15" s="202">
        <f t="shared" si="19"/>
        <v>0.30000000447034836</v>
      </c>
    </row>
    <row r="16" spans="1:108" ht="15" customHeight="1" thickTop="1">
      <c r="A16" s="18">
        <f t="shared" si="2"/>
        <v>5</v>
      </c>
      <c r="B16" s="203">
        <v>40786</v>
      </c>
      <c r="C16" s="204">
        <v>43538683.923094071</v>
      </c>
      <c r="D16" s="204">
        <v>43780512.923094079</v>
      </c>
      <c r="E16" s="205">
        <f t="shared" si="20"/>
        <v>241829.00000000745</v>
      </c>
      <c r="F16" s="204"/>
      <c r="G16" s="112">
        <v>3</v>
      </c>
      <c r="H16" s="223" t="s">
        <v>147</v>
      </c>
      <c r="I16" s="11"/>
      <c r="J16" s="181">
        <v>3113721.43</v>
      </c>
      <c r="K16" s="11"/>
      <c r="L16" s="18">
        <f t="shared" si="10"/>
        <v>5</v>
      </c>
      <c r="M16" s="114" t="s">
        <v>148</v>
      </c>
      <c r="N16" s="114"/>
      <c r="O16" s="114"/>
      <c r="P16" s="224">
        <v>29412287.131999899</v>
      </c>
      <c r="Q16" s="18">
        <f t="shared" si="11"/>
        <v>5</v>
      </c>
      <c r="R16" s="104" t="s">
        <v>149</v>
      </c>
      <c r="S16" s="225">
        <v>3.2399999999999998E-2</v>
      </c>
      <c r="T16" s="125" t="s">
        <v>3</v>
      </c>
      <c r="U16" s="18">
        <f t="shared" si="12"/>
        <v>5</v>
      </c>
      <c r="V16" s="226" t="s">
        <v>150</v>
      </c>
      <c r="X16" s="26">
        <v>73629.41</v>
      </c>
      <c r="Y16" s="18">
        <f t="shared" si="3"/>
        <v>5</v>
      </c>
      <c r="Z16" s="227" t="s">
        <v>151</v>
      </c>
      <c r="AA16" s="228"/>
      <c r="AB16" s="229">
        <f>+AB14/2</f>
        <v>0</v>
      </c>
      <c r="AC16" s="129"/>
      <c r="AD16" s="130">
        <f t="shared" si="4"/>
        <v>5</v>
      </c>
      <c r="AE16" s="230" t="s">
        <v>152</v>
      </c>
      <c r="AF16" s="132"/>
      <c r="AG16" s="133"/>
      <c r="AH16" s="133"/>
      <c r="AI16" s="133"/>
      <c r="AJ16" s="231">
        <f>ROUND(SUM(AJ12:AJ14)/3,6)</f>
        <v>3.7230000000000002E-3</v>
      </c>
      <c r="AK16" s="18">
        <v>5</v>
      </c>
      <c r="AL16" s="232" t="s">
        <v>153</v>
      </c>
      <c r="AM16" s="233"/>
      <c r="AN16" s="132"/>
      <c r="AO16" s="234"/>
      <c r="AS16" s="112">
        <f t="shared" si="7"/>
        <v>5</v>
      </c>
      <c r="AT16" s="11"/>
      <c r="AU16" s="165"/>
      <c r="AV16" s="165"/>
      <c r="AW16" s="165"/>
      <c r="AX16" s="18">
        <f t="shared" si="8"/>
        <v>5</v>
      </c>
      <c r="AY16" s="114" t="s">
        <v>154</v>
      </c>
      <c r="AZ16" s="116"/>
      <c r="BA16" s="116"/>
      <c r="BB16" s="219">
        <f>-BB14</f>
        <v>0</v>
      </c>
      <c r="BC16" s="18">
        <f t="shared" si="13"/>
        <v>5</v>
      </c>
      <c r="BD16" s="140" t="s">
        <v>155</v>
      </c>
      <c r="BE16" s="211"/>
      <c r="BF16" s="211"/>
      <c r="BG16" s="143">
        <f>BG14</f>
        <v>0</v>
      </c>
      <c r="BH16" s="18">
        <f>BH15+1</f>
        <v>5</v>
      </c>
      <c r="BI16" s="235" t="s">
        <v>156</v>
      </c>
      <c r="BJ16" s="235"/>
      <c r="BK16" s="235"/>
      <c r="BL16" s="236">
        <f>BL14</f>
        <v>0</v>
      </c>
      <c r="BM16" s="18">
        <f>BM15+1</f>
        <v>5</v>
      </c>
      <c r="BN16" s="7" t="s">
        <v>157</v>
      </c>
      <c r="BO16" s="194">
        <f>SUM(BO13:BO15)</f>
        <v>4610620.5835985458</v>
      </c>
      <c r="BP16" s="194">
        <f>SUM(BP13:BP15)</f>
        <v>3124374.9165035817</v>
      </c>
      <c r="BQ16" s="194">
        <f>SUM(BQ13:BQ15)</f>
        <v>-1486245.6670949636</v>
      </c>
      <c r="BR16" s="18">
        <f t="shared" si="9"/>
        <v>5</v>
      </c>
      <c r="BS16" s="121" t="s">
        <v>158</v>
      </c>
      <c r="BU16" s="214"/>
      <c r="BV16" s="173">
        <f>SUM(BV12:BV14)</f>
        <v>4.41E-2</v>
      </c>
      <c r="BW16" s="174"/>
      <c r="BX16" s="18">
        <f t="shared" si="16"/>
        <v>4</v>
      </c>
      <c r="BY16" s="114" t="s">
        <v>159</v>
      </c>
      <c r="BZ16" s="26">
        <v>13502759.24</v>
      </c>
      <c r="CA16" s="26"/>
      <c r="CB16" s="26">
        <f>K24</f>
        <v>1360114.0363245842</v>
      </c>
      <c r="CC16" s="26"/>
      <c r="CD16" s="52"/>
      <c r="CE16" s="26">
        <f>-X17</f>
        <v>-30805.5</v>
      </c>
      <c r="CF16" s="26"/>
      <c r="CG16" s="237"/>
      <c r="CH16" s="18">
        <f t="shared" si="17"/>
        <v>4</v>
      </c>
      <c r="CI16" s="114" t="s">
        <v>159</v>
      </c>
      <c r="CJ16" s="237"/>
      <c r="CK16" s="237"/>
      <c r="CL16" s="237"/>
      <c r="CM16" s="237"/>
      <c r="CN16" s="237"/>
      <c r="CO16" s="237"/>
      <c r="CP16" s="237"/>
      <c r="CQ16" s="237">
        <f>SUM(CA16:CP16)-CH16</f>
        <v>1329308.5363245842</v>
      </c>
      <c r="CR16" s="237">
        <f>BZ16+CQ16</f>
        <v>14832067.776324585</v>
      </c>
      <c r="CS16" s="18">
        <f t="shared" si="18"/>
        <v>4</v>
      </c>
      <c r="CT16" s="114" t="s">
        <v>159</v>
      </c>
      <c r="CU16" s="171">
        <f>BZ16</f>
        <v>13502759.24</v>
      </c>
      <c r="CV16" s="238">
        <f>CQ16</f>
        <v>1329308.5363245842</v>
      </c>
      <c r="CW16" s="239">
        <f>+CU16+CV16</f>
        <v>14832067.776324585</v>
      </c>
      <c r="CY16" s="240">
        <v>13800168</v>
      </c>
      <c r="CZ16" s="241">
        <v>0</v>
      </c>
      <c r="DA16" s="242">
        <v>13800168</v>
      </c>
      <c r="DB16" s="202">
        <f>+CU16-CY16</f>
        <v>-297408.75999999978</v>
      </c>
      <c r="DC16" s="202">
        <f t="shared" si="19"/>
        <v>1329308.5363245842</v>
      </c>
      <c r="DD16" s="202">
        <f t="shared" si="19"/>
        <v>1031899.7763245851</v>
      </c>
    </row>
    <row r="17" spans="1:108" ht="15" customHeight="1">
      <c r="A17" s="18">
        <f t="shared" si="2"/>
        <v>6</v>
      </c>
      <c r="B17" s="203">
        <v>40816</v>
      </c>
      <c r="C17" s="204">
        <v>47730364.916654818</v>
      </c>
      <c r="D17" s="204">
        <v>50838546.916654825</v>
      </c>
      <c r="E17" s="205">
        <f t="shared" si="20"/>
        <v>3108182.0000000075</v>
      </c>
      <c r="F17" s="204"/>
      <c r="G17" s="112">
        <f>+G16+1</f>
        <v>4</v>
      </c>
      <c r="H17" s="223"/>
      <c r="J17" s="243"/>
      <c r="L17" s="18">
        <f t="shared" si="10"/>
        <v>6</v>
      </c>
      <c r="M17" s="7" t="s">
        <v>160</v>
      </c>
      <c r="P17" s="244">
        <f>P12+P15+P16</f>
        <v>154719546.07330817</v>
      </c>
      <c r="Q17" s="18">
        <f t="shared" si="11"/>
        <v>6</v>
      </c>
      <c r="R17" s="104" t="s">
        <v>83</v>
      </c>
      <c r="S17" s="52"/>
      <c r="T17" s="124">
        <f>+S14*S16</f>
        <v>51590441.186877303</v>
      </c>
      <c r="U17" s="18">
        <f t="shared" si="12"/>
        <v>6</v>
      </c>
      <c r="V17" s="226" t="s">
        <v>161</v>
      </c>
      <c r="X17" s="26">
        <v>30805.5</v>
      </c>
      <c r="Y17" s="18">
        <f t="shared" si="3"/>
        <v>6</v>
      </c>
      <c r="Z17" s="245" t="s">
        <v>162</v>
      </c>
      <c r="AA17" s="246"/>
      <c r="AB17" s="247"/>
      <c r="AC17" s="129"/>
      <c r="AD17" s="130">
        <f>1+AD16</f>
        <v>6</v>
      </c>
      <c r="AK17" s="18">
        <v>6</v>
      </c>
      <c r="AL17" s="162" t="s">
        <v>120</v>
      </c>
      <c r="AM17" s="162"/>
      <c r="AN17" s="248"/>
      <c r="AO17" s="120"/>
      <c r="AP17" s="120"/>
      <c r="AQ17" s="120"/>
      <c r="AR17" s="120"/>
      <c r="AS17" s="112">
        <f t="shared" si="7"/>
        <v>6</v>
      </c>
      <c r="AT17" s="249" t="s">
        <v>163</v>
      </c>
      <c r="AU17" s="250"/>
      <c r="AV17" s="166"/>
      <c r="AW17" s="251">
        <f>-AW15</f>
        <v>-1493475.0443695919</v>
      </c>
      <c r="AX17" s="18">
        <f t="shared" si="8"/>
        <v>6</v>
      </c>
      <c r="AY17" s="114"/>
      <c r="AZ17" s="116"/>
      <c r="BA17" s="116"/>
      <c r="BB17" s="219"/>
      <c r="BC17" s="18">
        <f t="shared" si="13"/>
        <v>6</v>
      </c>
      <c r="BD17" s="252" t="s">
        <v>164</v>
      </c>
      <c r="BE17" s="217"/>
      <c r="BF17" s="253">
        <v>0.35</v>
      </c>
      <c r="BG17" s="254">
        <f>ROUND(-BG16*BF17,0)</f>
        <v>0</v>
      </c>
      <c r="BH17" s="18">
        <f t="shared" si="14"/>
        <v>6</v>
      </c>
      <c r="BI17" s="144"/>
      <c r="BJ17" s="144"/>
      <c r="BK17" s="144"/>
      <c r="BL17" s="255"/>
      <c r="BM17" s="18">
        <f t="shared" si="15"/>
        <v>6</v>
      </c>
      <c r="BN17" s="7"/>
      <c r="BO17" s="26"/>
      <c r="BP17" s="26"/>
      <c r="BQ17" s="256"/>
      <c r="BR17" s="18">
        <f t="shared" si="9"/>
        <v>6</v>
      </c>
      <c r="BS17" s="11"/>
      <c r="BT17" s="257"/>
      <c r="BU17" s="214"/>
      <c r="BV17" s="174"/>
      <c r="BW17" s="174"/>
      <c r="BX17" s="18">
        <f t="shared" si="16"/>
        <v>5</v>
      </c>
      <c r="BY17" s="114" t="s">
        <v>165</v>
      </c>
      <c r="BZ17" s="258">
        <f>SUM(BZ14:BZ16)</f>
        <v>1149001090.7099998</v>
      </c>
      <c r="CA17" s="258">
        <f t="shared" ref="CA17:CG17" si="21">SUM(CA14:CA16)</f>
        <v>-28424725.768279988</v>
      </c>
      <c r="CB17" s="258">
        <f t="shared" si="21"/>
        <v>-16229395.43448755</v>
      </c>
      <c r="CC17" s="258">
        <f t="shared" si="21"/>
        <v>0</v>
      </c>
      <c r="CD17" s="258">
        <f t="shared" si="21"/>
        <v>0</v>
      </c>
      <c r="CE17" s="258">
        <f t="shared" si="21"/>
        <v>-60223743.439213693</v>
      </c>
      <c r="CF17" s="258"/>
      <c r="CG17" s="258">
        <f t="shared" si="21"/>
        <v>0</v>
      </c>
      <c r="CH17" s="18">
        <f t="shared" si="17"/>
        <v>5</v>
      </c>
      <c r="CI17" s="114" t="s">
        <v>165</v>
      </c>
      <c r="CJ17" s="258">
        <f t="shared" ref="CJ17:CP17" si="22">SUM(CJ14:CJ16)</f>
        <v>0</v>
      </c>
      <c r="CK17" s="258">
        <f t="shared" si="22"/>
        <v>0</v>
      </c>
      <c r="CL17" s="258">
        <f t="shared" si="22"/>
        <v>0</v>
      </c>
      <c r="CM17" s="258">
        <f t="shared" si="22"/>
        <v>0</v>
      </c>
      <c r="CN17" s="258"/>
      <c r="CO17" s="258"/>
      <c r="CP17" s="258">
        <f t="shared" si="22"/>
        <v>0</v>
      </c>
      <c r="CQ17" s="132">
        <f>SUM(CA17:CM17)-CH17</f>
        <v>-104877864.64198123</v>
      </c>
      <c r="CR17" s="132">
        <f>BZ17+CQ17</f>
        <v>1044123226.0680186</v>
      </c>
      <c r="CS17" s="18">
        <f t="shared" si="18"/>
        <v>5</v>
      </c>
      <c r="CT17" s="114" t="s">
        <v>165</v>
      </c>
      <c r="CU17" s="198">
        <f>SUM(CU14:CU16)</f>
        <v>1149001090.7099998</v>
      </c>
      <c r="CV17" s="198">
        <f>SUM(CV14:CV16)</f>
        <v>-104877864.64198123</v>
      </c>
      <c r="CW17" s="258">
        <f>SUM(CW14:CW16)</f>
        <v>1044123226.0680188</v>
      </c>
      <c r="CY17" s="200">
        <v>1168849569</v>
      </c>
      <c r="CZ17" s="200">
        <v>-109245164.36879715</v>
      </c>
      <c r="DA17" s="259">
        <v>1059604404.6312028</v>
      </c>
      <c r="DB17" s="202">
        <f>+CU17-CY17</f>
        <v>-19848478.2900002</v>
      </c>
      <c r="DC17" s="202">
        <f t="shared" si="19"/>
        <v>4367299.726815924</v>
      </c>
      <c r="DD17" s="202">
        <f t="shared" si="19"/>
        <v>-15481178.563184023</v>
      </c>
    </row>
    <row r="18" spans="1:108" ht="15" customHeight="1">
      <c r="A18" s="18">
        <f t="shared" si="2"/>
        <v>7</v>
      </c>
      <c r="B18" s="203">
        <v>40847</v>
      </c>
      <c r="C18" s="204">
        <v>84265373.744710818</v>
      </c>
      <c r="D18" s="204">
        <v>82592873.744710848</v>
      </c>
      <c r="E18" s="205">
        <f t="shared" si="20"/>
        <v>-1672499.9999999702</v>
      </c>
      <c r="F18" s="204"/>
      <c r="G18" s="112">
        <v>4</v>
      </c>
      <c r="H18" s="11" t="s">
        <v>166</v>
      </c>
      <c r="I18" s="11"/>
      <c r="K18" s="158">
        <f>SUM(J13:J16)</f>
        <v>-17589509.470812134</v>
      </c>
      <c r="L18" s="18">
        <f t="shared" si="10"/>
        <v>7</v>
      </c>
      <c r="P18" s="207" t="s">
        <v>3</v>
      </c>
      <c r="Q18" s="18">
        <f t="shared" si="11"/>
        <v>7</v>
      </c>
      <c r="R18" s="104"/>
      <c r="S18" s="260"/>
      <c r="T18" s="125" t="s">
        <v>3</v>
      </c>
      <c r="U18" s="18">
        <f t="shared" si="12"/>
        <v>7</v>
      </c>
      <c r="V18" s="161" t="s">
        <v>167</v>
      </c>
      <c r="X18" s="26">
        <v>49038879.419999994</v>
      </c>
      <c r="Y18" s="18">
        <f t="shared" si="3"/>
        <v>7</v>
      </c>
      <c r="Z18" s="114" t="s">
        <v>156</v>
      </c>
      <c r="AA18" s="261"/>
      <c r="AB18" s="262">
        <f>+AB16-AB17</f>
        <v>0</v>
      </c>
      <c r="AC18" s="263">
        <f>+AB18</f>
        <v>0</v>
      </c>
      <c r="AD18" s="130">
        <f t="shared" si="4"/>
        <v>7</v>
      </c>
      <c r="AE18" s="264" t="s">
        <v>168</v>
      </c>
      <c r="AG18" s="133">
        <v>1149001090.7099998</v>
      </c>
      <c r="AH18" s="265">
        <v>14301107.979999999</v>
      </c>
      <c r="AI18" s="133">
        <f>AG18-AH18</f>
        <v>1134699982.7299998</v>
      </c>
      <c r="AK18" s="18">
        <v>7</v>
      </c>
      <c r="AL18" s="266" t="s">
        <v>169</v>
      </c>
      <c r="AM18" s="266"/>
      <c r="AN18" s="267">
        <f>AN16-AN17</f>
        <v>0</v>
      </c>
      <c r="AS18" s="112">
        <f t="shared" si="7"/>
        <v>7</v>
      </c>
      <c r="AT18" s="268" t="s">
        <v>164</v>
      </c>
      <c r="AU18" s="268"/>
      <c r="AV18" s="269">
        <f>FIT</f>
        <v>0.35</v>
      </c>
      <c r="AW18" s="270">
        <f>AW17*AV18</f>
        <v>-522716.26552935713</v>
      </c>
      <c r="AX18" s="18">
        <f t="shared" si="8"/>
        <v>7</v>
      </c>
      <c r="AY18" s="114" t="s">
        <v>164</v>
      </c>
      <c r="AZ18" s="116"/>
      <c r="BA18" s="271">
        <f>FIT</f>
        <v>0.35</v>
      </c>
      <c r="BB18" s="272">
        <f>BB16*BA18</f>
        <v>0</v>
      </c>
      <c r="BC18" s="18">
        <f t="shared" si="13"/>
        <v>7</v>
      </c>
      <c r="BD18" s="7"/>
      <c r="BE18" s="26"/>
      <c r="BF18" s="26"/>
      <c r="BG18" s="273"/>
      <c r="BH18" s="18">
        <f t="shared" si="14"/>
        <v>7</v>
      </c>
      <c r="BI18" s="144" t="s">
        <v>170</v>
      </c>
      <c r="BJ18" s="144"/>
      <c r="BK18" s="144"/>
      <c r="BL18" s="256">
        <f>-BL16*35%</f>
        <v>0</v>
      </c>
      <c r="BM18" s="18">
        <f t="shared" si="15"/>
        <v>7</v>
      </c>
      <c r="BN18" s="7" t="s">
        <v>171</v>
      </c>
      <c r="BO18" s="26"/>
      <c r="BP18" s="26"/>
      <c r="BQ18" s="256">
        <f>BQ16</f>
        <v>-1486245.6670949636</v>
      </c>
      <c r="BR18" s="18">
        <f t="shared" si="9"/>
        <v>7</v>
      </c>
      <c r="BS18" s="121" t="str">
        <f>"FEDERAL INCOME TAX ( ( 1 - LINE "&amp;BR16&amp;" ) * "&amp;FIT*100&amp;"% )"</f>
        <v>FEDERAL INCOME TAX ( ( 1 - LINE 5 ) * 35% )</v>
      </c>
      <c r="BT18" s="257"/>
      <c r="BU18" s="274">
        <v>0.35</v>
      </c>
      <c r="BV18" s="275">
        <f>ROUND((1-BV16)*FIT,7)</f>
        <v>0.334565</v>
      </c>
      <c r="BW18" s="174"/>
      <c r="BX18" s="18">
        <f t="shared" si="16"/>
        <v>6</v>
      </c>
      <c r="CG18" s="125"/>
      <c r="CH18" s="18">
        <f t="shared" si="17"/>
        <v>6</v>
      </c>
      <c r="CK18" s="125"/>
      <c r="CL18" s="125"/>
      <c r="CM18" s="125"/>
      <c r="CN18" s="125"/>
      <c r="CO18" s="125"/>
      <c r="CP18" s="125"/>
      <c r="CQ18" s="175"/>
      <c r="CR18" s="175"/>
      <c r="CS18" s="18">
        <f t="shared" si="18"/>
        <v>6</v>
      </c>
      <c r="CY18" s="152"/>
      <c r="CZ18" s="152"/>
      <c r="DA18" s="152"/>
      <c r="DB18" s="61"/>
      <c r="DC18" s="61"/>
      <c r="DD18" s="61"/>
    </row>
    <row r="19" spans="1:108" ht="15" customHeight="1" thickBot="1">
      <c r="A19" s="18">
        <f t="shared" si="2"/>
        <v>8</v>
      </c>
      <c r="B19" s="203">
        <v>40877</v>
      </c>
      <c r="C19" s="204">
        <v>129713322.90238103</v>
      </c>
      <c r="D19" s="204">
        <v>121486372.90238103</v>
      </c>
      <c r="E19" s="205">
        <f t="shared" si="20"/>
        <v>-8226950</v>
      </c>
      <c r="F19" s="204"/>
      <c r="G19" s="112">
        <f>+G18+1</f>
        <v>5</v>
      </c>
      <c r="H19" s="11"/>
      <c r="I19" s="11"/>
      <c r="J19" s="120"/>
      <c r="K19" s="276"/>
      <c r="L19" s="18">
        <f t="shared" si="10"/>
        <v>8</v>
      </c>
      <c r="M19" s="7" t="s">
        <v>172</v>
      </c>
      <c r="P19" s="277">
        <v>51590441.186877303</v>
      </c>
      <c r="Q19" s="18">
        <f t="shared" si="11"/>
        <v>8</v>
      </c>
      <c r="R19" s="104" t="s">
        <v>173</v>
      </c>
      <c r="S19" s="260"/>
      <c r="T19" s="125">
        <v>43044801.619452</v>
      </c>
      <c r="U19" s="18">
        <f t="shared" si="12"/>
        <v>8</v>
      </c>
      <c r="V19" s="161" t="s">
        <v>174</v>
      </c>
      <c r="X19" s="26">
        <v>399174.37</v>
      </c>
      <c r="Y19" s="18">
        <f t="shared" si="3"/>
        <v>8</v>
      </c>
      <c r="Z19" s="114"/>
      <c r="AA19" s="261"/>
      <c r="AB19" s="278"/>
      <c r="AC19" s="279"/>
      <c r="AD19" s="130">
        <f>1+AD18</f>
        <v>8</v>
      </c>
      <c r="AK19" s="18">
        <v>8</v>
      </c>
      <c r="AN19" s="7"/>
      <c r="AS19" s="112">
        <f t="shared" si="7"/>
        <v>8</v>
      </c>
      <c r="AT19" s="4"/>
      <c r="AU19" s="4"/>
      <c r="AV19" s="4"/>
      <c r="AW19" s="4"/>
      <c r="AX19" s="18">
        <f t="shared" si="8"/>
        <v>8</v>
      </c>
      <c r="AY19" s="114"/>
      <c r="AZ19" s="116"/>
      <c r="BA19" s="271"/>
      <c r="BB19" s="272"/>
      <c r="BC19" s="18">
        <f t="shared" si="13"/>
        <v>8</v>
      </c>
      <c r="BD19" s="228" t="s">
        <v>143</v>
      </c>
      <c r="BE19" s="280"/>
      <c r="BF19" s="129"/>
      <c r="BG19" s="281">
        <f>-BG16-BG17</f>
        <v>0</v>
      </c>
      <c r="BH19" s="18">
        <f t="shared" si="14"/>
        <v>8</v>
      </c>
      <c r="BI19" s="144"/>
      <c r="BJ19" s="144"/>
      <c r="BK19" s="144"/>
      <c r="BL19" s="282"/>
      <c r="BM19" s="18">
        <f t="shared" si="15"/>
        <v>8</v>
      </c>
      <c r="BN19" s="7"/>
      <c r="BO19" s="7"/>
      <c r="BP19" s="7"/>
      <c r="BQ19" s="7"/>
      <c r="BR19" s="18">
        <f t="shared" si="9"/>
        <v>8</v>
      </c>
      <c r="BS19" s="121" t="str">
        <f>"CONVERSION FACTOR ( 1 - ( LINE "&amp;BR16&amp;" + LINE "&amp;BR18&amp;" ) )"</f>
        <v>CONVERSION FACTOR ( 1 - ( LINE 5 + LINE 7 ) )</v>
      </c>
      <c r="BT19" s="283"/>
      <c r="BU19" s="214"/>
      <c r="BV19" s="284">
        <f>ROUND(1-BV16,6)</f>
        <v>0.95589999999999997</v>
      </c>
      <c r="BX19" s="18">
        <f t="shared" si="16"/>
        <v>7</v>
      </c>
      <c r="BZ19" s="106"/>
      <c r="CA19" s="285"/>
      <c r="CB19" s="285"/>
      <c r="CC19" s="285" t="s">
        <v>3</v>
      </c>
      <c r="CD19" s="285" t="s">
        <v>3</v>
      </c>
      <c r="CE19" s="285" t="s">
        <v>3</v>
      </c>
      <c r="CF19" s="285"/>
      <c r="CG19" s="285" t="s">
        <v>3</v>
      </c>
      <c r="CH19" s="18">
        <f t="shared" si="17"/>
        <v>7</v>
      </c>
      <c r="CJ19" s="285"/>
      <c r="CK19" s="285"/>
      <c r="CL19" s="285"/>
      <c r="CM19" s="285"/>
      <c r="CN19" s="285"/>
      <c r="CO19" s="285"/>
      <c r="CP19" s="285"/>
      <c r="CQ19" s="175"/>
      <c r="CR19" s="175"/>
      <c r="CS19" s="18">
        <f t="shared" si="18"/>
        <v>7</v>
      </c>
      <c r="CU19" s="175"/>
      <c r="CV19" s="175"/>
      <c r="CW19" s="175"/>
      <c r="CY19" s="176"/>
      <c r="CZ19" s="176"/>
      <c r="DA19" s="176"/>
      <c r="DB19" s="61"/>
      <c r="DC19" s="61"/>
      <c r="DD19" s="61"/>
    </row>
    <row r="20" spans="1:108" ht="15" customHeight="1" thickTop="1" thickBot="1">
      <c r="A20" s="18">
        <f t="shared" si="2"/>
        <v>9</v>
      </c>
      <c r="B20" s="203">
        <v>40908</v>
      </c>
      <c r="C20" s="204">
        <v>151742585.44532132</v>
      </c>
      <c r="D20" s="204">
        <v>147983425.44532135</v>
      </c>
      <c r="E20" s="205">
        <f t="shared" si="20"/>
        <v>-3759159.9999999702</v>
      </c>
      <c r="F20" s="204"/>
      <c r="G20" s="112">
        <v>5</v>
      </c>
      <c r="H20" s="114" t="s">
        <v>175</v>
      </c>
      <c r="I20" s="11"/>
      <c r="J20" s="120"/>
      <c r="K20" s="120"/>
      <c r="L20" s="18">
        <f t="shared" si="10"/>
        <v>9</v>
      </c>
      <c r="M20" s="7" t="s">
        <v>176</v>
      </c>
      <c r="P20" s="286">
        <f>P17-P19</f>
        <v>103129104.88643086</v>
      </c>
      <c r="Q20" s="18">
        <f t="shared" si="11"/>
        <v>9</v>
      </c>
      <c r="R20" s="104"/>
      <c r="S20" s="260"/>
      <c r="T20" s="125"/>
      <c r="U20" s="18">
        <f t="shared" si="12"/>
        <v>9</v>
      </c>
      <c r="V20" s="125" t="s">
        <v>177</v>
      </c>
      <c r="W20" s="287"/>
      <c r="X20" s="288">
        <f>SUM(X13:X19)</f>
        <v>60223743.439213701</v>
      </c>
      <c r="Y20" s="18">
        <f t="shared" si="3"/>
        <v>9</v>
      </c>
      <c r="Z20" s="114"/>
      <c r="AA20" s="246"/>
      <c r="AB20" s="108"/>
      <c r="AC20" s="129"/>
      <c r="AD20" s="130">
        <f t="shared" si="4"/>
        <v>9</v>
      </c>
      <c r="AE20" s="7" t="s">
        <v>178</v>
      </c>
      <c r="AI20" s="289">
        <f>AJ16</f>
        <v>3.7230000000000002E-3</v>
      </c>
      <c r="AK20" s="18">
        <v>9</v>
      </c>
      <c r="AL20" s="146" t="s">
        <v>157</v>
      </c>
      <c r="AN20" s="132">
        <f>AN14+AN18</f>
        <v>0</v>
      </c>
      <c r="AS20" s="112">
        <f t="shared" si="7"/>
        <v>9</v>
      </c>
      <c r="AT20" s="121" t="s">
        <v>143</v>
      </c>
      <c r="AU20" s="2"/>
      <c r="AV20" s="2"/>
      <c r="AW20" s="290">
        <f>AW17-AW18</f>
        <v>-970758.77884023474</v>
      </c>
      <c r="AX20" s="18">
        <f t="shared" si="8"/>
        <v>9</v>
      </c>
      <c r="AY20" s="114" t="s">
        <v>143</v>
      </c>
      <c r="AZ20" s="116"/>
      <c r="BA20" s="116"/>
      <c r="BB20" s="291">
        <f>BB16-BB18</f>
        <v>0</v>
      </c>
      <c r="BC20" s="292"/>
      <c r="BD20" s="292"/>
      <c r="BE20" s="292"/>
      <c r="BF20" s="292"/>
      <c r="BG20" s="292"/>
      <c r="BH20" s="18">
        <f t="shared" si="14"/>
        <v>9</v>
      </c>
      <c r="BI20" s="144" t="s">
        <v>143</v>
      </c>
      <c r="BJ20" s="144"/>
      <c r="BK20" s="144"/>
      <c r="BL20" s="293">
        <f>-BL16-BL18</f>
        <v>0</v>
      </c>
      <c r="BM20" s="18">
        <f t="shared" si="15"/>
        <v>9</v>
      </c>
      <c r="BN20" s="114" t="s">
        <v>179</v>
      </c>
      <c r="BO20" s="26"/>
      <c r="BP20" s="294">
        <v>0.35</v>
      </c>
      <c r="BQ20" s="256">
        <f>ROUND(-BQ18*BP20,0)</f>
        <v>520186</v>
      </c>
      <c r="BR20" s="18"/>
      <c r="BT20" s="283"/>
      <c r="BU20" s="295"/>
      <c r="BV20" s="257"/>
      <c r="BW20" s="296"/>
      <c r="BX20" s="18">
        <f t="shared" si="16"/>
        <v>8</v>
      </c>
      <c r="BY20" s="114" t="s">
        <v>180</v>
      </c>
      <c r="BZ20" s="106"/>
      <c r="CA20" s="175"/>
      <c r="CB20" s="175"/>
      <c r="CC20" s="175"/>
      <c r="CD20" s="175"/>
      <c r="CE20" s="175"/>
      <c r="CF20" s="175"/>
      <c r="CG20" s="175"/>
      <c r="CH20" s="18">
        <f t="shared" si="17"/>
        <v>8</v>
      </c>
      <c r="CI20" s="114" t="s">
        <v>180</v>
      </c>
      <c r="CJ20" s="175"/>
      <c r="CK20" s="175"/>
      <c r="CL20" s="175"/>
      <c r="CM20" s="175"/>
      <c r="CN20" s="175"/>
      <c r="CO20" s="175"/>
      <c r="CP20" s="175"/>
      <c r="CQ20" s="175"/>
      <c r="CR20" s="175"/>
      <c r="CS20" s="18">
        <f t="shared" si="18"/>
        <v>8</v>
      </c>
      <c r="CT20" s="146" t="s">
        <v>180</v>
      </c>
      <c r="CU20" s="175"/>
      <c r="CV20" s="175"/>
      <c r="CW20" s="175"/>
      <c r="CY20" s="176"/>
      <c r="CZ20" s="176"/>
      <c r="DA20" s="176"/>
      <c r="DB20" s="61"/>
      <c r="DC20" s="61"/>
      <c r="DD20" s="61"/>
    </row>
    <row r="21" spans="1:108" ht="15" customHeight="1" thickTop="1" thickBot="1">
      <c r="A21" s="18">
        <f t="shared" si="2"/>
        <v>10</v>
      </c>
      <c r="B21" s="203">
        <v>40939</v>
      </c>
      <c r="C21" s="204">
        <v>154354600.64589119</v>
      </c>
      <c r="D21" s="204">
        <v>146202316.64589119</v>
      </c>
      <c r="E21" s="205">
        <f t="shared" si="20"/>
        <v>-8152284</v>
      </c>
      <c r="F21" s="204"/>
      <c r="G21" s="112">
        <f>+G20+1</f>
        <v>6</v>
      </c>
      <c r="H21" s="156" t="s">
        <v>117</v>
      </c>
      <c r="I21" s="11"/>
      <c r="J21" s="181">
        <v>48365.580000001937</v>
      </c>
      <c r="K21" s="120"/>
      <c r="L21" s="18">
        <f t="shared" si="10"/>
        <v>10</v>
      </c>
      <c r="M21" s="7" t="s">
        <v>3</v>
      </c>
      <c r="P21" s="159"/>
      <c r="Q21" s="18">
        <f t="shared" si="11"/>
        <v>10</v>
      </c>
      <c r="R21" s="7" t="s">
        <v>181</v>
      </c>
      <c r="S21" s="52"/>
      <c r="T21" s="185">
        <f>T17-T19</f>
        <v>8545639.5674253032</v>
      </c>
      <c r="U21" s="18">
        <f t="shared" si="12"/>
        <v>10</v>
      </c>
      <c r="W21" s="26"/>
      <c r="X21" s="26"/>
      <c r="Y21" s="18">
        <f t="shared" si="3"/>
        <v>10</v>
      </c>
      <c r="Z21" s="114" t="s">
        <v>182</v>
      </c>
      <c r="AA21" s="246"/>
      <c r="AB21" s="129"/>
      <c r="AC21" s="185">
        <f>+AC18</f>
        <v>0</v>
      </c>
      <c r="AD21" s="130">
        <f t="shared" si="4"/>
        <v>10</v>
      </c>
      <c r="AE21" s="7" t="s">
        <v>183</v>
      </c>
      <c r="AI21" s="133">
        <f>AI18*AI20</f>
        <v>4224488.0357037894</v>
      </c>
      <c r="AK21" s="18">
        <v>10</v>
      </c>
      <c r="AN21" s="7"/>
      <c r="AS21" s="112"/>
      <c r="AT21" s="11"/>
      <c r="AU21" s="11"/>
      <c r="AV21" s="11"/>
      <c r="AW21" s="11"/>
      <c r="AX21" s="18"/>
      <c r="AY21" s="114"/>
      <c r="AZ21" s="116"/>
      <c r="BA21" s="116"/>
      <c r="BB21" s="297"/>
      <c r="BC21" s="297"/>
      <c r="BD21" s="297"/>
      <c r="BE21" s="297"/>
      <c r="BF21" s="297"/>
      <c r="BG21" s="297"/>
      <c r="BH21" s="18">
        <f t="shared" si="14"/>
        <v>10</v>
      </c>
      <c r="BI21" s="297"/>
      <c r="BJ21" s="297"/>
      <c r="BK21" s="297"/>
      <c r="BL21" s="297"/>
      <c r="BM21" s="18">
        <f t="shared" si="15"/>
        <v>10</v>
      </c>
      <c r="BN21" s="114" t="s">
        <v>184</v>
      </c>
      <c r="BO21" s="114"/>
      <c r="BP21" s="7"/>
      <c r="BQ21" s="298">
        <f>-BQ18-BQ20</f>
        <v>966059.6670949636</v>
      </c>
      <c r="BR21" s="18"/>
      <c r="BT21" s="283"/>
      <c r="BU21" s="283"/>
      <c r="BV21" s="295"/>
      <c r="BX21" s="18">
        <f t="shared" si="16"/>
        <v>9</v>
      </c>
      <c r="CH21" s="18">
        <f t="shared" si="17"/>
        <v>9</v>
      </c>
      <c r="CQ21" s="175"/>
      <c r="CR21" s="175"/>
      <c r="CS21" s="18">
        <f t="shared" si="18"/>
        <v>9</v>
      </c>
      <c r="CU21" s="175"/>
      <c r="CV21" s="175"/>
      <c r="CW21" s="175"/>
      <c r="CY21" s="176"/>
      <c r="CZ21" s="176"/>
      <c r="DA21" s="176"/>
      <c r="DB21" s="61"/>
      <c r="DC21" s="61"/>
      <c r="DD21" s="61"/>
    </row>
    <row r="22" spans="1:108" ht="13.5" thickTop="1">
      <c r="A22" s="18">
        <f t="shared" si="2"/>
        <v>11</v>
      </c>
      <c r="B22" s="203">
        <v>40968</v>
      </c>
      <c r="C22" s="204">
        <v>134224777.19379938</v>
      </c>
      <c r="D22" s="204">
        <v>136350676.19379941</v>
      </c>
      <c r="E22" s="205">
        <f t="shared" si="20"/>
        <v>2125899.0000000298</v>
      </c>
      <c r="F22" s="204"/>
      <c r="G22" s="112">
        <v>6</v>
      </c>
      <c r="H22" s="180" t="s">
        <v>128</v>
      </c>
      <c r="I22" s="11"/>
      <c r="J22" s="239">
        <v>1311748.4563245822</v>
      </c>
      <c r="K22" s="120"/>
      <c r="L22" s="18">
        <f t="shared" si="10"/>
        <v>11</v>
      </c>
      <c r="M22" s="114" t="s">
        <v>185</v>
      </c>
      <c r="N22" s="125"/>
      <c r="O22" s="299">
        <v>0.36</v>
      </c>
      <c r="P22" s="207" t="s">
        <v>3</v>
      </c>
      <c r="Q22" s="18">
        <f t="shared" si="11"/>
        <v>11</v>
      </c>
      <c r="R22" s="7" t="s">
        <v>3</v>
      </c>
      <c r="T22" s="106" t="s">
        <v>3</v>
      </c>
      <c r="U22" s="18">
        <f t="shared" si="12"/>
        <v>11</v>
      </c>
      <c r="V22" s="300" t="s">
        <v>186</v>
      </c>
      <c r="W22" s="287"/>
      <c r="X22" s="26"/>
      <c r="Y22" s="18">
        <f t="shared" si="3"/>
        <v>11</v>
      </c>
      <c r="AA22" s="246"/>
      <c r="AB22" s="129"/>
      <c r="AC22" s="115"/>
      <c r="AD22" s="130">
        <f t="shared" si="4"/>
        <v>11</v>
      </c>
      <c r="AK22" s="18">
        <v>11</v>
      </c>
      <c r="AL22" s="7" t="s">
        <v>187</v>
      </c>
      <c r="AN22" s="132">
        <f>-(AN14+AN18)</f>
        <v>0</v>
      </c>
      <c r="AS22" s="112"/>
      <c r="AT22" s="11"/>
      <c r="AU22" s="301"/>
      <c r="AV22" s="302"/>
      <c r="AW22" s="302"/>
      <c r="AX22" s="114" t="s">
        <v>3</v>
      </c>
      <c r="AY22" s="114"/>
      <c r="AZ22" s="116"/>
      <c r="BA22" s="116"/>
      <c r="BB22" s="116"/>
      <c r="BC22" s="116"/>
      <c r="BD22" s="116"/>
      <c r="BE22" s="116"/>
      <c r="BF22" s="116"/>
      <c r="BG22" s="116"/>
      <c r="BH22" s="116"/>
      <c r="BI22" s="116"/>
      <c r="BJ22" s="116"/>
      <c r="BK22" s="116"/>
      <c r="BL22" s="116"/>
      <c r="BM22" s="12"/>
      <c r="BN22" s="12"/>
      <c r="BO22" s="12"/>
      <c r="BP22" s="12"/>
      <c r="BQ22" s="12"/>
      <c r="BR22" s="18"/>
      <c r="BT22" s="283"/>
      <c r="BU22" s="283"/>
      <c r="BV22" s="303"/>
      <c r="BW22" s="296"/>
      <c r="BX22" s="18">
        <f t="shared" si="16"/>
        <v>10</v>
      </c>
      <c r="BY22" s="114" t="s">
        <v>188</v>
      </c>
      <c r="BZ22" s="137">
        <v>0</v>
      </c>
      <c r="CA22" s="198"/>
      <c r="CB22" s="198"/>
      <c r="CC22" s="198"/>
      <c r="CD22" s="198"/>
      <c r="CE22" s="198"/>
      <c r="CF22" s="198"/>
      <c r="CG22" s="175"/>
      <c r="CH22" s="18">
        <f t="shared" si="17"/>
        <v>10</v>
      </c>
      <c r="CI22" s="114" t="s">
        <v>188</v>
      </c>
      <c r="CJ22" s="175"/>
      <c r="CK22" s="175"/>
      <c r="CL22" s="175"/>
      <c r="CM22" s="175"/>
      <c r="CN22" s="175"/>
      <c r="CO22" s="175"/>
      <c r="CP22" s="175"/>
      <c r="CQ22" s="175"/>
      <c r="CR22" s="175"/>
      <c r="CS22" s="18">
        <f t="shared" si="18"/>
        <v>10</v>
      </c>
      <c r="CT22" s="114" t="s">
        <v>188</v>
      </c>
      <c r="CU22" s="175"/>
      <c r="CV22" s="175"/>
      <c r="CW22" s="175"/>
      <c r="CY22" s="176"/>
      <c r="CZ22" s="176"/>
      <c r="DA22" s="176"/>
      <c r="DB22" s="61"/>
      <c r="DC22" s="61"/>
      <c r="DD22" s="61"/>
    </row>
    <row r="23" spans="1:108" ht="15" customHeight="1" thickBot="1">
      <c r="A23" s="18">
        <f t="shared" si="2"/>
        <v>12</v>
      </c>
      <c r="B23" s="203">
        <v>40999</v>
      </c>
      <c r="C23" s="204">
        <v>134960849.49398407</v>
      </c>
      <c r="D23" s="204">
        <v>122463521.49398409</v>
      </c>
      <c r="E23" s="205">
        <f t="shared" si="20"/>
        <v>-12497327.999999985</v>
      </c>
      <c r="F23" s="204"/>
      <c r="G23" s="112">
        <f>+G22+1</f>
        <v>7</v>
      </c>
      <c r="H23" s="180"/>
      <c r="I23" s="11"/>
      <c r="J23" s="158"/>
      <c r="K23" s="120"/>
      <c r="L23" s="18">
        <f t="shared" si="10"/>
        <v>12</v>
      </c>
      <c r="M23" s="7" t="s">
        <v>189</v>
      </c>
      <c r="P23" s="304">
        <f>P20*O22</f>
        <v>37126477.759115107</v>
      </c>
      <c r="Q23" s="18">
        <f t="shared" si="11"/>
        <v>12</v>
      </c>
      <c r="R23" s="7" t="s">
        <v>190</v>
      </c>
      <c r="S23" s="274">
        <v>0.35</v>
      </c>
      <c r="T23" s="26">
        <f>-T21*S23</f>
        <v>-2990973.848598856</v>
      </c>
      <c r="U23" s="18">
        <f t="shared" si="12"/>
        <v>12</v>
      </c>
      <c r="V23" s="121" t="s">
        <v>191</v>
      </c>
      <c r="W23" s="305">
        <f>+BV12</f>
        <v>3.7230000000000002E-3</v>
      </c>
      <c r="X23" s="306">
        <f>W23*-X20</f>
        <v>-224212.99682419261</v>
      </c>
      <c r="Y23" s="18">
        <f t="shared" si="3"/>
        <v>12</v>
      </c>
      <c r="Z23" s="7" t="s">
        <v>179</v>
      </c>
      <c r="AA23" s="253">
        <v>0.35</v>
      </c>
      <c r="AB23" s="129"/>
      <c r="AC23" s="307">
        <f>-AC21*AA23</f>
        <v>0</v>
      </c>
      <c r="AD23" s="130">
        <f t="shared" si="4"/>
        <v>12</v>
      </c>
      <c r="AE23" s="114" t="s">
        <v>192</v>
      </c>
      <c r="AI23" s="308">
        <v>4615571.3899999997</v>
      </c>
      <c r="AK23" s="18">
        <v>12</v>
      </c>
      <c r="AN23" s="7"/>
      <c r="AS23" s="112"/>
      <c r="AT23" s="121"/>
      <c r="AU23" s="301"/>
      <c r="AV23" s="302"/>
      <c r="AW23" s="302"/>
      <c r="AX23" s="114"/>
      <c r="AY23" s="114"/>
      <c r="AZ23" s="116"/>
      <c r="BA23" s="116"/>
      <c r="BB23" s="116"/>
      <c r="BC23" s="116"/>
      <c r="BD23" s="116"/>
      <c r="BE23" s="116"/>
      <c r="BF23" s="116"/>
      <c r="BG23" s="116"/>
      <c r="BH23" s="116"/>
      <c r="BI23" s="116"/>
      <c r="BJ23" s="116"/>
      <c r="BK23" s="116"/>
      <c r="BL23" s="116"/>
      <c r="BR23" s="18"/>
      <c r="BT23" s="283"/>
      <c r="BU23" s="310"/>
      <c r="BV23" s="284">
        <f>ROUND(1-$BV$18-$BV$16,7)</f>
        <v>0.62133499999999997</v>
      </c>
      <c r="BW23" s="296"/>
      <c r="BX23" s="18">
        <f t="shared" si="16"/>
        <v>11</v>
      </c>
      <c r="BY23" s="114"/>
      <c r="BZ23" s="311"/>
      <c r="CA23" s="312"/>
      <c r="CB23" s="312"/>
      <c r="CC23" s="312"/>
      <c r="CD23" s="312"/>
      <c r="CE23" s="312"/>
      <c r="CF23" s="312"/>
      <c r="CG23" s="312"/>
      <c r="CH23" s="18">
        <f t="shared" si="17"/>
        <v>11</v>
      </c>
      <c r="CI23" s="114"/>
      <c r="CJ23" s="312"/>
      <c r="CK23" s="312"/>
      <c r="CL23" s="312"/>
      <c r="CM23" s="312"/>
      <c r="CN23" s="312"/>
      <c r="CO23" s="312"/>
      <c r="CP23" s="312"/>
      <c r="CQ23" s="132"/>
      <c r="CR23" s="132"/>
      <c r="CS23" s="18">
        <f t="shared" si="18"/>
        <v>11</v>
      </c>
      <c r="CT23" s="114"/>
      <c r="CU23" s="312"/>
      <c r="CV23" s="312"/>
      <c r="CW23" s="313"/>
      <c r="CY23" s="314"/>
      <c r="CZ23" s="314"/>
      <c r="DA23" s="315"/>
      <c r="DB23" s="61"/>
      <c r="DC23" s="61"/>
      <c r="DD23" s="61"/>
    </row>
    <row r="24" spans="1:108" ht="15" customHeight="1" thickTop="1" thickBot="1">
      <c r="A24" s="18">
        <f t="shared" si="2"/>
        <v>13</v>
      </c>
      <c r="B24" s="203">
        <v>41029</v>
      </c>
      <c r="C24" s="204">
        <v>90507214.376823112</v>
      </c>
      <c r="D24" s="204">
        <v>93904014.376823097</v>
      </c>
      <c r="E24" s="205">
        <f t="shared" si="20"/>
        <v>3396799.9999999851</v>
      </c>
      <c r="F24" s="204"/>
      <c r="G24" s="112">
        <v>7</v>
      </c>
      <c r="H24" s="173" t="s">
        <v>193</v>
      </c>
      <c r="I24" s="11"/>
      <c r="J24" s="158"/>
      <c r="K24" s="316">
        <f>SUM(J21:J22)</f>
        <v>1360114.0363245842</v>
      </c>
      <c r="L24" s="18">
        <f t="shared" si="10"/>
        <v>13</v>
      </c>
      <c r="M24" s="7" t="s">
        <v>194</v>
      </c>
      <c r="P24" s="304" t="s">
        <v>3</v>
      </c>
      <c r="Q24" s="18">
        <f t="shared" si="11"/>
        <v>13</v>
      </c>
      <c r="R24" s="7" t="s">
        <v>143</v>
      </c>
      <c r="S24" s="52"/>
      <c r="T24" s="317">
        <f>-T23</f>
        <v>2990973.848598856</v>
      </c>
      <c r="U24" s="18">
        <f t="shared" si="12"/>
        <v>13</v>
      </c>
      <c r="V24" s="249" t="s">
        <v>124</v>
      </c>
      <c r="W24" s="305">
        <f>+BV13</f>
        <v>2E-3</v>
      </c>
      <c r="X24" s="270">
        <f>W24*-X20</f>
        <v>-120447.4868784274</v>
      </c>
      <c r="Y24" s="18">
        <f t="shared" si="3"/>
        <v>13</v>
      </c>
      <c r="Z24" s="7" t="s">
        <v>184</v>
      </c>
      <c r="AA24" s="246"/>
      <c r="AB24" s="129"/>
      <c r="AC24" s="318">
        <f>-AC21-AC23</f>
        <v>0</v>
      </c>
      <c r="AD24" s="130">
        <f t="shared" si="4"/>
        <v>13</v>
      </c>
      <c r="AE24" s="319" t="s">
        <v>156</v>
      </c>
      <c r="AJ24" s="132">
        <f>ROUND(AI21-AI23,0)</f>
        <v>-391083</v>
      </c>
      <c r="AK24" s="18">
        <v>13</v>
      </c>
      <c r="AL24" s="7" t="s">
        <v>195</v>
      </c>
      <c r="AM24" s="320">
        <f>FIT</f>
        <v>0.35</v>
      </c>
      <c r="AN24" s="321">
        <f>AN22*AM24</f>
        <v>0</v>
      </c>
      <c r="AS24" s="322"/>
      <c r="AT24" s="99"/>
      <c r="AU24" s="323"/>
      <c r="AV24" s="323"/>
      <c r="AW24" s="323"/>
      <c r="AX24" s="114"/>
      <c r="AY24" s="114"/>
      <c r="AZ24" s="116"/>
      <c r="BA24" s="116"/>
      <c r="BB24" s="116"/>
      <c r="BC24" s="116"/>
      <c r="BD24" s="116"/>
      <c r="BE24" s="116"/>
      <c r="BF24" s="116"/>
      <c r="BG24" s="116"/>
      <c r="BH24" s="116"/>
      <c r="BI24" s="116"/>
      <c r="BJ24" s="116"/>
      <c r="BK24" s="116"/>
      <c r="BL24" s="116"/>
      <c r="BR24" s="18"/>
      <c r="BT24" s="324"/>
      <c r="BU24" s="303"/>
      <c r="BV24" s="257"/>
      <c r="BW24" s="296"/>
      <c r="BX24" s="18">
        <f t="shared" si="16"/>
        <v>12</v>
      </c>
      <c r="BY24" s="114" t="s">
        <v>196</v>
      </c>
      <c r="BZ24" s="137">
        <v>588140056.91999996</v>
      </c>
      <c r="CA24" s="198">
        <f>+F42</f>
        <v>-18039181.454190161</v>
      </c>
      <c r="CB24" s="198">
        <f>K32</f>
        <v>-12140251.474149441</v>
      </c>
      <c r="CC24" s="198">
        <v>0</v>
      </c>
      <c r="CD24" s="198">
        <v>0</v>
      </c>
      <c r="CE24" s="198">
        <f>X31</f>
        <v>22888720.789999999</v>
      </c>
      <c r="CF24" s="198"/>
      <c r="CG24" s="198">
        <v>0</v>
      </c>
      <c r="CH24" s="18">
        <f t="shared" si="17"/>
        <v>12</v>
      </c>
      <c r="CI24" s="114" t="s">
        <v>196</v>
      </c>
      <c r="CJ24" s="198"/>
      <c r="CK24" s="198">
        <v>0</v>
      </c>
      <c r="CL24" s="198">
        <v>0</v>
      </c>
      <c r="CM24" s="198">
        <v>0</v>
      </c>
      <c r="CN24" s="198"/>
      <c r="CO24" s="198"/>
      <c r="CP24" s="198"/>
      <c r="CQ24" s="26">
        <f>SUM(CA24:CP24)-CH24</f>
        <v>-7290712.1383396015</v>
      </c>
      <c r="CR24" s="132">
        <f>BZ24+CQ24</f>
        <v>580849344.78166032</v>
      </c>
      <c r="CS24" s="18">
        <f t="shared" si="18"/>
        <v>12</v>
      </c>
      <c r="CT24" s="114" t="s">
        <v>196</v>
      </c>
      <c r="CU24" s="198">
        <f>BZ24</f>
        <v>588140056.91999996</v>
      </c>
      <c r="CV24" s="198">
        <f>CQ24</f>
        <v>-7290712.1383396015</v>
      </c>
      <c r="CW24" s="199">
        <f>+CU24+CV24</f>
        <v>580849344.78166032</v>
      </c>
      <c r="CY24" s="200">
        <v>622087912</v>
      </c>
      <c r="CZ24" s="200">
        <v>-16372110.915060002</v>
      </c>
      <c r="DA24" s="201">
        <v>605715801.08493996</v>
      </c>
      <c r="DB24" s="202">
        <f t="shared" ref="DB24:DD57" si="23">+CU24-CY24</f>
        <v>-33947855.080000043</v>
      </c>
      <c r="DC24" s="202">
        <f t="shared" si="23"/>
        <v>9081398.7767204009</v>
      </c>
      <c r="DD24" s="202">
        <f t="shared" si="23"/>
        <v>-24866456.303279638</v>
      </c>
    </row>
    <row r="25" spans="1:108" ht="15" customHeight="1" thickTop="1">
      <c r="A25" s="18">
        <f t="shared" si="2"/>
        <v>14</v>
      </c>
      <c r="B25" s="203">
        <v>41060</v>
      </c>
      <c r="C25" s="204">
        <v>69086231.130441248</v>
      </c>
      <c r="D25" s="204">
        <v>68665427.130441234</v>
      </c>
      <c r="E25" s="205">
        <f t="shared" si="20"/>
        <v>-420804.0000000149</v>
      </c>
      <c r="F25" s="204"/>
      <c r="G25" s="112">
        <f>+G24+1</f>
        <v>8</v>
      </c>
      <c r="H25" s="180"/>
      <c r="I25" s="11"/>
      <c r="J25" s="120"/>
      <c r="K25" s="276"/>
      <c r="L25" s="18">
        <f t="shared" si="10"/>
        <v>14</v>
      </c>
      <c r="M25" s="114" t="s">
        <v>141</v>
      </c>
      <c r="N25" s="125"/>
      <c r="O25" s="125"/>
      <c r="P25" s="207">
        <f>P15</f>
        <v>-6541084.5418687444</v>
      </c>
      <c r="T25" s="7" t="s">
        <v>3</v>
      </c>
      <c r="U25" s="18">
        <f t="shared" si="12"/>
        <v>14</v>
      </c>
      <c r="V25" s="325" t="s">
        <v>197</v>
      </c>
      <c r="W25" s="305">
        <f>+BV14</f>
        <v>3.8377000000000001E-2</v>
      </c>
      <c r="X25" s="326">
        <f>W25*-X20</f>
        <v>-2311206.6019667042</v>
      </c>
      <c r="Y25" s="26"/>
      <c r="Z25" s="26"/>
      <c r="AA25" s="26"/>
      <c r="AB25" s="26"/>
      <c r="AC25" s="26"/>
      <c r="AD25" s="130">
        <f t="shared" si="4"/>
        <v>14</v>
      </c>
      <c r="AE25" s="327"/>
      <c r="AK25" s="18">
        <v>14</v>
      </c>
      <c r="AM25" s="320"/>
      <c r="AN25" s="321"/>
      <c r="AS25" s="322"/>
      <c r="AT25" s="100"/>
      <c r="AU25" s="140"/>
      <c r="AV25" s="140"/>
      <c r="AW25" s="140"/>
      <c r="AX25" s="114"/>
      <c r="AY25" s="114"/>
      <c r="AZ25" s="114"/>
      <c r="BA25" s="114"/>
      <c r="BB25" s="116"/>
      <c r="BC25" s="116"/>
      <c r="BD25" s="116"/>
      <c r="BE25" s="116"/>
      <c r="BF25" s="116"/>
      <c r="BG25" s="116"/>
      <c r="BH25" s="116"/>
      <c r="BI25" s="116"/>
      <c r="BJ25" s="116"/>
      <c r="BK25" s="116"/>
      <c r="BL25" s="116"/>
      <c r="BR25" s="18"/>
      <c r="BU25" s="214"/>
      <c r="BV25" s="283"/>
      <c r="BW25" s="328"/>
      <c r="BX25" s="18">
        <f t="shared" si="16"/>
        <v>13</v>
      </c>
      <c r="BY25" s="114"/>
      <c r="BZ25" s="329">
        <v>0</v>
      </c>
      <c r="CA25" s="26"/>
      <c r="CB25" s="26"/>
      <c r="CC25" s="26"/>
      <c r="CD25" s="26"/>
      <c r="CE25" s="26"/>
      <c r="CF25" s="26"/>
      <c r="CG25" s="237"/>
      <c r="CH25" s="18">
        <f t="shared" si="17"/>
        <v>13</v>
      </c>
      <c r="CI25" s="114"/>
      <c r="CJ25" s="26"/>
      <c r="CK25" s="237"/>
      <c r="CL25" s="237"/>
      <c r="CM25" s="237"/>
      <c r="CN25" s="237"/>
      <c r="CO25" s="237"/>
      <c r="CP25" s="237"/>
      <c r="CQ25" s="237"/>
      <c r="CR25" s="237"/>
      <c r="CS25" s="18">
        <f t="shared" si="18"/>
        <v>13</v>
      </c>
      <c r="CT25" s="114"/>
      <c r="CU25" s="237"/>
      <c r="CV25" s="26"/>
      <c r="CW25" s="219"/>
      <c r="CY25" s="330"/>
      <c r="CZ25" s="331"/>
      <c r="DA25" s="222"/>
      <c r="DB25" s="202">
        <f t="shared" si="23"/>
        <v>0</v>
      </c>
      <c r="DC25" s="202">
        <f t="shared" si="23"/>
        <v>0</v>
      </c>
      <c r="DD25" s="202">
        <f t="shared" si="23"/>
        <v>0</v>
      </c>
    </row>
    <row r="26" spans="1:108" ht="15" customHeight="1" thickBot="1">
      <c r="A26" s="18">
        <f t="shared" si="2"/>
        <v>15</v>
      </c>
      <c r="B26" s="203">
        <v>41090</v>
      </c>
      <c r="C26" s="332">
        <v>54042760.754883751</v>
      </c>
      <c r="D26" s="332">
        <v>51106413.754883759</v>
      </c>
      <c r="E26" s="333">
        <f t="shared" si="20"/>
        <v>-2936346.9999999925</v>
      </c>
      <c r="F26" s="204"/>
      <c r="G26" s="112">
        <v>8</v>
      </c>
      <c r="H26" s="11" t="s">
        <v>198</v>
      </c>
      <c r="I26" s="120"/>
      <c r="J26" s="138"/>
      <c r="K26" s="316">
        <f>K18+K24</f>
        <v>-16229395.43448755</v>
      </c>
      <c r="L26" s="18">
        <f t="shared" si="10"/>
        <v>15</v>
      </c>
      <c r="M26" s="114" t="s">
        <v>148</v>
      </c>
      <c r="N26" s="334"/>
      <c r="O26" s="334"/>
      <c r="P26" s="335">
        <f>P16</f>
        <v>29412287.131999899</v>
      </c>
      <c r="Q26" s="18"/>
      <c r="R26" s="52"/>
      <c r="S26" s="336"/>
      <c r="T26" s="125"/>
      <c r="U26" s="18">
        <f t="shared" si="12"/>
        <v>15</v>
      </c>
      <c r="V26" s="249" t="s">
        <v>199</v>
      </c>
      <c r="W26" s="211"/>
      <c r="X26" s="337">
        <f>SUM(X23:X25)</f>
        <v>-2655867.0856693243</v>
      </c>
      <c r="Y26" s="140"/>
      <c r="Z26" s="140"/>
      <c r="AA26" s="140"/>
      <c r="AB26" s="140"/>
      <c r="AC26" s="140"/>
      <c r="AD26" s="130">
        <f t="shared" si="4"/>
        <v>15</v>
      </c>
      <c r="AE26" s="121" t="s">
        <v>200</v>
      </c>
      <c r="AJ26" s="132">
        <f>-AJ24</f>
        <v>391083</v>
      </c>
      <c r="AK26" s="18">
        <v>15</v>
      </c>
      <c r="AL26" s="7" t="s">
        <v>184</v>
      </c>
      <c r="AN26" s="338">
        <f>AN22-AN24</f>
        <v>0</v>
      </c>
      <c r="AS26" s="322"/>
      <c r="AT26" s="100"/>
      <c r="AU26" s="339"/>
      <c r="AV26" s="339"/>
      <c r="AW26" s="166"/>
      <c r="AX26" s="114"/>
      <c r="AY26" s="114"/>
      <c r="AZ26" s="114"/>
      <c r="BA26" s="114"/>
      <c r="BB26" s="116"/>
      <c r="BC26" s="116"/>
      <c r="BD26" s="116"/>
      <c r="BE26" s="116"/>
      <c r="BF26" s="116"/>
      <c r="BG26" s="116"/>
      <c r="BH26" s="116"/>
      <c r="BI26" s="116"/>
      <c r="BJ26" s="116"/>
      <c r="BK26" s="116"/>
      <c r="BL26" s="116"/>
      <c r="BM26" s="7"/>
      <c r="BN26" s="7"/>
      <c r="BO26" s="7"/>
      <c r="BP26" s="7"/>
      <c r="BQ26" s="7"/>
      <c r="BR26" s="18"/>
      <c r="BS26" s="261"/>
      <c r="BT26" s="261"/>
      <c r="BU26" s="340"/>
      <c r="BV26" s="340"/>
      <c r="BW26" s="296"/>
      <c r="BX26" s="18">
        <f t="shared" si="16"/>
        <v>14</v>
      </c>
      <c r="BY26" s="114" t="s">
        <v>201</v>
      </c>
      <c r="BZ26" s="341">
        <f>SUM(BZ24:BZ25)</f>
        <v>588140056.91999996</v>
      </c>
      <c r="CA26" s="341">
        <f t="shared" ref="CA26:CG26" si="24">SUM(CA23:CA25)</f>
        <v>-18039181.454190161</v>
      </c>
      <c r="CB26" s="341">
        <f t="shared" si="24"/>
        <v>-12140251.474149441</v>
      </c>
      <c r="CC26" s="341">
        <f t="shared" si="24"/>
        <v>0</v>
      </c>
      <c r="CD26" s="341">
        <f t="shared" si="24"/>
        <v>0</v>
      </c>
      <c r="CE26" s="341">
        <f t="shared" si="24"/>
        <v>22888720.789999999</v>
      </c>
      <c r="CF26" s="341"/>
      <c r="CG26" s="341">
        <f t="shared" si="24"/>
        <v>0</v>
      </c>
      <c r="CH26" s="18">
        <f t="shared" si="17"/>
        <v>14</v>
      </c>
      <c r="CI26" s="114" t="s">
        <v>201</v>
      </c>
      <c r="CJ26" s="341">
        <f t="shared" ref="CJ26:CP26" si="25">SUM(CJ23:CJ25)</f>
        <v>0</v>
      </c>
      <c r="CK26" s="341">
        <f t="shared" si="25"/>
        <v>0</v>
      </c>
      <c r="CL26" s="341">
        <f t="shared" si="25"/>
        <v>0</v>
      </c>
      <c r="CM26" s="341">
        <f t="shared" si="25"/>
        <v>0</v>
      </c>
      <c r="CN26" s="341"/>
      <c r="CO26" s="341"/>
      <c r="CP26" s="341">
        <f t="shared" si="25"/>
        <v>0</v>
      </c>
      <c r="CQ26" s="132">
        <f>SUM(CA26:CM26)-CH26</f>
        <v>-7290712.1383396015</v>
      </c>
      <c r="CR26" s="132">
        <f>BZ26+CQ26</f>
        <v>580849344.78166032</v>
      </c>
      <c r="CS26" s="18">
        <f t="shared" si="18"/>
        <v>14</v>
      </c>
      <c r="CT26" s="114" t="s">
        <v>201</v>
      </c>
      <c r="CU26" s="341">
        <f>SUM(CU22:CU25)</f>
        <v>588140056.91999996</v>
      </c>
      <c r="CV26" s="341">
        <f>SUM(CV22:CV25)</f>
        <v>-7290712.1383396015</v>
      </c>
      <c r="CW26" s="341">
        <f>SUM(CW22:CW25)</f>
        <v>580849344.78166032</v>
      </c>
      <c r="CY26" s="342">
        <v>622087912</v>
      </c>
      <c r="CZ26" s="342">
        <v>-16372110.915060002</v>
      </c>
      <c r="DA26" s="342">
        <v>605715801.08493996</v>
      </c>
      <c r="DB26" s="202">
        <f t="shared" si="23"/>
        <v>-33947855.080000043</v>
      </c>
      <c r="DC26" s="202">
        <f t="shared" si="23"/>
        <v>9081398.7767204009</v>
      </c>
      <c r="DD26" s="202">
        <f t="shared" si="23"/>
        <v>-24866456.303279638</v>
      </c>
    </row>
    <row r="27" spans="1:108" s="261" customFormat="1" ht="15" customHeight="1" thickTop="1">
      <c r="A27" s="18">
        <f t="shared" si="2"/>
        <v>16</v>
      </c>
      <c r="B27" s="11"/>
      <c r="C27" s="287">
        <f>ROUND(SUM(C15:C26),0)</f>
        <v>1138969892</v>
      </c>
      <c r="D27" s="287">
        <f>ROUND(SUM(D15:D26),0)</f>
        <v>1109876840</v>
      </c>
      <c r="E27" s="287">
        <f>ROUND(SUM(E15:E26),0)</f>
        <v>-29093052</v>
      </c>
      <c r="F27" s="2"/>
      <c r="G27" s="112">
        <f>+G26+1</f>
        <v>9</v>
      </c>
      <c r="H27" s="11"/>
      <c r="I27" s="120"/>
      <c r="J27" s="138"/>
      <c r="K27" s="316"/>
      <c r="L27" s="18">
        <f t="shared" si="10"/>
        <v>16</v>
      </c>
      <c r="Q27" s="18"/>
      <c r="R27" s="7"/>
      <c r="S27" s="336"/>
      <c r="T27" s="125"/>
      <c r="U27" s="18">
        <f t="shared" si="12"/>
        <v>16</v>
      </c>
      <c r="V27" s="4"/>
      <c r="W27" s="343"/>
      <c r="X27" s="26"/>
      <c r="Y27" s="26"/>
      <c r="Z27" s="26"/>
      <c r="AA27" s="26"/>
      <c r="AB27" s="26"/>
      <c r="AC27" s="26"/>
      <c r="AD27" s="130">
        <f t="shared" si="4"/>
        <v>16</v>
      </c>
      <c r="AE27" s="120" t="s">
        <v>202</v>
      </c>
      <c r="AF27" s="7"/>
      <c r="AG27" s="7"/>
      <c r="AH27" s="7"/>
      <c r="AI27" s="182">
        <f>FIT</f>
        <v>0.35</v>
      </c>
      <c r="AJ27" s="171">
        <f>ROUND(-AJ24*AI27,0)</f>
        <v>136879</v>
      </c>
      <c r="AK27" s="7"/>
      <c r="AL27" s="7"/>
      <c r="AM27" s="7"/>
      <c r="AN27" s="7"/>
      <c r="AO27" s="11"/>
      <c r="AP27" s="11"/>
      <c r="AQ27" s="11"/>
      <c r="AR27" s="11"/>
      <c r="AS27" s="322"/>
      <c r="AT27" s="344"/>
      <c r="AU27" s="339"/>
      <c r="AV27" s="339"/>
      <c r="AW27" s="166"/>
      <c r="AX27" s="114"/>
      <c r="AY27" s="114"/>
      <c r="AZ27" s="114"/>
      <c r="BA27" s="114"/>
      <c r="BB27" s="116"/>
      <c r="BC27" s="116"/>
      <c r="BD27" s="116"/>
      <c r="BE27" s="116"/>
      <c r="BF27" s="116"/>
      <c r="BG27" s="116"/>
      <c r="BH27" s="116"/>
      <c r="BI27" s="116"/>
      <c r="BJ27" s="116"/>
      <c r="BK27" s="116"/>
      <c r="BL27" s="116"/>
      <c r="BM27" s="345"/>
      <c r="BN27" s="345"/>
      <c r="BO27" s="345"/>
      <c r="BP27" s="345"/>
      <c r="BQ27" s="345"/>
      <c r="BR27" s="18"/>
      <c r="BS27" s="114"/>
      <c r="BT27" s="7"/>
      <c r="BU27" s="346"/>
      <c r="BV27" s="340"/>
      <c r="BW27" s="347"/>
      <c r="BX27" s="18">
        <f t="shared" si="16"/>
        <v>15</v>
      </c>
      <c r="BY27" s="334"/>
      <c r="BZ27" s="348"/>
      <c r="CA27" s="348"/>
      <c r="CB27" s="348"/>
      <c r="CC27" s="348"/>
      <c r="CD27" s="348"/>
      <c r="CE27" s="348"/>
      <c r="CF27" s="348"/>
      <c r="CG27" s="349"/>
      <c r="CH27" s="18">
        <f t="shared" si="17"/>
        <v>15</v>
      </c>
      <c r="CI27" s="334"/>
      <c r="CJ27" s="350"/>
      <c r="CK27" s="349"/>
      <c r="CL27" s="349"/>
      <c r="CM27" s="349"/>
      <c r="CN27" s="349"/>
      <c r="CO27" s="349"/>
      <c r="CP27" s="349"/>
      <c r="CQ27" s="348"/>
      <c r="CR27" s="348"/>
      <c r="CS27" s="18">
        <f t="shared" si="18"/>
        <v>15</v>
      </c>
      <c r="CT27" s="334"/>
      <c r="CU27" s="348"/>
      <c r="CV27" s="348"/>
      <c r="CW27" s="348"/>
      <c r="CY27" s="351"/>
      <c r="CZ27" s="351"/>
      <c r="DA27" s="351"/>
      <c r="DB27" s="202">
        <f t="shared" si="23"/>
        <v>0</v>
      </c>
      <c r="DC27" s="202">
        <f t="shared" si="23"/>
        <v>0</v>
      </c>
      <c r="DD27" s="202">
        <f t="shared" si="23"/>
        <v>0</v>
      </c>
    </row>
    <row r="28" spans="1:108" ht="15" customHeight="1" thickBot="1">
      <c r="A28" s="18">
        <f t="shared" si="2"/>
        <v>17</v>
      </c>
      <c r="B28" s="37" t="s">
        <v>203</v>
      </c>
      <c r="C28" s="309"/>
      <c r="D28" s="309"/>
      <c r="E28" s="11"/>
      <c r="F28" s="2"/>
      <c r="G28" s="112">
        <v>9</v>
      </c>
      <c r="H28" s="11" t="s">
        <v>204</v>
      </c>
      <c r="I28" s="120"/>
      <c r="J28" s="138"/>
      <c r="K28" s="316"/>
      <c r="L28" s="18">
        <f t="shared" si="10"/>
        <v>17</v>
      </c>
      <c r="M28" s="121" t="s">
        <v>205</v>
      </c>
      <c r="N28" s="114"/>
      <c r="O28" s="114"/>
      <c r="P28" s="352">
        <f>P23-P25-P26</f>
        <v>14255275.168983955</v>
      </c>
      <c r="Q28" s="353"/>
      <c r="R28" s="228"/>
      <c r="S28" s="336"/>
      <c r="T28" s="354"/>
      <c r="U28" s="18">
        <f t="shared" si="12"/>
        <v>17</v>
      </c>
      <c r="V28" s="355" t="s">
        <v>206</v>
      </c>
      <c r="X28" s="26"/>
      <c r="Y28" s="26"/>
      <c r="Z28" s="26"/>
      <c r="AA28" s="26"/>
      <c r="AB28" s="26"/>
      <c r="AC28" s="26"/>
      <c r="AD28" s="130">
        <f t="shared" si="4"/>
        <v>17</v>
      </c>
      <c r="AE28" s="356" t="s">
        <v>143</v>
      </c>
      <c r="AJ28" s="357">
        <f>AJ26-AJ27</f>
        <v>254204</v>
      </c>
      <c r="AN28" s="7"/>
      <c r="AS28" s="322"/>
      <c r="AT28" s="344"/>
      <c r="AU28" s="339"/>
      <c r="AV28" s="339"/>
      <c r="AW28" s="339"/>
      <c r="AX28" s="189"/>
      <c r="AY28" s="189"/>
      <c r="AZ28" s="189"/>
      <c r="BA28" s="189"/>
      <c r="BB28" s="189"/>
      <c r="BC28" s="189"/>
      <c r="BD28" s="189"/>
      <c r="BE28" s="189"/>
      <c r="BF28" s="189"/>
      <c r="BG28" s="189"/>
      <c r="BH28" s="189"/>
      <c r="BI28" s="189"/>
      <c r="BJ28" s="189"/>
      <c r="BK28" s="189"/>
      <c r="BL28" s="189"/>
      <c r="BM28" s="358"/>
      <c r="BN28" s="358"/>
      <c r="BO28" s="358"/>
      <c r="BP28" s="358"/>
      <c r="BQ28" s="358"/>
      <c r="BR28" s="18"/>
      <c r="BS28" s="114"/>
      <c r="BU28" s="346"/>
      <c r="BV28" s="340"/>
      <c r="BW28" s="359"/>
      <c r="BX28" s="18">
        <f t="shared" si="16"/>
        <v>16</v>
      </c>
      <c r="BY28" s="360" t="s">
        <v>207</v>
      </c>
      <c r="BZ28" s="137">
        <v>1783066.44</v>
      </c>
      <c r="CA28" s="198">
        <v>0</v>
      </c>
      <c r="CB28" s="198">
        <v>0</v>
      </c>
      <c r="CC28" s="198">
        <v>0</v>
      </c>
      <c r="CD28" s="198">
        <v>0</v>
      </c>
      <c r="CE28" s="198">
        <f>X32</f>
        <v>-101239.83</v>
      </c>
      <c r="CF28" s="198"/>
      <c r="CG28" s="198">
        <v>0</v>
      </c>
      <c r="CH28" s="18">
        <f t="shared" si="17"/>
        <v>16</v>
      </c>
      <c r="CI28" s="360" t="s">
        <v>207</v>
      </c>
      <c r="CJ28" s="198">
        <v>0</v>
      </c>
      <c r="CK28" s="189">
        <v>0</v>
      </c>
      <c r="CL28" s="189">
        <v>0</v>
      </c>
      <c r="CM28" s="189">
        <v>0</v>
      </c>
      <c r="CN28" s="189"/>
      <c r="CO28" s="189"/>
      <c r="CP28" s="189"/>
      <c r="CQ28" s="132">
        <f t="shared" ref="CQ28:CQ41" si="26">SUM(CA28:CP28)-CH28</f>
        <v>-101239.83</v>
      </c>
      <c r="CR28" s="132">
        <f t="shared" ref="CR28:CR41" si="27">BZ28+CQ28</f>
        <v>1681826.6099999999</v>
      </c>
      <c r="CS28" s="18">
        <f t="shared" si="18"/>
        <v>16</v>
      </c>
      <c r="CT28" s="146" t="s">
        <v>208</v>
      </c>
      <c r="CU28" s="198">
        <f t="shared" ref="CU28:CU41" si="28">BZ28</f>
        <v>1783066.44</v>
      </c>
      <c r="CV28" s="198">
        <f t="shared" ref="CV28:CV41" si="29">CQ28</f>
        <v>-101239.83</v>
      </c>
      <c r="CW28" s="199">
        <f>CU28+CV28</f>
        <v>1681826.6099999999</v>
      </c>
      <c r="CY28" s="200">
        <v>1575816</v>
      </c>
      <c r="CZ28" s="200">
        <v>0</v>
      </c>
      <c r="DA28" s="201">
        <v>1575816</v>
      </c>
      <c r="DB28" s="202">
        <f t="shared" si="23"/>
        <v>207250.43999999994</v>
      </c>
      <c r="DC28" s="202">
        <f t="shared" si="23"/>
        <v>-101239.83</v>
      </c>
      <c r="DD28" s="202">
        <f t="shared" si="23"/>
        <v>106010.60999999987</v>
      </c>
    </row>
    <row r="29" spans="1:108" ht="15" customHeight="1" thickTop="1">
      <c r="A29" s="18">
        <f t="shared" si="2"/>
        <v>18</v>
      </c>
      <c r="C29" s="361" t="s">
        <v>209</v>
      </c>
      <c r="D29" s="256"/>
      <c r="E29" s="362">
        <v>-20818872</v>
      </c>
      <c r="F29" s="11"/>
      <c r="G29" s="112">
        <f>+G28+1</f>
        <v>10</v>
      </c>
      <c r="H29" s="180" t="s">
        <v>210</v>
      </c>
      <c r="I29" s="120"/>
      <c r="J29" s="181">
        <v>-12008644.627050996</v>
      </c>
      <c r="K29" s="316"/>
      <c r="L29" s="18">
        <f t="shared" si="10"/>
        <v>18</v>
      </c>
      <c r="M29" s="121"/>
      <c r="P29" s="160" t="s">
        <v>3</v>
      </c>
      <c r="Q29" s="18"/>
      <c r="S29" s="336"/>
      <c r="T29" s="125"/>
      <c r="U29" s="18">
        <f t="shared" si="12"/>
        <v>18</v>
      </c>
      <c r="V29" s="121" t="s">
        <v>211</v>
      </c>
      <c r="W29" s="228"/>
      <c r="X29" s="140">
        <v>-3691644.57</v>
      </c>
      <c r="Y29" s="26"/>
      <c r="Z29" s="26"/>
      <c r="AA29" s="26"/>
      <c r="AB29" s="26"/>
      <c r="AC29" s="26"/>
      <c r="AE29" s="246"/>
      <c r="AN29" s="7"/>
      <c r="AO29" s="22"/>
      <c r="AS29" s="322"/>
      <c r="AT29" s="344"/>
      <c r="AU29" s="339"/>
      <c r="AV29" s="339"/>
      <c r="AW29" s="339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7"/>
      <c r="BK29" s="7"/>
      <c r="BL29" s="7"/>
      <c r="BM29" s="52"/>
      <c r="BN29" s="52"/>
      <c r="BO29" s="52"/>
      <c r="BP29" s="52"/>
      <c r="BQ29" s="52"/>
      <c r="BR29" s="18"/>
      <c r="BV29" s="340"/>
      <c r="BW29" s="363"/>
      <c r="BX29" s="18">
        <f t="shared" si="16"/>
        <v>17</v>
      </c>
      <c r="BY29" s="114" t="s">
        <v>212</v>
      </c>
      <c r="BZ29" s="26">
        <v>-38579.370000000003</v>
      </c>
      <c r="CA29" s="26"/>
      <c r="CB29" s="26"/>
      <c r="CC29" s="26"/>
      <c r="CD29" s="26"/>
      <c r="CE29" s="26"/>
      <c r="CF29" s="26"/>
      <c r="CG29" s="26"/>
      <c r="CH29" s="18">
        <f t="shared" si="17"/>
        <v>17</v>
      </c>
      <c r="CI29" s="114" t="s">
        <v>212</v>
      </c>
      <c r="CJ29" s="26"/>
      <c r="CK29" s="26"/>
      <c r="CL29" s="26"/>
      <c r="CM29" s="26"/>
      <c r="CN29" s="26"/>
      <c r="CO29" s="26"/>
      <c r="CP29" s="26"/>
      <c r="CQ29" s="26">
        <f t="shared" si="26"/>
        <v>0</v>
      </c>
      <c r="CR29" s="26">
        <f t="shared" si="27"/>
        <v>-38579.370000000003</v>
      </c>
      <c r="CS29" s="18">
        <f t="shared" si="18"/>
        <v>17</v>
      </c>
      <c r="CT29" s="114" t="s">
        <v>212</v>
      </c>
      <c r="CU29" s="26">
        <f t="shared" si="28"/>
        <v>-38579.370000000003</v>
      </c>
      <c r="CV29" s="217">
        <f t="shared" si="29"/>
        <v>0</v>
      </c>
      <c r="CW29" s="219">
        <f t="shared" ref="CW29:CW41" si="30">+CU29+CV29</f>
        <v>-38579.370000000003</v>
      </c>
      <c r="CY29" s="331">
        <v>49692</v>
      </c>
      <c r="CZ29" s="220">
        <v>0</v>
      </c>
      <c r="DA29" s="222">
        <v>49692</v>
      </c>
      <c r="DB29" s="202">
        <f t="shared" si="23"/>
        <v>-88271.37</v>
      </c>
      <c r="DC29" s="202">
        <f t="shared" si="23"/>
        <v>0</v>
      </c>
      <c r="DD29" s="202">
        <f t="shared" si="23"/>
        <v>-88271.37</v>
      </c>
    </row>
    <row r="30" spans="1:108" ht="15" customHeight="1">
      <c r="A30" s="18">
        <f t="shared" si="2"/>
        <v>19</v>
      </c>
      <c r="C30" s="361" t="s">
        <v>213</v>
      </c>
      <c r="D30" s="256"/>
      <c r="E30" s="205">
        <v>0</v>
      </c>
      <c r="G30" s="112">
        <v>10</v>
      </c>
      <c r="H30" s="180" t="s">
        <v>214</v>
      </c>
      <c r="I30" s="120"/>
      <c r="J30" s="181">
        <v>-131606.84709844468</v>
      </c>
      <c r="K30" s="316"/>
      <c r="L30" s="18">
        <f t="shared" si="10"/>
        <v>19</v>
      </c>
      <c r="M30" s="114"/>
      <c r="P30" s="237" t="s">
        <v>3</v>
      </c>
      <c r="Q30" s="18"/>
      <c r="S30" s="336"/>
      <c r="T30" s="125"/>
      <c r="U30" s="18">
        <f t="shared" si="12"/>
        <v>19</v>
      </c>
      <c r="V30" s="121" t="s">
        <v>215</v>
      </c>
      <c r="W30" s="52"/>
      <c r="X30" s="26">
        <v>-29433194.609999999</v>
      </c>
      <c r="Y30" s="364"/>
      <c r="Z30" s="364"/>
      <c r="AA30" s="364"/>
      <c r="AB30" s="364"/>
      <c r="AC30" s="364"/>
      <c r="AK30" s="261"/>
      <c r="AL30" s="261"/>
      <c r="AM30" s="261"/>
      <c r="AN30" s="261"/>
      <c r="AO30" s="22"/>
      <c r="AS30" s="322"/>
      <c r="AT30" s="344"/>
      <c r="AU30" s="339"/>
      <c r="AV30" s="339"/>
      <c r="AW30" s="339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7"/>
      <c r="BK30" s="7"/>
      <c r="BL30" s="7"/>
      <c r="BM30" s="52"/>
      <c r="BN30" s="52"/>
      <c r="BO30" s="52"/>
      <c r="BP30" s="52"/>
      <c r="BQ30" s="52"/>
      <c r="BR30" s="18"/>
      <c r="BW30" s="365"/>
      <c r="BX30" s="18">
        <f t="shared" si="16"/>
        <v>18</v>
      </c>
      <c r="BY30" s="114" t="s">
        <v>216</v>
      </c>
      <c r="BZ30" s="26">
        <v>52377194.669999897</v>
      </c>
      <c r="CA30" s="26"/>
      <c r="CB30" s="26"/>
      <c r="CC30" s="26"/>
      <c r="CD30" s="26"/>
      <c r="CE30" s="26"/>
      <c r="CF30" s="26"/>
      <c r="CG30" s="26"/>
      <c r="CH30" s="18">
        <f t="shared" si="17"/>
        <v>18</v>
      </c>
      <c r="CI30" s="114" t="s">
        <v>216</v>
      </c>
      <c r="CJ30" s="26"/>
      <c r="CK30" s="26"/>
      <c r="CL30" s="26"/>
      <c r="CM30" s="26"/>
      <c r="CN30" s="26"/>
      <c r="CO30" s="26"/>
      <c r="CP30" s="26"/>
      <c r="CQ30" s="26">
        <f t="shared" si="26"/>
        <v>0</v>
      </c>
      <c r="CR30" s="26">
        <f t="shared" si="27"/>
        <v>52377194.669999897</v>
      </c>
      <c r="CS30" s="18">
        <f t="shared" si="18"/>
        <v>18</v>
      </c>
      <c r="CT30" s="114" t="s">
        <v>216</v>
      </c>
      <c r="CU30" s="26">
        <f t="shared" si="28"/>
        <v>52377194.669999897</v>
      </c>
      <c r="CV30" s="217">
        <f t="shared" si="29"/>
        <v>0</v>
      </c>
      <c r="CW30" s="219">
        <f t="shared" si="30"/>
        <v>52377194.669999897</v>
      </c>
      <c r="CY30" s="331">
        <v>52286164</v>
      </c>
      <c r="CZ30" s="220">
        <v>0</v>
      </c>
      <c r="DA30" s="222">
        <v>52286164</v>
      </c>
      <c r="DB30" s="202">
        <f t="shared" si="23"/>
        <v>91030.66999989748</v>
      </c>
      <c r="DC30" s="202">
        <f t="shared" si="23"/>
        <v>0</v>
      </c>
      <c r="DD30" s="202">
        <f t="shared" si="23"/>
        <v>91030.66999989748</v>
      </c>
    </row>
    <row r="31" spans="1:108" ht="15" customHeight="1" thickBot="1">
      <c r="A31" s="18">
        <f t="shared" si="2"/>
        <v>20</v>
      </c>
      <c r="C31" s="366" t="s">
        <v>217</v>
      </c>
      <c r="D31" s="26"/>
      <c r="E31" s="205">
        <v>-5956869.0813599825</v>
      </c>
      <c r="G31" s="112">
        <f>+G30+1</f>
        <v>11</v>
      </c>
      <c r="H31" s="367"/>
      <c r="I31" s="120"/>
      <c r="J31" s="368"/>
      <c r="K31" s="316"/>
      <c r="L31" s="18">
        <f t="shared" si="10"/>
        <v>20</v>
      </c>
      <c r="M31" s="114" t="s">
        <v>218</v>
      </c>
      <c r="N31" s="114"/>
      <c r="O31" s="114"/>
      <c r="P31" s="357">
        <f>-P28</f>
        <v>-14255275.168983955</v>
      </c>
      <c r="Q31" s="18"/>
      <c r="S31" s="336"/>
      <c r="T31" s="125"/>
      <c r="U31" s="18">
        <f t="shared" si="12"/>
        <v>20</v>
      </c>
      <c r="V31" s="121" t="s">
        <v>219</v>
      </c>
      <c r="X31" s="26">
        <v>22888720.789999999</v>
      </c>
      <c r="Y31" s="26"/>
      <c r="Z31" s="26"/>
      <c r="AA31" s="26"/>
      <c r="AB31" s="26"/>
      <c r="AC31" s="26"/>
      <c r="AN31" s="7"/>
      <c r="AS31" s="322"/>
      <c r="AT31" s="344"/>
      <c r="AU31" s="339"/>
      <c r="AV31" s="339"/>
      <c r="AW31" s="339"/>
      <c r="AX31" s="12"/>
      <c r="AY31" s="12"/>
      <c r="AZ31" s="12"/>
      <c r="BA31" s="12"/>
      <c r="BB31" s="12"/>
      <c r="BC31" s="12"/>
      <c r="BD31" s="12"/>
      <c r="BE31" s="12"/>
      <c r="BF31" s="12"/>
      <c r="BG31" s="12"/>
      <c r="BH31" s="12"/>
      <c r="BI31" s="12"/>
      <c r="BJ31" s="12"/>
      <c r="BK31" s="12"/>
      <c r="BL31" s="12"/>
      <c r="BM31" s="369"/>
      <c r="BN31" s="369"/>
      <c r="BO31" s="369"/>
      <c r="BP31" s="369"/>
      <c r="BQ31" s="369"/>
      <c r="BU31" s="324" t="s">
        <v>3</v>
      </c>
      <c r="BV31" s="324"/>
      <c r="BX31" s="18">
        <f t="shared" si="16"/>
        <v>19</v>
      </c>
      <c r="BY31" s="370" t="s">
        <v>220</v>
      </c>
      <c r="BZ31" s="26">
        <v>30511840.375652</v>
      </c>
      <c r="CA31" s="371">
        <f>+E44</f>
        <v>-105825</v>
      </c>
      <c r="CB31" s="371">
        <f>+J34</f>
        <v>-60422.039202597152</v>
      </c>
      <c r="CC31" s="371"/>
      <c r="CD31" s="371"/>
      <c r="CE31" s="371">
        <f>X23</f>
        <v>-224212.99682419261</v>
      </c>
      <c r="CF31" s="371"/>
      <c r="CG31" s="26">
        <f>AJ24</f>
        <v>-391083</v>
      </c>
      <c r="CH31" s="18">
        <f t="shared" si="17"/>
        <v>19</v>
      </c>
      <c r="CI31" s="370" t="s">
        <v>220</v>
      </c>
      <c r="CJ31" s="371"/>
      <c r="CK31" s="26">
        <f>AR12</f>
        <v>0</v>
      </c>
      <c r="CL31" s="26"/>
      <c r="CM31" s="26"/>
      <c r="CN31" s="26"/>
      <c r="CO31" s="26"/>
      <c r="CP31" s="26"/>
      <c r="CQ31" s="26">
        <f t="shared" si="26"/>
        <v>-781543.03602678981</v>
      </c>
      <c r="CR31" s="26">
        <f t="shared" si="27"/>
        <v>29730297.33962521</v>
      </c>
      <c r="CS31" s="18">
        <f t="shared" si="18"/>
        <v>19</v>
      </c>
      <c r="CT31" s="370" t="s">
        <v>221</v>
      </c>
      <c r="CU31" s="26">
        <f t="shared" si="28"/>
        <v>30511840.375652</v>
      </c>
      <c r="CV31" s="218">
        <f t="shared" si="29"/>
        <v>-781543.03602678981</v>
      </c>
      <c r="CW31" s="219">
        <f t="shared" si="30"/>
        <v>29730297.33962521</v>
      </c>
      <c r="CY31" s="331">
        <v>30505504</v>
      </c>
      <c r="CZ31" s="221">
        <v>-133722.44614531827</v>
      </c>
      <c r="DA31" s="222">
        <v>30371781.553854682</v>
      </c>
      <c r="DB31" s="202">
        <f t="shared" si="23"/>
        <v>6336.375652000308</v>
      </c>
      <c r="DC31" s="202">
        <f t="shared" si="23"/>
        <v>-647820.58988147159</v>
      </c>
      <c r="DD31" s="202">
        <f t="shared" si="23"/>
        <v>-641484.21422947198</v>
      </c>
    </row>
    <row r="32" spans="1:108" ht="15" customHeight="1" thickTop="1">
      <c r="A32" s="18">
        <f t="shared" si="2"/>
        <v>21</v>
      </c>
      <c r="B32" s="11"/>
      <c r="C32" s="361" t="s">
        <v>222</v>
      </c>
      <c r="D32" s="26"/>
      <c r="E32" s="205">
        <v>-754633.25648000836</v>
      </c>
      <c r="F32" s="11"/>
      <c r="G32" s="112">
        <f>+G31+1</f>
        <v>12</v>
      </c>
      <c r="H32" s="372" t="s">
        <v>223</v>
      </c>
      <c r="I32" s="120"/>
      <c r="J32" s="138"/>
      <c r="K32" s="316">
        <f>SUM(J29:J30)</f>
        <v>-12140251.474149441</v>
      </c>
      <c r="L32" s="18"/>
      <c r="M32" s="114"/>
      <c r="N32" s="182"/>
      <c r="O32" s="103"/>
      <c r="P32" s="128"/>
      <c r="Q32" s="18"/>
      <c r="S32" s="336"/>
      <c r="T32" s="125"/>
      <c r="U32" s="18">
        <f t="shared" si="12"/>
        <v>21</v>
      </c>
      <c r="V32" s="226" t="s">
        <v>224</v>
      </c>
      <c r="X32" s="26">
        <v>-101239.83</v>
      </c>
      <c r="Y32" s="373"/>
      <c r="Z32" s="373"/>
      <c r="AA32" s="373"/>
      <c r="AB32" s="373"/>
      <c r="AC32" s="373"/>
      <c r="AN32" s="7"/>
      <c r="AS32" s="322"/>
      <c r="AT32" s="344"/>
      <c r="AU32" s="339"/>
      <c r="AV32" s="339"/>
      <c r="AW32" s="339"/>
      <c r="BM32" s="374"/>
      <c r="BN32" s="374"/>
      <c r="BO32" s="374"/>
      <c r="BP32" s="374"/>
      <c r="BQ32" s="374"/>
      <c r="BT32" s="246"/>
      <c r="BX32" s="18">
        <f t="shared" si="16"/>
        <v>20</v>
      </c>
      <c r="BY32" s="114" t="s">
        <v>225</v>
      </c>
      <c r="BZ32" s="26">
        <v>4868323.6152710002</v>
      </c>
      <c r="CA32" s="26"/>
      <c r="CB32" s="26"/>
      <c r="CC32" s="26"/>
      <c r="CD32" s="26"/>
      <c r="CE32" s="26">
        <f>X29</f>
        <v>-3691644.57</v>
      </c>
      <c r="CF32" s="26"/>
      <c r="CG32" s="26"/>
      <c r="CH32" s="18">
        <f t="shared" si="17"/>
        <v>20</v>
      </c>
      <c r="CI32" s="114" t="s">
        <v>225</v>
      </c>
      <c r="CJ32" s="26"/>
      <c r="CK32" s="26"/>
      <c r="CL32" s="26"/>
      <c r="CM32" s="26"/>
      <c r="CN32" s="26"/>
      <c r="CO32" s="26"/>
      <c r="CP32" s="26"/>
      <c r="CQ32" s="26">
        <f t="shared" si="26"/>
        <v>-3691644.57</v>
      </c>
      <c r="CR32" s="26">
        <f t="shared" si="27"/>
        <v>1176679.0452710004</v>
      </c>
      <c r="CS32" s="18">
        <f t="shared" si="18"/>
        <v>20</v>
      </c>
      <c r="CT32" s="114" t="s">
        <v>225</v>
      </c>
      <c r="CU32" s="26">
        <f t="shared" si="28"/>
        <v>4868323.6152710002</v>
      </c>
      <c r="CV32" s="218">
        <f t="shared" si="29"/>
        <v>-3691644.57</v>
      </c>
      <c r="CW32" s="219">
        <f t="shared" si="30"/>
        <v>1176679.0452710004</v>
      </c>
      <c r="CY32" s="331">
        <v>5018076</v>
      </c>
      <c r="CZ32" s="221">
        <v>-3938031</v>
      </c>
      <c r="DA32" s="222">
        <v>1080045</v>
      </c>
      <c r="DB32" s="202">
        <f t="shared" si="23"/>
        <v>-149752.38472899981</v>
      </c>
      <c r="DC32" s="202">
        <f t="shared" si="23"/>
        <v>246386.43000000017</v>
      </c>
      <c r="DD32" s="202">
        <f t="shared" si="23"/>
        <v>96634.045271000359</v>
      </c>
    </row>
    <row r="33" spans="1:108" s="228" customFormat="1" ht="15" customHeight="1">
      <c r="A33" s="18">
        <f t="shared" si="2"/>
        <v>22</v>
      </c>
      <c r="B33" s="11"/>
      <c r="C33" s="361" t="s">
        <v>226</v>
      </c>
      <c r="D33" s="26"/>
      <c r="E33" s="205">
        <v>0</v>
      </c>
      <c r="F33" s="11"/>
      <c r="G33" s="112">
        <f>+G32+1</f>
        <v>13</v>
      </c>
      <c r="H33" s="11"/>
      <c r="I33" s="11"/>
      <c r="J33" s="375"/>
      <c r="K33" s="276"/>
      <c r="L33" s="18"/>
      <c r="M33" s="114"/>
      <c r="N33" s="103"/>
      <c r="O33" s="103"/>
      <c r="P33" s="128"/>
      <c r="Q33" s="18"/>
      <c r="R33" s="7"/>
      <c r="S33" s="336"/>
      <c r="T33" s="125"/>
      <c r="U33" s="18">
        <f t="shared" si="12"/>
        <v>22</v>
      </c>
      <c r="V33" s="121" t="s">
        <v>227</v>
      </c>
      <c r="W33" s="7"/>
      <c r="X33" s="26">
        <v>-47723788.340000004</v>
      </c>
      <c r="Y33" s="217"/>
      <c r="Z33" s="217"/>
      <c r="AA33" s="217"/>
      <c r="AB33" s="217"/>
      <c r="AC33" s="217"/>
      <c r="AK33" s="7"/>
      <c r="AL33" s="7"/>
      <c r="AM33" s="7"/>
      <c r="AN33" s="7"/>
      <c r="AO33" s="11"/>
      <c r="AP33" s="11"/>
      <c r="AQ33" s="11"/>
      <c r="AR33" s="11"/>
      <c r="AX33" s="309"/>
      <c r="AY33" s="309"/>
      <c r="AZ33" s="309"/>
      <c r="BA33" s="309"/>
      <c r="BB33" s="309"/>
      <c r="BC33" s="309"/>
      <c r="BD33" s="309"/>
      <c r="BE33" s="309"/>
      <c r="BF33" s="309"/>
      <c r="BG33" s="309"/>
      <c r="BH33" s="309"/>
      <c r="BI33" s="309"/>
      <c r="BJ33" s="309"/>
      <c r="BK33" s="309"/>
      <c r="BL33" s="309"/>
      <c r="BM33" s="374"/>
      <c r="BN33" s="374"/>
      <c r="BO33" s="374"/>
      <c r="BP33" s="374"/>
      <c r="BQ33" s="374"/>
      <c r="BR33" s="7"/>
      <c r="BS33" s="7"/>
      <c r="BT33" s="246"/>
      <c r="BU33" s="7"/>
      <c r="BV33" s="7"/>
      <c r="BX33" s="18">
        <f t="shared" si="16"/>
        <v>21</v>
      </c>
      <c r="BY33" s="114" t="s">
        <v>228</v>
      </c>
      <c r="BZ33" s="26">
        <v>29433194.609999999</v>
      </c>
      <c r="CA33" s="26"/>
      <c r="CB33" s="26"/>
      <c r="CC33" s="26"/>
      <c r="CD33" s="26"/>
      <c r="CE33" s="371">
        <f>X30</f>
        <v>-29433194.609999999</v>
      </c>
      <c r="CF33" s="371"/>
      <c r="CG33" s="371"/>
      <c r="CH33" s="18">
        <f t="shared" si="17"/>
        <v>21</v>
      </c>
      <c r="CI33" s="114" t="s">
        <v>228</v>
      </c>
      <c r="CJ33" s="26"/>
      <c r="CK33" s="371"/>
      <c r="CL33" s="371"/>
      <c r="CM33" s="371"/>
      <c r="CN33" s="371"/>
      <c r="CO33" s="371"/>
      <c r="CP33" s="371"/>
      <c r="CQ33" s="26">
        <f t="shared" si="26"/>
        <v>-29433194.609999999</v>
      </c>
      <c r="CR33" s="26">
        <f t="shared" si="27"/>
        <v>0</v>
      </c>
      <c r="CS33" s="18">
        <f t="shared" si="18"/>
        <v>21</v>
      </c>
      <c r="CT33" s="114" t="s">
        <v>228</v>
      </c>
      <c r="CU33" s="26">
        <f t="shared" si="28"/>
        <v>29433194.609999999</v>
      </c>
      <c r="CV33" s="218">
        <f t="shared" si="29"/>
        <v>-29433194.609999999</v>
      </c>
      <c r="CW33" s="219">
        <f t="shared" si="30"/>
        <v>0</v>
      </c>
      <c r="CY33" s="331">
        <v>21360371</v>
      </c>
      <c r="CZ33" s="221">
        <v>-21360370.629999999</v>
      </c>
      <c r="DA33" s="222">
        <v>0.37000000104308128</v>
      </c>
      <c r="DB33" s="202">
        <f t="shared" si="23"/>
        <v>8072823.6099999994</v>
      </c>
      <c r="DC33" s="202">
        <f t="shared" si="23"/>
        <v>-8072823.9800000004</v>
      </c>
      <c r="DD33" s="202">
        <f t="shared" si="23"/>
        <v>-0.37000000104308128</v>
      </c>
    </row>
    <row r="34" spans="1:108" ht="15" customHeight="1">
      <c r="A34" s="18">
        <f t="shared" si="2"/>
        <v>23</v>
      </c>
      <c r="C34" s="361" t="s">
        <v>229</v>
      </c>
      <c r="D34" s="26"/>
      <c r="E34" s="205">
        <v>-261916.97446999885</v>
      </c>
      <c r="G34" s="112">
        <f t="shared" ref="G34:G44" si="31">+G33+1</f>
        <v>14</v>
      </c>
      <c r="H34" s="121" t="s">
        <v>191</v>
      </c>
      <c r="I34" s="376">
        <f>+BV12</f>
        <v>3.7230000000000002E-3</v>
      </c>
      <c r="J34" s="181">
        <f>+K26*I34</f>
        <v>-60422.039202597152</v>
      </c>
      <c r="K34" s="26"/>
      <c r="L34" s="18"/>
      <c r="P34" s="132" t="s">
        <v>3</v>
      </c>
      <c r="Q34" s="18"/>
      <c r="S34" s="336"/>
      <c r="T34" s="125"/>
      <c r="U34" s="18">
        <f t="shared" si="12"/>
        <v>23</v>
      </c>
      <c r="V34" s="125" t="s">
        <v>182</v>
      </c>
      <c r="X34" s="337">
        <f>SUM(X29:X33)</f>
        <v>-58061146.560000002</v>
      </c>
      <c r="Y34" s="250"/>
      <c r="Z34" s="250"/>
      <c r="AA34" s="250"/>
      <c r="AB34" s="250"/>
      <c r="AC34" s="250"/>
      <c r="AN34" s="7"/>
      <c r="BM34" s="374"/>
      <c r="BN34" s="374"/>
      <c r="BO34" s="374"/>
      <c r="BP34" s="374"/>
      <c r="BQ34" s="374"/>
      <c r="BR34" s="6"/>
      <c r="BT34" s="246"/>
      <c r="BV34" s="8"/>
      <c r="BX34" s="18">
        <f t="shared" si="16"/>
        <v>22</v>
      </c>
      <c r="BY34" s="114" t="s">
        <v>230</v>
      </c>
      <c r="BZ34" s="26">
        <v>47843681.347378902</v>
      </c>
      <c r="CA34" s="26">
        <f>+E45</f>
        <v>-56849</v>
      </c>
      <c r="CB34" s="26">
        <f>J35</f>
        <v>-32458.790868975098</v>
      </c>
      <c r="CC34" s="26"/>
      <c r="CD34" s="26"/>
      <c r="CE34" s="26">
        <f>X24</f>
        <v>-120447.4868784274</v>
      </c>
      <c r="CF34" s="26">
        <f>AC21</f>
        <v>0</v>
      </c>
      <c r="CG34" s="26"/>
      <c r="CH34" s="18">
        <f t="shared" si="17"/>
        <v>22</v>
      </c>
      <c r="CI34" s="114" t="s">
        <v>230</v>
      </c>
      <c r="CJ34" s="26">
        <f>AN18</f>
        <v>0</v>
      </c>
      <c r="CK34" s="26"/>
      <c r="CL34" s="26">
        <f>AW15</f>
        <v>1493475.0443695919</v>
      </c>
      <c r="CM34" s="26">
        <f>BB14</f>
        <v>0</v>
      </c>
      <c r="CN34" s="26">
        <f>BG16</f>
        <v>0</v>
      </c>
      <c r="CO34" s="26"/>
      <c r="CP34" s="26">
        <f>BQ13</f>
        <v>-1380878.6600712556</v>
      </c>
      <c r="CQ34" s="26">
        <f t="shared" si="26"/>
        <v>-97158.893449066207</v>
      </c>
      <c r="CR34" s="26">
        <f t="shared" si="27"/>
        <v>47746522.453929834</v>
      </c>
      <c r="CS34" s="18">
        <f t="shared" si="18"/>
        <v>22</v>
      </c>
      <c r="CT34" s="114" t="s">
        <v>230</v>
      </c>
      <c r="CU34" s="26">
        <f t="shared" si="28"/>
        <v>47843681.347378902</v>
      </c>
      <c r="CV34" s="218">
        <f t="shared" si="29"/>
        <v>-97158.893449066207</v>
      </c>
      <c r="CW34" s="219">
        <f t="shared" si="30"/>
        <v>47746522.453929834</v>
      </c>
      <c r="CY34" s="331">
        <v>46749178</v>
      </c>
      <c r="CZ34" s="221">
        <v>-365654.72291764594</v>
      </c>
      <c r="DA34" s="222">
        <v>46383523.277082354</v>
      </c>
      <c r="DB34" s="202">
        <f t="shared" si="23"/>
        <v>1094503.3473789021</v>
      </c>
      <c r="DC34" s="202">
        <f t="shared" si="23"/>
        <v>268495.82946857973</v>
      </c>
      <c r="DD34" s="202">
        <f t="shared" si="23"/>
        <v>1362999.1768474802</v>
      </c>
    </row>
    <row r="35" spans="1:108" ht="15" customHeight="1">
      <c r="A35" s="18">
        <f t="shared" si="2"/>
        <v>24</v>
      </c>
      <c r="B35" s="11"/>
      <c r="C35" s="361" t="s">
        <v>231</v>
      </c>
      <c r="E35" s="205">
        <v>-292485.4758999981</v>
      </c>
      <c r="F35" s="11"/>
      <c r="G35" s="112">
        <f t="shared" si="31"/>
        <v>15</v>
      </c>
      <c r="H35" s="121" t="s">
        <v>232</v>
      </c>
      <c r="I35" s="377">
        <f>+BV13</f>
        <v>2E-3</v>
      </c>
      <c r="J35" s="181">
        <f>+K26*I35</f>
        <v>-32458.790868975098</v>
      </c>
      <c r="K35" s="26"/>
      <c r="P35" s="26"/>
      <c r="Q35" s="18"/>
      <c r="S35" s="336"/>
      <c r="T35" s="125"/>
      <c r="U35" s="18">
        <f t="shared" si="12"/>
        <v>24</v>
      </c>
      <c r="V35" s="4"/>
      <c r="X35" s="26"/>
      <c r="AN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7"/>
      <c r="BK35" s="7"/>
      <c r="BL35" s="7"/>
      <c r="BM35" s="374"/>
      <c r="BN35" s="374"/>
      <c r="BO35" s="374"/>
      <c r="BP35" s="374"/>
      <c r="BQ35" s="374"/>
      <c r="BR35" s="6"/>
      <c r="BT35" s="246"/>
      <c r="BV35" s="8"/>
      <c r="BX35" s="18">
        <f t="shared" si="16"/>
        <v>23</v>
      </c>
      <c r="BY35" s="114" t="s">
        <v>233</v>
      </c>
      <c r="BZ35" s="26">
        <v>103505051.210462</v>
      </c>
      <c r="CA35" s="26"/>
      <c r="CB35" s="26"/>
      <c r="CC35" s="26"/>
      <c r="CD35" s="26"/>
      <c r="CG35" s="26"/>
      <c r="CH35" s="18">
        <f t="shared" si="17"/>
        <v>23</v>
      </c>
      <c r="CI35" s="114" t="s">
        <v>233</v>
      </c>
      <c r="CJ35" s="26"/>
      <c r="CK35" s="26"/>
      <c r="CL35" s="26"/>
      <c r="CM35" s="26"/>
      <c r="CN35" s="26"/>
      <c r="CO35" s="26"/>
      <c r="CP35" s="26"/>
      <c r="CQ35" s="26">
        <f t="shared" si="26"/>
        <v>0</v>
      </c>
      <c r="CR35" s="26">
        <f t="shared" si="27"/>
        <v>103505051.210462</v>
      </c>
      <c r="CS35" s="18">
        <f t="shared" si="18"/>
        <v>23</v>
      </c>
      <c r="CT35" s="114" t="s">
        <v>233</v>
      </c>
      <c r="CU35" s="26">
        <f t="shared" si="28"/>
        <v>103505051.210462</v>
      </c>
      <c r="CV35" s="218">
        <f t="shared" si="29"/>
        <v>0</v>
      </c>
      <c r="CW35" s="219">
        <f t="shared" si="30"/>
        <v>103505051.210462</v>
      </c>
      <c r="CY35" s="331">
        <v>102889642</v>
      </c>
      <c r="CZ35" s="221">
        <v>0</v>
      </c>
      <c r="DA35" s="222">
        <v>102889642</v>
      </c>
      <c r="DB35" s="202">
        <f t="shared" si="23"/>
        <v>615409.21046200395</v>
      </c>
      <c r="DC35" s="202">
        <f t="shared" si="23"/>
        <v>0</v>
      </c>
      <c r="DD35" s="202">
        <f t="shared" si="23"/>
        <v>615409.21046200395</v>
      </c>
    </row>
    <row r="36" spans="1:108" ht="15" customHeight="1">
      <c r="A36" s="18">
        <f t="shared" si="2"/>
        <v>25</v>
      </c>
      <c r="C36" s="366" t="s">
        <v>234</v>
      </c>
      <c r="E36" s="205">
        <v>-326388.08612000197</v>
      </c>
      <c r="G36" s="112">
        <f t="shared" si="31"/>
        <v>16</v>
      </c>
      <c r="H36" s="249" t="s">
        <v>156</v>
      </c>
      <c r="I36" s="378"/>
      <c r="J36" s="379"/>
      <c r="K36" s="316">
        <f>SUM(J33:J36)+K32</f>
        <v>-12233132.304221014</v>
      </c>
      <c r="P36" s="26"/>
      <c r="Q36" s="18"/>
      <c r="S36" s="336"/>
      <c r="T36" s="125"/>
      <c r="U36" s="18">
        <f t="shared" si="12"/>
        <v>25</v>
      </c>
      <c r="V36" s="120" t="s">
        <v>235</v>
      </c>
      <c r="X36" s="373">
        <f>-X20-X26-X34</f>
        <v>493270.20645562559</v>
      </c>
      <c r="AD36" s="7" t="s">
        <v>236</v>
      </c>
      <c r="AK36" s="228"/>
      <c r="AL36" s="228"/>
      <c r="AM36" s="228"/>
      <c r="AN36" s="228"/>
      <c r="AS36" s="7" t="s">
        <v>3</v>
      </c>
      <c r="AX36" s="345"/>
      <c r="AY36" s="345"/>
      <c r="AZ36" s="345"/>
      <c r="BA36" s="345"/>
      <c r="BB36" s="345"/>
      <c r="BC36" s="345"/>
      <c r="BD36" s="345"/>
      <c r="BE36" s="345"/>
      <c r="BF36" s="345"/>
      <c r="BG36" s="345"/>
      <c r="BH36" s="345"/>
      <c r="BI36" s="345"/>
      <c r="BJ36" s="345"/>
      <c r="BK36" s="345"/>
      <c r="BL36" s="345"/>
      <c r="BM36" s="374"/>
      <c r="BN36" s="374"/>
      <c r="BO36" s="374"/>
      <c r="BP36" s="374"/>
      <c r="BQ36" s="374"/>
      <c r="BR36" s="6"/>
      <c r="BT36" s="246"/>
      <c r="BV36" s="8"/>
      <c r="BX36" s="18">
        <f t="shared" si="16"/>
        <v>24</v>
      </c>
      <c r="BY36" s="114" t="s">
        <v>237</v>
      </c>
      <c r="BZ36" s="26">
        <v>11884767.2889609</v>
      </c>
      <c r="CA36" s="26"/>
      <c r="CB36" s="26"/>
      <c r="CC36" s="26"/>
      <c r="CD36" s="26"/>
      <c r="CG36" s="26"/>
      <c r="CH36" s="18">
        <f t="shared" si="17"/>
        <v>24</v>
      </c>
      <c r="CI36" s="114" t="s">
        <v>237</v>
      </c>
      <c r="CK36" s="26"/>
      <c r="CL36" s="26"/>
      <c r="CM36" s="26"/>
      <c r="CN36" s="26"/>
      <c r="CO36" s="26"/>
      <c r="CP36" s="26"/>
      <c r="CQ36" s="26">
        <f t="shared" si="26"/>
        <v>0</v>
      </c>
      <c r="CR36" s="26">
        <f t="shared" si="27"/>
        <v>11884767.2889609</v>
      </c>
      <c r="CS36" s="18">
        <f t="shared" si="18"/>
        <v>24</v>
      </c>
      <c r="CT36" s="114" t="s">
        <v>237</v>
      </c>
      <c r="CU36" s="26">
        <f t="shared" si="28"/>
        <v>11884767.2889609</v>
      </c>
      <c r="CV36" s="217">
        <f>CQ36</f>
        <v>0</v>
      </c>
      <c r="CW36" s="219">
        <f>+CU36+CV36</f>
        <v>11884767.2889609</v>
      </c>
      <c r="CY36" s="331">
        <v>12487218</v>
      </c>
      <c r="CZ36" s="220">
        <v>0</v>
      </c>
      <c r="DA36" s="222">
        <v>12487218</v>
      </c>
      <c r="DB36" s="202">
        <f t="shared" si="23"/>
        <v>-602450.71103909984</v>
      </c>
      <c r="DC36" s="202">
        <f t="shared" si="23"/>
        <v>0</v>
      </c>
      <c r="DD36" s="202">
        <f t="shared" si="23"/>
        <v>-602450.71103909984</v>
      </c>
    </row>
    <row r="37" spans="1:108" ht="15" customHeight="1">
      <c r="A37" s="18">
        <f t="shared" si="2"/>
        <v>26</v>
      </c>
      <c r="B37" s="11"/>
      <c r="C37" s="366" t="s">
        <v>238</v>
      </c>
      <c r="D37" s="26"/>
      <c r="E37" s="205">
        <v>-7046.4526399993338</v>
      </c>
      <c r="F37" s="11"/>
      <c r="G37" s="112">
        <f t="shared" si="31"/>
        <v>17</v>
      </c>
      <c r="H37" s="121"/>
      <c r="I37" s="378"/>
      <c r="J37" s="115"/>
      <c r="K37" s="26"/>
      <c r="Q37" s="18"/>
      <c r="S37" s="336"/>
      <c r="T37" s="125"/>
      <c r="U37" s="18">
        <f t="shared" si="12"/>
        <v>26</v>
      </c>
      <c r="V37" s="120" t="s">
        <v>239</v>
      </c>
      <c r="X37" s="217">
        <f>X36*0.35</f>
        <v>172644.57225946896</v>
      </c>
      <c r="Y37" s="103"/>
      <c r="Z37" s="103"/>
      <c r="AA37" s="103"/>
      <c r="AB37" s="103"/>
      <c r="AC37" s="103"/>
      <c r="AN37" s="7"/>
      <c r="AX37" s="358"/>
      <c r="AY37" s="358"/>
      <c r="AZ37" s="358"/>
      <c r="BA37" s="358"/>
      <c r="BB37" s="358"/>
      <c r="BC37" s="358"/>
      <c r="BD37" s="358"/>
      <c r="BE37" s="358"/>
      <c r="BF37" s="358"/>
      <c r="BG37" s="358"/>
      <c r="BH37" s="358"/>
      <c r="BI37" s="358"/>
      <c r="BJ37" s="358"/>
      <c r="BK37" s="358"/>
      <c r="BL37" s="358"/>
      <c r="BM37" s="374"/>
      <c r="BN37" s="374"/>
      <c r="BO37" s="374"/>
      <c r="BP37" s="374"/>
      <c r="BQ37" s="374"/>
      <c r="BR37" s="6"/>
      <c r="BT37" s="246"/>
      <c r="BV37" s="8"/>
      <c r="BX37" s="18">
        <f t="shared" si="16"/>
        <v>25</v>
      </c>
      <c r="BY37" s="114" t="s">
        <v>240</v>
      </c>
      <c r="BZ37" s="26">
        <v>0</v>
      </c>
      <c r="CA37" s="26"/>
      <c r="CB37" s="26"/>
      <c r="CC37" s="26"/>
      <c r="CD37" s="26"/>
      <c r="CE37" s="26"/>
      <c r="CF37" s="26"/>
      <c r="CG37" s="26"/>
      <c r="CH37" s="18">
        <f t="shared" si="17"/>
        <v>25</v>
      </c>
      <c r="CI37" s="114" t="s">
        <v>240</v>
      </c>
      <c r="CJ37" s="26"/>
      <c r="CK37" s="26"/>
      <c r="CL37" s="26"/>
      <c r="CM37" s="26"/>
      <c r="CN37" s="26"/>
      <c r="CO37" s="26"/>
      <c r="CP37" s="26"/>
      <c r="CQ37" s="26">
        <f t="shared" si="26"/>
        <v>0</v>
      </c>
      <c r="CR37" s="26">
        <f t="shared" si="27"/>
        <v>0</v>
      </c>
      <c r="CS37" s="18">
        <f t="shared" si="18"/>
        <v>25</v>
      </c>
      <c r="CT37" s="114" t="s">
        <v>240</v>
      </c>
      <c r="CU37" s="26">
        <f t="shared" si="28"/>
        <v>0</v>
      </c>
      <c r="CV37" s="217">
        <f t="shared" si="29"/>
        <v>0</v>
      </c>
      <c r="CW37" s="219">
        <f t="shared" si="30"/>
        <v>0</v>
      </c>
      <c r="CY37" s="331">
        <v>0</v>
      </c>
      <c r="CZ37" s="220">
        <v>0</v>
      </c>
      <c r="DA37" s="222">
        <v>0</v>
      </c>
      <c r="DB37" s="202">
        <f t="shared" si="23"/>
        <v>0</v>
      </c>
      <c r="DC37" s="202">
        <f t="shared" si="23"/>
        <v>0</v>
      </c>
      <c r="DD37" s="202">
        <f t="shared" si="23"/>
        <v>0</v>
      </c>
    </row>
    <row r="38" spans="1:108" ht="15" customHeight="1" thickBot="1">
      <c r="A38" s="18">
        <f t="shared" si="2"/>
        <v>27</v>
      </c>
      <c r="B38" s="11"/>
      <c r="C38" s="366" t="s">
        <v>241</v>
      </c>
      <c r="D38" s="26"/>
      <c r="E38" s="333">
        <v>-6514.4413099996746</v>
      </c>
      <c r="F38" s="11"/>
      <c r="G38" s="112">
        <f t="shared" si="31"/>
        <v>18</v>
      </c>
      <c r="H38" s="121" t="s">
        <v>242</v>
      </c>
      <c r="I38" s="376">
        <f>+BV14</f>
        <v>3.8377000000000001E-2</v>
      </c>
      <c r="J38" s="181">
        <f>+K26*I38</f>
        <v>-622835.50858932873</v>
      </c>
      <c r="K38" s="26"/>
      <c r="Q38" s="18"/>
      <c r="S38" s="336"/>
      <c r="T38" s="125"/>
      <c r="U38" s="18">
        <f t="shared" si="12"/>
        <v>27</v>
      </c>
      <c r="V38" s="120" t="s">
        <v>143</v>
      </c>
      <c r="X38" s="380">
        <f>X36-X37</f>
        <v>320625.63419615664</v>
      </c>
      <c r="Y38" s="103"/>
      <c r="Z38" s="103"/>
      <c r="AA38" s="103"/>
      <c r="AB38" s="103"/>
      <c r="AC38" s="103"/>
      <c r="AX38" s="52"/>
      <c r="AY38" s="52"/>
      <c r="AZ38" s="52"/>
      <c r="BA38" s="52"/>
      <c r="BB38" s="52"/>
      <c r="BC38" s="52"/>
      <c r="BD38" s="52"/>
      <c r="BE38" s="52"/>
      <c r="BF38" s="52"/>
      <c r="BG38" s="52"/>
      <c r="BH38" s="52"/>
      <c r="BI38" s="52"/>
      <c r="BJ38" s="52"/>
      <c r="BK38" s="52"/>
      <c r="BL38" s="52"/>
      <c r="BR38" s="6"/>
      <c r="BT38" s="246"/>
      <c r="BV38" s="8"/>
      <c r="BX38" s="18">
        <f t="shared" si="16"/>
        <v>26</v>
      </c>
      <c r="BY38" s="114" t="s">
        <v>243</v>
      </c>
      <c r="BZ38" s="26">
        <v>-137395.19</v>
      </c>
      <c r="CA38" s="26"/>
      <c r="CB38" s="26"/>
      <c r="CC38" s="26"/>
      <c r="CD38" s="26"/>
      <c r="CE38" s="26"/>
      <c r="CF38" s="26"/>
      <c r="CG38" s="26"/>
      <c r="CH38" s="18">
        <f t="shared" si="17"/>
        <v>26</v>
      </c>
      <c r="CI38" s="114" t="s">
        <v>243</v>
      </c>
      <c r="CJ38" s="26"/>
      <c r="CK38" s="26"/>
      <c r="CL38" s="26"/>
      <c r="CM38" s="26"/>
      <c r="CN38" s="26"/>
      <c r="CO38" s="26">
        <f>BL16</f>
        <v>0</v>
      </c>
      <c r="CP38" s="26"/>
      <c r="CQ38" s="26">
        <f t="shared" si="26"/>
        <v>0</v>
      </c>
      <c r="CR38" s="26">
        <f t="shared" si="27"/>
        <v>-137395.19</v>
      </c>
      <c r="CS38" s="18">
        <f t="shared" si="18"/>
        <v>26</v>
      </c>
      <c r="CT38" s="114" t="s">
        <v>243</v>
      </c>
      <c r="CU38" s="26">
        <f t="shared" si="28"/>
        <v>-137395.19</v>
      </c>
      <c r="CV38" s="217">
        <f t="shared" si="29"/>
        <v>0</v>
      </c>
      <c r="CW38" s="219">
        <f t="shared" si="30"/>
        <v>-137395.19</v>
      </c>
      <c r="CY38" s="331">
        <v>-151356</v>
      </c>
      <c r="CZ38" s="220">
        <v>0</v>
      </c>
      <c r="DA38" s="222">
        <v>-151356</v>
      </c>
      <c r="DB38" s="202">
        <f t="shared" si="23"/>
        <v>13960.809999999998</v>
      </c>
      <c r="DC38" s="202">
        <f t="shared" si="23"/>
        <v>0</v>
      </c>
      <c r="DD38" s="202">
        <f t="shared" si="23"/>
        <v>13960.809999999998</v>
      </c>
    </row>
    <row r="39" spans="1:108" ht="15" customHeight="1" thickTop="1">
      <c r="A39" s="18">
        <f t="shared" si="2"/>
        <v>28</v>
      </c>
      <c r="B39" s="11" t="s">
        <v>244</v>
      </c>
      <c r="C39" s="11"/>
      <c r="D39" s="11"/>
      <c r="E39" s="132"/>
      <c r="F39" s="375">
        <f>SUM(E29:E38)</f>
        <v>-28424725.768279988</v>
      </c>
      <c r="G39" s="112">
        <f t="shared" si="31"/>
        <v>19</v>
      </c>
      <c r="H39" s="249"/>
      <c r="I39" s="378"/>
      <c r="J39" s="381"/>
      <c r="K39" s="26"/>
      <c r="Q39" s="18"/>
      <c r="S39" s="336"/>
      <c r="T39" s="125"/>
      <c r="U39" s="18" t="s">
        <v>3</v>
      </c>
      <c r="Y39" s="103"/>
      <c r="Z39" s="103"/>
      <c r="AA39" s="103"/>
      <c r="AB39" s="103"/>
      <c r="AC39" s="103"/>
      <c r="AX39" s="52"/>
      <c r="AY39" s="52"/>
      <c r="AZ39" s="52"/>
      <c r="BA39" s="52"/>
      <c r="BB39" s="52"/>
      <c r="BC39" s="52"/>
      <c r="BD39" s="52"/>
      <c r="BE39" s="52"/>
      <c r="BF39" s="52"/>
      <c r="BG39" s="52"/>
      <c r="BH39" s="52"/>
      <c r="BI39" s="52"/>
      <c r="BJ39" s="52"/>
      <c r="BK39" s="52"/>
      <c r="BL39" s="52"/>
      <c r="BR39" s="6"/>
      <c r="BT39" s="246"/>
      <c r="BV39" s="8"/>
      <c r="BX39" s="18">
        <f t="shared" si="16"/>
        <v>27</v>
      </c>
      <c r="BY39" s="114" t="s">
        <v>245</v>
      </c>
      <c r="BZ39" s="26">
        <v>112482024.612381</v>
      </c>
      <c r="CA39" s="26">
        <f>+E48</f>
        <v>-1090856</v>
      </c>
      <c r="CB39" s="26">
        <f>+J38</f>
        <v>-622835.50858932873</v>
      </c>
      <c r="CC39" s="26"/>
      <c r="CD39" s="26"/>
      <c r="CE39" s="26">
        <f>X25+X33</f>
        <v>-50034994.941966705</v>
      </c>
      <c r="CF39" s="26"/>
      <c r="CG39" s="26"/>
      <c r="CH39" s="18">
        <f t="shared" si="17"/>
        <v>27</v>
      </c>
      <c r="CI39" s="114" t="s">
        <v>245</v>
      </c>
      <c r="CJ39" s="26">
        <f>AN14</f>
        <v>0</v>
      </c>
      <c r="CK39" s="26"/>
      <c r="CL39" s="26"/>
      <c r="CM39" s="26"/>
      <c r="CN39" s="26"/>
      <c r="CO39" s="26"/>
      <c r="CP39" s="26">
        <f>BQ15</f>
        <v>-105367.00702370805</v>
      </c>
      <c r="CQ39" s="26">
        <f t="shared" si="26"/>
        <v>-51854053.457579739</v>
      </c>
      <c r="CR39" s="26">
        <f t="shared" si="27"/>
        <v>60627971.154801257</v>
      </c>
      <c r="CS39" s="18">
        <f t="shared" si="18"/>
        <v>27</v>
      </c>
      <c r="CT39" s="114" t="s">
        <v>245</v>
      </c>
      <c r="CU39" s="26">
        <f t="shared" si="28"/>
        <v>112482024.612381</v>
      </c>
      <c r="CV39" s="218">
        <f t="shared" si="29"/>
        <v>-51854053.457579739</v>
      </c>
      <c r="CW39" s="219">
        <f t="shared" si="30"/>
        <v>60627971.154801257</v>
      </c>
      <c r="CY39" s="331">
        <v>115819431</v>
      </c>
      <c r="CZ39" s="221">
        <v>-53493756.64146547</v>
      </c>
      <c r="DA39" s="222">
        <v>62325674.35853453</v>
      </c>
      <c r="DB39" s="202">
        <f t="shared" si="23"/>
        <v>-3337406.3876190037</v>
      </c>
      <c r="DC39" s="202">
        <f t="shared" si="23"/>
        <v>1639703.1838857308</v>
      </c>
      <c r="DD39" s="202">
        <f t="shared" si="23"/>
        <v>-1697703.2037332729</v>
      </c>
    </row>
    <row r="40" spans="1:108" ht="15" customHeight="1">
      <c r="A40" s="18">
        <f t="shared" si="2"/>
        <v>29</v>
      </c>
      <c r="G40" s="112">
        <f t="shared" si="31"/>
        <v>20</v>
      </c>
      <c r="H40" s="249" t="s">
        <v>246</v>
      </c>
      <c r="I40" s="11"/>
      <c r="J40" s="115"/>
      <c r="K40" s="382">
        <f>SUM(J38:J39)</f>
        <v>-622835.50858932873</v>
      </c>
      <c r="Q40" s="18"/>
      <c r="S40" s="336"/>
      <c r="T40" s="125"/>
      <c r="U40" s="7" t="s">
        <v>3</v>
      </c>
      <c r="Y40" s="52"/>
      <c r="Z40" s="52"/>
      <c r="AA40" s="52"/>
      <c r="AB40" s="52"/>
      <c r="AC40" s="52"/>
      <c r="AX40" s="369"/>
      <c r="AY40" s="369"/>
      <c r="AZ40" s="369"/>
      <c r="BA40" s="369"/>
      <c r="BB40" s="369"/>
      <c r="BC40" s="369"/>
      <c r="BD40" s="369"/>
      <c r="BE40" s="369"/>
      <c r="BF40" s="369"/>
      <c r="BG40" s="369"/>
      <c r="BH40" s="369"/>
      <c r="BI40" s="369"/>
      <c r="BJ40" s="369"/>
      <c r="BK40" s="369"/>
      <c r="BL40" s="369"/>
      <c r="BR40" s="6"/>
      <c r="BT40" s="246"/>
      <c r="BV40" s="8"/>
      <c r="BX40" s="18">
        <f t="shared" si="16"/>
        <v>28</v>
      </c>
      <c r="BY40" s="114" t="s">
        <v>247</v>
      </c>
      <c r="BZ40" s="26">
        <v>519801</v>
      </c>
      <c r="CA40" s="26">
        <f>+F53</f>
        <v>-3196205</v>
      </c>
      <c r="CB40" s="26">
        <f>+K43</f>
        <v>-1180700</v>
      </c>
      <c r="CC40" s="26">
        <f>P28</f>
        <v>14255275.168983955</v>
      </c>
      <c r="CD40" s="26">
        <f>+T23</f>
        <v>-2990973.848598856</v>
      </c>
      <c r="CE40" s="26">
        <f>X37</f>
        <v>172644.57225946896</v>
      </c>
      <c r="CF40" s="26">
        <f>AC23</f>
        <v>0</v>
      </c>
      <c r="CG40" s="26">
        <f>AJ27</f>
        <v>136879</v>
      </c>
      <c r="CH40" s="18">
        <f t="shared" si="17"/>
        <v>28</v>
      </c>
      <c r="CI40" s="114" t="s">
        <v>247</v>
      </c>
      <c r="CJ40" s="26">
        <f>AN24</f>
        <v>0</v>
      </c>
      <c r="CK40" s="26"/>
      <c r="CL40" s="26">
        <f>AW18</f>
        <v>-522716.26552935713</v>
      </c>
      <c r="CM40" s="26">
        <f>BB18</f>
        <v>0</v>
      </c>
      <c r="CN40" s="26">
        <f>BG17</f>
        <v>0</v>
      </c>
      <c r="CO40" s="26">
        <f>BL18</f>
        <v>0</v>
      </c>
      <c r="CP40" s="26">
        <f>BQ20</f>
        <v>520186</v>
      </c>
      <c r="CQ40" s="26">
        <f t="shared" si="26"/>
        <v>7194389.6271152105</v>
      </c>
      <c r="CR40" s="26">
        <f t="shared" si="27"/>
        <v>7714190.6271152105</v>
      </c>
      <c r="CS40" s="18">
        <f t="shared" si="18"/>
        <v>28</v>
      </c>
      <c r="CT40" s="114" t="s">
        <v>247</v>
      </c>
      <c r="CU40" s="26">
        <f t="shared" si="28"/>
        <v>519801</v>
      </c>
      <c r="CV40" s="218">
        <f t="shared" si="29"/>
        <v>7194389.6271152105</v>
      </c>
      <c r="CW40" s="219">
        <f t="shared" si="30"/>
        <v>7714190.6271152105</v>
      </c>
      <c r="CY40" s="331">
        <v>519801</v>
      </c>
      <c r="CZ40" s="221">
        <v>1697901.6352814692</v>
      </c>
      <c r="DA40" s="222">
        <v>2217702.6352814692</v>
      </c>
      <c r="DB40" s="202">
        <f t="shared" si="23"/>
        <v>0</v>
      </c>
      <c r="DC40" s="202">
        <f t="shared" si="23"/>
        <v>5496487.9918337408</v>
      </c>
      <c r="DD40" s="202">
        <f t="shared" si="23"/>
        <v>5496487.9918337408</v>
      </c>
    </row>
    <row r="41" spans="1:108" ht="15" customHeight="1">
      <c r="A41" s="18">
        <f t="shared" si="2"/>
        <v>30</v>
      </c>
      <c r="B41" s="37" t="s">
        <v>204</v>
      </c>
      <c r="E41" s="333">
        <v>-18039181.454190161</v>
      </c>
      <c r="F41" s="11"/>
      <c r="G41" s="112">
        <f t="shared" si="31"/>
        <v>21</v>
      </c>
      <c r="H41" s="121"/>
      <c r="I41" s="11"/>
      <c r="J41" s="11"/>
      <c r="K41" s="381"/>
      <c r="Q41" s="18"/>
      <c r="S41" s="336"/>
      <c r="T41" s="125"/>
      <c r="W41" s="103"/>
      <c r="X41" s="103"/>
      <c r="Y41" s="52"/>
      <c r="Z41" s="52"/>
      <c r="AA41" s="52"/>
      <c r="AB41" s="52"/>
      <c r="AC41" s="52"/>
      <c r="AX41" s="374"/>
      <c r="AY41" s="374"/>
      <c r="AZ41" s="374"/>
      <c r="BA41" s="374"/>
      <c r="BB41" s="374"/>
      <c r="BC41" s="374"/>
      <c r="BD41" s="374"/>
      <c r="BE41" s="374"/>
      <c r="BF41" s="374"/>
      <c r="BG41" s="374"/>
      <c r="BH41" s="374"/>
      <c r="BI41" s="374"/>
      <c r="BJ41" s="374"/>
      <c r="BK41" s="374"/>
      <c r="BL41" s="374"/>
      <c r="BR41" s="6"/>
      <c r="BT41" s="246"/>
      <c r="BV41" s="8"/>
      <c r="BX41" s="18">
        <f t="shared" si="16"/>
        <v>29</v>
      </c>
      <c r="BY41" s="7" t="s">
        <v>248</v>
      </c>
      <c r="BZ41" s="26">
        <v>29412287.131999899</v>
      </c>
      <c r="CA41" s="26"/>
      <c r="CB41" s="26"/>
      <c r="CC41" s="26">
        <v>0</v>
      </c>
      <c r="CD41" s="26"/>
      <c r="CE41" s="26"/>
      <c r="CF41" s="26"/>
      <c r="CG41" s="237"/>
      <c r="CH41" s="18">
        <f t="shared" si="17"/>
        <v>29</v>
      </c>
      <c r="CI41" s="7" t="s">
        <v>248</v>
      </c>
      <c r="CJ41" s="329"/>
      <c r="CK41" s="237"/>
      <c r="CL41" s="316"/>
      <c r="CM41" s="316"/>
      <c r="CN41" s="316"/>
      <c r="CO41" s="316"/>
      <c r="CP41" s="316"/>
      <c r="CQ41" s="26">
        <f t="shared" si="26"/>
        <v>0</v>
      </c>
      <c r="CR41" s="237">
        <f t="shared" si="27"/>
        <v>29412287.131999899</v>
      </c>
      <c r="CS41" s="18">
        <f t="shared" si="18"/>
        <v>29</v>
      </c>
      <c r="CT41" s="7" t="s">
        <v>248</v>
      </c>
      <c r="CU41" s="237">
        <f t="shared" si="28"/>
        <v>29412287.131999899</v>
      </c>
      <c r="CV41" s="238">
        <f t="shared" si="29"/>
        <v>0</v>
      </c>
      <c r="CW41" s="239">
        <f t="shared" si="30"/>
        <v>29412287.131999899</v>
      </c>
      <c r="CY41" s="330">
        <v>25140413</v>
      </c>
      <c r="CZ41" s="241">
        <v>5683835.6484999955</v>
      </c>
      <c r="DA41" s="242">
        <v>30824248.648499995</v>
      </c>
      <c r="DB41" s="202">
        <f t="shared" si="23"/>
        <v>4271874.1319998987</v>
      </c>
      <c r="DC41" s="202">
        <f t="shared" si="23"/>
        <v>-5683835.6484999955</v>
      </c>
      <c r="DD41" s="202">
        <f t="shared" si="23"/>
        <v>-1411961.5165000968</v>
      </c>
    </row>
    <row r="42" spans="1:108" ht="15" customHeight="1">
      <c r="A42" s="18">
        <f t="shared" si="2"/>
        <v>31</v>
      </c>
      <c r="B42" s="11" t="s">
        <v>249</v>
      </c>
      <c r="E42" s="132"/>
      <c r="F42" s="375">
        <f>SUM(E41:E41)</f>
        <v>-18039181.454190161</v>
      </c>
      <c r="G42" s="112">
        <f t="shared" si="31"/>
        <v>22</v>
      </c>
      <c r="H42" s="121" t="s">
        <v>154</v>
      </c>
      <c r="I42" s="11"/>
      <c r="J42" s="383"/>
      <c r="K42" s="382">
        <f>K26-K36-K40</f>
        <v>-3373427.6216772073</v>
      </c>
      <c r="Q42" s="18"/>
      <c r="S42" s="336"/>
      <c r="T42" s="125"/>
      <c r="W42" s="103"/>
      <c r="X42" s="296"/>
      <c r="Y42" s="52"/>
      <c r="Z42" s="52"/>
      <c r="AA42" s="52"/>
      <c r="AB42" s="52"/>
      <c r="AC42" s="52"/>
      <c r="AX42" s="374"/>
      <c r="AY42" s="374"/>
      <c r="AZ42" s="374"/>
      <c r="BA42" s="374"/>
      <c r="BB42" s="374"/>
      <c r="BC42" s="374"/>
      <c r="BD42" s="374"/>
      <c r="BE42" s="374"/>
      <c r="BF42" s="374"/>
      <c r="BG42" s="374"/>
      <c r="BH42" s="374"/>
      <c r="BI42" s="374"/>
      <c r="BJ42" s="374"/>
      <c r="BK42" s="374"/>
      <c r="BL42" s="374"/>
      <c r="BR42" s="6"/>
      <c r="BT42" s="246"/>
      <c r="BV42" s="8"/>
      <c r="BW42" s="73"/>
      <c r="BX42" s="18">
        <f t="shared" si="16"/>
        <v>30</v>
      </c>
      <c r="BY42" s="114" t="s">
        <v>250</v>
      </c>
      <c r="BZ42" s="341">
        <f>SUM(BZ28:BZ41)</f>
        <v>424445257.74210554</v>
      </c>
      <c r="CA42" s="341">
        <f t="shared" ref="CA42:CG42" si="32">SUM(CA28:CA41)</f>
        <v>-4449735</v>
      </c>
      <c r="CB42" s="341">
        <f t="shared" si="32"/>
        <v>-1896416.3386609009</v>
      </c>
      <c r="CC42" s="341">
        <f t="shared" si="32"/>
        <v>14255275.168983955</v>
      </c>
      <c r="CD42" s="341">
        <f t="shared" si="32"/>
        <v>-2990973.848598856</v>
      </c>
      <c r="CE42" s="341">
        <f t="shared" si="32"/>
        <v>-83433089.863409862</v>
      </c>
      <c r="CF42" s="341">
        <f t="shared" si="32"/>
        <v>0</v>
      </c>
      <c r="CG42" s="341">
        <f t="shared" si="32"/>
        <v>-254204</v>
      </c>
      <c r="CH42" s="18">
        <f t="shared" si="17"/>
        <v>30</v>
      </c>
      <c r="CI42" s="114" t="s">
        <v>250</v>
      </c>
      <c r="CJ42" s="341">
        <f t="shared" ref="CJ42:CR42" si="33">SUM(CJ28:CJ41)</f>
        <v>0</v>
      </c>
      <c r="CK42" s="341">
        <f t="shared" si="33"/>
        <v>0</v>
      </c>
      <c r="CL42" s="341">
        <f t="shared" si="33"/>
        <v>970758.77884023474</v>
      </c>
      <c r="CM42" s="341">
        <f t="shared" si="33"/>
        <v>0</v>
      </c>
      <c r="CN42" s="341">
        <f>SUM(CN28:CN41)</f>
        <v>0</v>
      </c>
      <c r="CO42" s="341">
        <f>SUM(CO28:CO41)</f>
        <v>0</v>
      </c>
      <c r="CP42" s="341">
        <f t="shared" si="33"/>
        <v>-966059.6670949636</v>
      </c>
      <c r="CQ42" s="341">
        <f t="shared" si="33"/>
        <v>-78764444.769940391</v>
      </c>
      <c r="CR42" s="341">
        <f t="shared" si="33"/>
        <v>345680812.97216523</v>
      </c>
      <c r="CS42" s="18">
        <f t="shared" si="18"/>
        <v>30</v>
      </c>
      <c r="CT42" s="114" t="s">
        <v>250</v>
      </c>
      <c r="CU42" s="341">
        <f>SUM(CU28:CU41)</f>
        <v>424445257.74210554</v>
      </c>
      <c r="CV42" s="341">
        <f>SUM(CV28:CV41)</f>
        <v>-78764444.769940391</v>
      </c>
      <c r="CW42" s="341">
        <f>SUM(CW28:CW41)</f>
        <v>345680812.97216523</v>
      </c>
      <c r="CY42" s="342">
        <v>414249950</v>
      </c>
      <c r="CZ42" s="342">
        <v>-71909798.156746969</v>
      </c>
      <c r="DA42" s="342">
        <v>342340151.84325302</v>
      </c>
      <c r="DB42" s="202">
        <f t="shared" si="23"/>
        <v>10195307.742105544</v>
      </c>
      <c r="DC42" s="202">
        <f t="shared" si="23"/>
        <v>-6854646.6131934226</v>
      </c>
      <c r="DD42" s="202">
        <f t="shared" si="23"/>
        <v>3340661.1289122105</v>
      </c>
    </row>
    <row r="43" spans="1:108" ht="15" customHeight="1">
      <c r="A43" s="18">
        <f t="shared" si="2"/>
        <v>32</v>
      </c>
      <c r="B43" s="384"/>
      <c r="C43" s="508"/>
      <c r="D43" s="508"/>
      <c r="E43" s="508"/>
      <c r="F43" s="11"/>
      <c r="G43" s="112">
        <f t="shared" si="31"/>
        <v>23</v>
      </c>
      <c r="H43" s="121" t="s">
        <v>164</v>
      </c>
      <c r="I43" s="271">
        <f>FIT</f>
        <v>0.35</v>
      </c>
      <c r="J43" s="383"/>
      <c r="K43" s="316">
        <f>ROUND(K42*I43,0)</f>
        <v>-1180700</v>
      </c>
      <c r="Q43" s="18"/>
      <c r="S43" s="336"/>
      <c r="T43" s="125"/>
      <c r="V43" s="103"/>
      <c r="W43" s="103"/>
      <c r="X43" s="296"/>
      <c r="Y43" s="52"/>
      <c r="Z43" s="52"/>
      <c r="AA43" s="52"/>
      <c r="AB43" s="52"/>
      <c r="AC43" s="52"/>
      <c r="AX43" s="374"/>
      <c r="AY43" s="374"/>
      <c r="AZ43" s="374"/>
      <c r="BA43" s="374"/>
      <c r="BB43" s="374"/>
      <c r="BC43" s="374"/>
      <c r="BD43" s="374"/>
      <c r="BE43" s="374"/>
      <c r="BF43" s="374"/>
      <c r="BG43" s="374"/>
      <c r="BH43" s="374"/>
      <c r="BI43" s="374"/>
      <c r="BJ43" s="374"/>
      <c r="BK43" s="374"/>
      <c r="BL43" s="374"/>
      <c r="BR43" s="6"/>
      <c r="BT43" s="246"/>
      <c r="BV43" s="8"/>
      <c r="BW43" s="385"/>
      <c r="BX43" s="18">
        <f t="shared" si="16"/>
        <v>31</v>
      </c>
      <c r="BZ43" s="132"/>
      <c r="CA43" s="132"/>
      <c r="CB43" s="132"/>
      <c r="CC43" s="132"/>
      <c r="CD43" s="132"/>
      <c r="CE43" s="132"/>
      <c r="CF43" s="132"/>
      <c r="CG43" s="132"/>
      <c r="CH43" s="18">
        <f t="shared" si="17"/>
        <v>31</v>
      </c>
      <c r="CJ43" s="132"/>
      <c r="CK43" s="132"/>
      <c r="CL43" s="132"/>
      <c r="CM43" s="132"/>
      <c r="CN43" s="132"/>
      <c r="CO43" s="132"/>
      <c r="CP43" s="132"/>
      <c r="CQ43" s="132"/>
      <c r="CR43" s="132"/>
      <c r="CS43" s="18">
        <f t="shared" si="18"/>
        <v>31</v>
      </c>
      <c r="CU43" s="132"/>
      <c r="CV43" s="132"/>
      <c r="CW43" s="132"/>
      <c r="CY43" s="386"/>
      <c r="CZ43" s="386"/>
      <c r="DA43" s="386"/>
      <c r="DB43" s="202">
        <f t="shared" si="23"/>
        <v>0</v>
      </c>
      <c r="DC43" s="202">
        <f t="shared" si="23"/>
        <v>0</v>
      </c>
      <c r="DD43" s="202">
        <f t="shared" si="23"/>
        <v>0</v>
      </c>
    </row>
    <row r="44" spans="1:108" ht="15" customHeight="1" thickBot="1">
      <c r="A44" s="18">
        <f t="shared" si="2"/>
        <v>33</v>
      </c>
      <c r="B44" s="121" t="s">
        <v>191</v>
      </c>
      <c r="C44" s="121"/>
      <c r="D44" s="376">
        <f>+BV12</f>
        <v>3.7230000000000002E-3</v>
      </c>
      <c r="E44" s="199">
        <f>ROUND(F39*D44,0)</f>
        <v>-105825</v>
      </c>
      <c r="F44" s="26"/>
      <c r="G44" s="112">
        <f t="shared" si="31"/>
        <v>24</v>
      </c>
      <c r="H44" s="121" t="s">
        <v>143</v>
      </c>
      <c r="I44" s="11"/>
      <c r="J44" s="383"/>
      <c r="K44" s="387">
        <f>K42-K43</f>
        <v>-2192727.6216772073</v>
      </c>
      <c r="Q44" s="18"/>
      <c r="S44" s="336"/>
      <c r="T44" s="125"/>
      <c r="U44" s="52"/>
      <c r="V44" s="52"/>
      <c r="W44" s="52"/>
      <c r="X44" s="296"/>
      <c r="Y44" s="52"/>
      <c r="Z44" s="52"/>
      <c r="AA44" s="52"/>
      <c r="AB44" s="52"/>
      <c r="AC44" s="52"/>
      <c r="AX44" s="374"/>
      <c r="AY44" s="374"/>
      <c r="AZ44" s="374"/>
      <c r="BA44" s="374"/>
      <c r="BB44" s="374"/>
      <c r="BC44" s="374"/>
      <c r="BD44" s="374"/>
      <c r="BE44" s="374"/>
      <c r="BF44" s="374"/>
      <c r="BG44" s="374"/>
      <c r="BH44" s="374"/>
      <c r="BI44" s="374"/>
      <c r="BJ44" s="374"/>
      <c r="BK44" s="374"/>
      <c r="BL44" s="374"/>
      <c r="BR44" s="6"/>
      <c r="BT44" s="246"/>
      <c r="BV44" s="8"/>
      <c r="BW44" s="150"/>
      <c r="BX44" s="18">
        <f t="shared" si="16"/>
        <v>32</v>
      </c>
      <c r="BY44" s="114" t="s">
        <v>251</v>
      </c>
      <c r="BZ44" s="137">
        <f t="shared" ref="BZ44:CG44" si="34">BZ17-BZ26-BZ42</f>
        <v>136415776.0478943</v>
      </c>
      <c r="CA44" s="137">
        <f t="shared" si="34"/>
        <v>-5935809.3140898272</v>
      </c>
      <c r="CB44" s="137">
        <f t="shared" si="34"/>
        <v>-2192727.6216772073</v>
      </c>
      <c r="CC44" s="137">
        <f t="shared" si="34"/>
        <v>-14255275.168983955</v>
      </c>
      <c r="CD44" s="137">
        <f t="shared" si="34"/>
        <v>2990973.848598856</v>
      </c>
      <c r="CE44" s="137">
        <f t="shared" si="34"/>
        <v>320625.63419617712</v>
      </c>
      <c r="CF44" s="137">
        <f t="shared" si="34"/>
        <v>0</v>
      </c>
      <c r="CG44" s="137">
        <f t="shared" si="34"/>
        <v>254204</v>
      </c>
      <c r="CH44" s="18">
        <f t="shared" si="17"/>
        <v>32</v>
      </c>
      <c r="CI44" s="114" t="s">
        <v>251</v>
      </c>
      <c r="CJ44" s="137">
        <f t="shared" ref="CJ44:CR44" si="35">CJ17-CJ26-CJ42</f>
        <v>0</v>
      </c>
      <c r="CK44" s="137">
        <f t="shared" si="35"/>
        <v>0</v>
      </c>
      <c r="CL44" s="137">
        <f>CL17-CL26-CL42</f>
        <v>-970758.77884023474</v>
      </c>
      <c r="CM44" s="137">
        <f>CM17-CM26-CM42</f>
        <v>0</v>
      </c>
      <c r="CN44" s="137">
        <f>CN17-CN26-CN42</f>
        <v>0</v>
      </c>
      <c r="CO44" s="137">
        <f>CO17-CO26-CO42</f>
        <v>0</v>
      </c>
      <c r="CP44" s="137">
        <f>CP17-CP26-CP42</f>
        <v>966059.6670949636</v>
      </c>
      <c r="CQ44" s="137">
        <f t="shared" si="35"/>
        <v>-18822707.733701244</v>
      </c>
      <c r="CR44" s="137">
        <f t="shared" si="35"/>
        <v>117593068.31419301</v>
      </c>
      <c r="CS44" s="18">
        <f t="shared" si="18"/>
        <v>32</v>
      </c>
      <c r="CT44" s="7" t="str">
        <f>BY44</f>
        <v>NET OPERATING INCOME</v>
      </c>
      <c r="CU44" s="137">
        <f>CU17-CU26-CU42</f>
        <v>136415776.0478943</v>
      </c>
      <c r="CV44" s="137">
        <f>CV17-CV26-CV42</f>
        <v>-18822707.733701244</v>
      </c>
      <c r="CW44" s="137">
        <f>CW17-CW26-CW42</f>
        <v>117593068.31419325</v>
      </c>
      <c r="CY44" s="388">
        <v>132511707</v>
      </c>
      <c r="CZ44" s="388">
        <v>-20963255.296990186</v>
      </c>
      <c r="DA44" s="388">
        <v>111548451.70300984</v>
      </c>
      <c r="DB44" s="202">
        <f t="shared" si="23"/>
        <v>3904069.047894299</v>
      </c>
      <c r="DC44" s="202">
        <f t="shared" si="23"/>
        <v>2140547.563288942</v>
      </c>
      <c r="DD44" s="202">
        <f t="shared" si="23"/>
        <v>6044616.6111834049</v>
      </c>
    </row>
    <row r="45" spans="1:108" ht="15" customHeight="1" thickTop="1">
      <c r="A45" s="18">
        <f t="shared" si="2"/>
        <v>34</v>
      </c>
      <c r="B45" s="121" t="s">
        <v>232</v>
      </c>
      <c r="C45" s="121"/>
      <c r="D45" s="377">
        <f>+BV13</f>
        <v>2E-3</v>
      </c>
      <c r="E45" s="239">
        <f>ROUND(F39*D45,0)</f>
        <v>-56849</v>
      </c>
      <c r="F45" s="26"/>
      <c r="G45" s="112"/>
      <c r="H45" s="389"/>
      <c r="I45" s="100"/>
      <c r="J45" s="138"/>
      <c r="K45" s="100"/>
      <c r="Q45" s="18"/>
      <c r="S45" s="336"/>
      <c r="T45" s="125"/>
      <c r="U45" s="52"/>
      <c r="V45" s="52"/>
      <c r="W45" s="52"/>
      <c r="X45" s="296"/>
      <c r="Y45" s="52"/>
      <c r="Z45" s="52"/>
      <c r="AA45" s="52"/>
      <c r="AB45" s="52"/>
      <c r="AC45" s="52"/>
      <c r="AX45" s="374"/>
      <c r="AY45" s="374"/>
      <c r="AZ45" s="374"/>
      <c r="BA45" s="374"/>
      <c r="BB45" s="374"/>
      <c r="BC45" s="374"/>
      <c r="BD45" s="374"/>
      <c r="BE45" s="374"/>
      <c r="BF45" s="374"/>
      <c r="BG45" s="374"/>
      <c r="BH45" s="374"/>
      <c r="BI45" s="374"/>
      <c r="BJ45" s="374"/>
      <c r="BK45" s="374"/>
      <c r="BL45" s="374"/>
      <c r="BR45" s="6"/>
      <c r="BT45" s="246"/>
      <c r="BV45" s="8"/>
      <c r="BW45" s="324"/>
      <c r="BX45" s="18">
        <f t="shared" si="16"/>
        <v>33</v>
      </c>
      <c r="BZ45" s="132"/>
      <c r="CA45" s="132"/>
      <c r="CB45" s="132"/>
      <c r="CC45" s="132"/>
      <c r="CD45" s="132"/>
      <c r="CE45" s="132"/>
      <c r="CF45" s="132"/>
      <c r="CG45" s="390" t="s">
        <v>3</v>
      </c>
      <c r="CH45" s="18">
        <f t="shared" si="17"/>
        <v>33</v>
      </c>
      <c r="CJ45" s="132"/>
      <c r="CK45" s="390"/>
      <c r="CL45" s="390"/>
      <c r="CM45" s="390"/>
      <c r="CN45" s="390"/>
      <c r="CO45" s="390"/>
      <c r="CP45" s="390"/>
      <c r="CQ45" s="175"/>
      <c r="CR45" s="175"/>
      <c r="CS45" s="18">
        <f t="shared" si="18"/>
        <v>33</v>
      </c>
      <c r="CT45" s="114"/>
      <c r="CU45" s="391"/>
      <c r="CV45" s="391"/>
      <c r="CW45" s="391"/>
      <c r="CY45" s="392"/>
      <c r="CZ45" s="392"/>
      <c r="DA45" s="392"/>
      <c r="DB45" s="202">
        <f t="shared" si="23"/>
        <v>0</v>
      </c>
      <c r="DC45" s="202">
        <f t="shared" si="23"/>
        <v>0</v>
      </c>
      <c r="DD45" s="202">
        <f t="shared" si="23"/>
        <v>0</v>
      </c>
    </row>
    <row r="46" spans="1:108" ht="15" customHeight="1">
      <c r="A46" s="18">
        <f t="shared" si="2"/>
        <v>35</v>
      </c>
      <c r="B46" s="249" t="s">
        <v>156</v>
      </c>
      <c r="C46" s="121"/>
      <c r="D46" s="393"/>
      <c r="E46" s="383"/>
      <c r="F46" s="394">
        <f>SUM(E44:E45)</f>
        <v>-162674</v>
      </c>
      <c r="G46" s="112"/>
      <c r="H46" s="508"/>
      <c r="I46" s="508"/>
      <c r="J46" s="508"/>
      <c r="K46" s="4"/>
      <c r="Q46" s="18"/>
      <c r="S46" s="336"/>
      <c r="T46" s="125"/>
      <c r="U46" s="52"/>
      <c r="V46" s="52"/>
      <c r="W46" s="52"/>
      <c r="X46" s="52"/>
      <c r="Y46" s="103"/>
      <c r="Z46" s="103"/>
      <c r="AA46" s="103"/>
      <c r="AB46" s="103"/>
      <c r="AC46" s="103"/>
      <c r="AX46" s="374"/>
      <c r="AY46" s="374"/>
      <c r="AZ46" s="374"/>
      <c r="BA46" s="374"/>
      <c r="BB46" s="374"/>
      <c r="BC46" s="374"/>
      <c r="BD46" s="374"/>
      <c r="BE46" s="374"/>
      <c r="BF46" s="374"/>
      <c r="BG46" s="374"/>
      <c r="BH46" s="374"/>
      <c r="BI46" s="374"/>
      <c r="BJ46" s="374"/>
      <c r="BK46" s="374"/>
      <c r="BL46" s="374"/>
      <c r="BR46" s="6"/>
      <c r="BT46" s="246"/>
      <c r="BV46" s="8"/>
      <c r="BW46" s="324"/>
      <c r="BX46" s="18">
        <f t="shared" si="16"/>
        <v>34</v>
      </c>
      <c r="BY46" s="114" t="s">
        <v>252</v>
      </c>
      <c r="BZ46" s="137">
        <f>BZ57</f>
        <v>1592297567.4962132</v>
      </c>
      <c r="CA46" s="132"/>
      <c r="CB46" s="132"/>
      <c r="CC46" s="132"/>
      <c r="CD46" s="132"/>
      <c r="CE46" s="132">
        <v>0</v>
      </c>
      <c r="CF46" s="132"/>
      <c r="CG46" s="185"/>
      <c r="CH46" s="18">
        <f t="shared" si="17"/>
        <v>34</v>
      </c>
      <c r="CI46" s="114" t="s">
        <v>252</v>
      </c>
      <c r="CJ46" s="132"/>
      <c r="CK46" s="189"/>
      <c r="CL46" s="189"/>
      <c r="CM46" s="189"/>
      <c r="CN46" s="189"/>
      <c r="CO46" s="189"/>
      <c r="CP46" s="189"/>
      <c r="CQ46" s="132">
        <f>SUM(CA46:CM46)-CH46</f>
        <v>0</v>
      </c>
      <c r="CR46" s="132">
        <f>BZ46+CQ46</f>
        <v>1592297567.4962132</v>
      </c>
      <c r="CS46" s="18">
        <f t="shared" si="18"/>
        <v>34</v>
      </c>
      <c r="CT46" s="114" t="s">
        <v>252</v>
      </c>
      <c r="CU46" s="132">
        <f>BZ46</f>
        <v>1592297567.4962132</v>
      </c>
      <c r="CV46" s="395">
        <f>CQ46</f>
        <v>0</v>
      </c>
      <c r="CW46" s="132">
        <f>+CU46+CV46</f>
        <v>1592297567.4962132</v>
      </c>
      <c r="CY46" s="386">
        <v>1644558986.6967642</v>
      </c>
      <c r="CZ46" s="396">
        <v>0</v>
      </c>
      <c r="DA46" s="386">
        <v>1644558986.6967642</v>
      </c>
      <c r="DB46" s="202">
        <f t="shared" si="23"/>
        <v>-52261419.200551033</v>
      </c>
      <c r="DC46" s="202">
        <f t="shared" si="23"/>
        <v>0</v>
      </c>
      <c r="DD46" s="202">
        <f t="shared" si="23"/>
        <v>-52261419.200551033</v>
      </c>
    </row>
    <row r="47" spans="1:108" ht="15" customHeight="1">
      <c r="A47" s="18">
        <f t="shared" si="2"/>
        <v>36</v>
      </c>
      <c r="B47" s="121"/>
      <c r="C47" s="121"/>
      <c r="D47" s="397"/>
      <c r="E47" s="115"/>
      <c r="F47" s="26"/>
      <c r="G47" s="112"/>
      <c r="H47" s="4"/>
      <c r="I47" s="4"/>
      <c r="J47" s="4"/>
      <c r="K47" s="4"/>
      <c r="Q47" s="18"/>
      <c r="S47" s="336"/>
      <c r="T47" s="125"/>
      <c r="U47" s="52"/>
      <c r="V47" s="52"/>
      <c r="W47" s="52"/>
      <c r="X47" s="52"/>
      <c r="Y47" s="103"/>
      <c r="Z47" s="103"/>
      <c r="AA47" s="103"/>
      <c r="AB47" s="103"/>
      <c r="AC47" s="103"/>
      <c r="BR47" s="6"/>
      <c r="BT47" s="246"/>
      <c r="BV47" s="8"/>
      <c r="BW47" s="324"/>
      <c r="BX47" s="18">
        <f t="shared" si="16"/>
        <v>35</v>
      </c>
      <c r="CG47" s="12"/>
      <c r="CH47" s="18">
        <f t="shared" si="17"/>
        <v>35</v>
      </c>
      <c r="CK47" s="246"/>
      <c r="CL47" s="246"/>
      <c r="CM47" s="246"/>
      <c r="CN47" s="246"/>
      <c r="CO47" s="246"/>
      <c r="CP47" s="246"/>
      <c r="CQ47" s="175"/>
      <c r="CR47" s="175"/>
      <c r="CS47" s="18">
        <f t="shared" si="18"/>
        <v>35</v>
      </c>
      <c r="CY47" s="152"/>
      <c r="CZ47" s="152"/>
      <c r="DA47" s="152"/>
      <c r="DB47" s="202">
        <f t="shared" si="23"/>
        <v>0</v>
      </c>
      <c r="DC47" s="202">
        <f t="shared" si="23"/>
        <v>0</v>
      </c>
      <c r="DD47" s="202">
        <f t="shared" si="23"/>
        <v>0</v>
      </c>
    </row>
    <row r="48" spans="1:108" ht="15" customHeight="1">
      <c r="A48" s="18">
        <f t="shared" si="2"/>
        <v>37</v>
      </c>
      <c r="B48" s="121" t="s">
        <v>242</v>
      </c>
      <c r="C48" s="121"/>
      <c r="D48" s="376">
        <f>+BV14</f>
        <v>3.8377000000000001E-2</v>
      </c>
      <c r="E48" s="398">
        <f>ROUND(F39*D48,0)</f>
        <v>-1090856</v>
      </c>
      <c r="F48" s="26"/>
      <c r="G48" s="112"/>
      <c r="H48" s="4"/>
      <c r="I48" s="4"/>
      <c r="J48" s="4"/>
      <c r="K48" s="4"/>
      <c r="U48" s="52"/>
      <c r="V48" s="52"/>
      <c r="W48" s="52"/>
      <c r="X48" s="52"/>
      <c r="Y48" s="103"/>
      <c r="Z48" s="103"/>
      <c r="AA48" s="103"/>
      <c r="AB48" s="103"/>
      <c r="AC48" s="103"/>
      <c r="AK48" s="18"/>
      <c r="AL48" s="146"/>
      <c r="AM48" s="246"/>
      <c r="AN48" s="316"/>
      <c r="AT48" s="52"/>
      <c r="AU48" s="52"/>
      <c r="AV48" s="52"/>
      <c r="BR48" s="6"/>
      <c r="BT48" s="246"/>
      <c r="BV48" s="8"/>
      <c r="BW48" s="399"/>
      <c r="BX48" s="18">
        <f t="shared" si="16"/>
        <v>36</v>
      </c>
      <c r="BY48" s="114" t="s">
        <v>253</v>
      </c>
      <c r="BZ48" s="400">
        <f>BZ44/BZ46</f>
        <v>8.5672288165584171E-2</v>
      </c>
      <c r="CE48" s="162"/>
      <c r="CF48" s="162"/>
      <c r="CG48" s="246"/>
      <c r="CH48" s="18">
        <f t="shared" si="17"/>
        <v>36</v>
      </c>
      <c r="CI48" s="114" t="s">
        <v>253</v>
      </c>
      <c r="CK48" s="246"/>
      <c r="CL48" s="246"/>
      <c r="CM48" s="246"/>
      <c r="CN48" s="246"/>
      <c r="CO48" s="246"/>
      <c r="CP48" s="246"/>
      <c r="CR48" s="324">
        <f>CR44/CR46</f>
        <v>7.3851188819625366E-2</v>
      </c>
      <c r="CS48" s="18">
        <f t="shared" si="18"/>
        <v>36</v>
      </c>
      <c r="CT48" s="114" t="s">
        <v>253</v>
      </c>
      <c r="CU48" s="324">
        <f>BZ48</f>
        <v>8.5672288165584171E-2</v>
      </c>
      <c r="CW48" s="324">
        <f>CW44/CW46</f>
        <v>7.3851188819625518E-2</v>
      </c>
      <c r="CY48" s="401">
        <v>8.05758310111825E-2</v>
      </c>
      <c r="CZ48" s="152"/>
      <c r="DA48" s="401">
        <v>6.7828793375824328E-2</v>
      </c>
      <c r="DB48" s="202">
        <f t="shared" si="23"/>
        <v>5.0964571544016707E-3</v>
      </c>
      <c r="DC48" s="202">
        <f t="shared" si="23"/>
        <v>0</v>
      </c>
      <c r="DD48" s="202">
        <f t="shared" si="23"/>
        <v>6.0223954438011901E-3</v>
      </c>
    </row>
    <row r="49" spans="1:108" ht="15" customHeight="1">
      <c r="A49" s="18">
        <f t="shared" si="2"/>
        <v>38</v>
      </c>
      <c r="B49" s="249" t="s">
        <v>246</v>
      </c>
      <c r="C49" s="121"/>
      <c r="D49" s="11"/>
      <c r="E49" s="115"/>
      <c r="F49" s="402">
        <f>SUM(E48:E48)</f>
        <v>-1090856</v>
      </c>
      <c r="G49" s="112"/>
      <c r="U49" s="52"/>
      <c r="V49" s="52"/>
      <c r="W49" s="52"/>
      <c r="X49" s="52"/>
      <c r="Y49" s="103"/>
      <c r="Z49" s="103"/>
      <c r="AA49" s="103"/>
      <c r="AB49" s="103"/>
      <c r="AC49" s="103"/>
      <c r="AT49" s="52"/>
      <c r="AU49" s="52"/>
      <c r="AV49" s="52"/>
      <c r="BR49" s="6"/>
      <c r="BT49" s="246"/>
      <c r="BV49" s="8"/>
      <c r="BX49" s="18">
        <f t="shared" si="16"/>
        <v>37</v>
      </c>
      <c r="CH49" s="18">
        <f t="shared" si="17"/>
        <v>37</v>
      </c>
      <c r="CS49" s="18">
        <f t="shared" si="18"/>
        <v>37</v>
      </c>
      <c r="CU49" s="403"/>
      <c r="CW49" s="403"/>
      <c r="CY49" s="404"/>
      <c r="CZ49" s="152"/>
      <c r="DA49" s="404"/>
      <c r="DB49" s="202">
        <f t="shared" si="23"/>
        <v>0</v>
      </c>
      <c r="DC49" s="202">
        <f t="shared" si="23"/>
        <v>0</v>
      </c>
      <c r="DD49" s="202">
        <f t="shared" si="23"/>
        <v>0</v>
      </c>
    </row>
    <row r="50" spans="1:108" ht="15" customHeight="1">
      <c r="A50" s="18">
        <f t="shared" si="2"/>
        <v>39</v>
      </c>
      <c r="B50" s="121"/>
      <c r="C50" s="121"/>
      <c r="D50" s="11"/>
      <c r="E50" s="11"/>
      <c r="F50" s="26"/>
      <c r="G50" s="112"/>
      <c r="H50" s="4"/>
      <c r="I50" s="4"/>
      <c r="J50" s="4"/>
      <c r="K50" s="4"/>
      <c r="V50" s="103"/>
      <c r="W50" s="103"/>
      <c r="X50" s="103"/>
      <c r="Y50" s="103"/>
      <c r="Z50" s="103"/>
      <c r="AA50" s="103"/>
      <c r="AB50" s="103"/>
      <c r="AC50" s="103"/>
      <c r="AK50" s="18"/>
      <c r="AT50" s="52"/>
      <c r="AU50" s="52"/>
      <c r="AV50" s="52"/>
      <c r="BR50" s="6"/>
      <c r="BT50" s="246"/>
      <c r="BV50" s="8"/>
      <c r="BX50" s="18">
        <f t="shared" si="16"/>
        <v>38</v>
      </c>
      <c r="BY50" s="7" t="s">
        <v>254</v>
      </c>
      <c r="CG50" s="246"/>
      <c r="CH50" s="18">
        <f t="shared" si="17"/>
        <v>38</v>
      </c>
      <c r="CI50" s="7" t="s">
        <v>254</v>
      </c>
      <c r="CK50" s="246"/>
      <c r="CL50" s="246"/>
      <c r="CM50" s="246"/>
      <c r="CN50" s="246"/>
      <c r="CO50" s="246"/>
      <c r="CP50" s="246"/>
      <c r="CR50" s="175"/>
      <c r="CS50" s="18">
        <f t="shared" si="18"/>
        <v>38</v>
      </c>
      <c r="CT50" s="7" t="s">
        <v>254</v>
      </c>
      <c r="CY50" s="152"/>
      <c r="CZ50" s="152"/>
      <c r="DA50" s="152"/>
      <c r="DB50" s="202">
        <f t="shared" si="23"/>
        <v>0</v>
      </c>
      <c r="DC50" s="202">
        <f t="shared" si="23"/>
        <v>0</v>
      </c>
      <c r="DD50" s="202">
        <f t="shared" si="23"/>
        <v>0</v>
      </c>
    </row>
    <row r="51" spans="1:108" ht="15" customHeight="1">
      <c r="A51" s="18">
        <f t="shared" si="2"/>
        <v>40</v>
      </c>
      <c r="B51" s="121" t="s">
        <v>154</v>
      </c>
      <c r="C51" s="121"/>
      <c r="D51" s="11"/>
      <c r="E51" s="383"/>
      <c r="F51" s="382">
        <f>F39-F42-F46-F49</f>
        <v>-9132014.3140898272</v>
      </c>
      <c r="G51" s="322"/>
      <c r="Q51" s="18"/>
      <c r="S51" s="336"/>
      <c r="T51" s="125"/>
      <c r="V51" s="103"/>
      <c r="W51" s="103"/>
      <c r="X51" s="103"/>
      <c r="Y51" s="103"/>
      <c r="Z51" s="103"/>
      <c r="AA51" s="103"/>
      <c r="AB51" s="103"/>
      <c r="AC51" s="103"/>
      <c r="AK51" s="18"/>
      <c r="BN51" s="405"/>
      <c r="BR51" s="6"/>
      <c r="BT51" s="246"/>
      <c r="BV51" s="8"/>
      <c r="BW51" s="36"/>
      <c r="BX51" s="18">
        <f t="shared" si="16"/>
        <v>39</v>
      </c>
      <c r="BY51" s="406" t="s">
        <v>255</v>
      </c>
      <c r="BZ51" s="137">
        <v>2988913700</v>
      </c>
      <c r="CA51" s="123">
        <v>0</v>
      </c>
      <c r="CB51" s="123">
        <v>0</v>
      </c>
      <c r="CC51" s="123">
        <v>0</v>
      </c>
      <c r="CD51" s="123">
        <v>0</v>
      </c>
      <c r="CE51" s="123">
        <f>+CE46</f>
        <v>0</v>
      </c>
      <c r="CF51" s="123"/>
      <c r="CG51" s="123">
        <v>0</v>
      </c>
      <c r="CH51" s="18">
        <f t="shared" si="17"/>
        <v>39</v>
      </c>
      <c r="CI51" s="406" t="s">
        <v>255</v>
      </c>
      <c r="CJ51" s="123">
        <v>0</v>
      </c>
      <c r="CK51" s="123">
        <v>0</v>
      </c>
      <c r="CL51" s="123">
        <v>0</v>
      </c>
      <c r="CM51" s="123">
        <v>0</v>
      </c>
      <c r="CN51" s="123"/>
      <c r="CO51" s="123"/>
      <c r="CP51" s="123">
        <v>0</v>
      </c>
      <c r="CQ51" s="123">
        <f>SUM(CA51:CM51)-CH51</f>
        <v>0</v>
      </c>
      <c r="CR51" s="123">
        <f>+CQ51+BZ51</f>
        <v>2988913700</v>
      </c>
      <c r="CS51" s="18">
        <f t="shared" si="18"/>
        <v>39</v>
      </c>
      <c r="CT51" s="406" t="s">
        <v>255</v>
      </c>
      <c r="CU51" s="137">
        <f>+BZ51</f>
        <v>2988913700</v>
      </c>
      <c r="CV51" s="407">
        <f>+CQ51</f>
        <v>0</v>
      </c>
      <c r="CW51" s="123">
        <f>+CV51+CU51</f>
        <v>2988913700</v>
      </c>
      <c r="CY51" s="388">
        <v>2877011061</v>
      </c>
      <c r="CZ51" s="408">
        <v>0</v>
      </c>
      <c r="DA51" s="409">
        <v>2877011061</v>
      </c>
      <c r="DB51" s="202">
        <f t="shared" si="23"/>
        <v>111902639</v>
      </c>
      <c r="DC51" s="202">
        <f t="shared" si="23"/>
        <v>0</v>
      </c>
      <c r="DD51" s="202">
        <f t="shared" si="23"/>
        <v>111902639</v>
      </c>
    </row>
    <row r="52" spans="1:108" ht="15" customHeight="1">
      <c r="A52" s="18">
        <f t="shared" si="2"/>
        <v>41</v>
      </c>
      <c r="B52" s="121"/>
      <c r="C52" s="121"/>
      <c r="D52" s="11"/>
      <c r="E52" s="383"/>
      <c r="F52" s="383"/>
      <c r="G52" s="322"/>
      <c r="H52" s="4"/>
      <c r="I52" s="4"/>
      <c r="J52" s="4"/>
      <c r="K52" s="4"/>
      <c r="Q52" s="18"/>
      <c r="S52" s="336"/>
      <c r="T52" s="125"/>
      <c r="V52" s="103"/>
      <c r="W52" s="103"/>
      <c r="X52" s="103"/>
      <c r="Y52" s="103"/>
      <c r="Z52" s="103"/>
      <c r="AA52" s="103"/>
      <c r="AB52" s="103"/>
      <c r="AC52" s="103"/>
      <c r="AK52" s="18"/>
      <c r="BR52" s="6"/>
      <c r="BT52" s="246"/>
      <c r="BV52" s="8"/>
      <c r="BW52" s="14"/>
      <c r="BX52" s="18">
        <f t="shared" si="16"/>
        <v>40</v>
      </c>
      <c r="BY52" s="410" t="s">
        <v>256</v>
      </c>
      <c r="BZ52" s="329">
        <v>-1066032832</v>
      </c>
      <c r="CA52" s="411"/>
      <c r="CB52" s="411"/>
      <c r="CC52" s="411"/>
      <c r="CD52" s="411"/>
      <c r="CE52" s="411"/>
      <c r="CF52" s="411"/>
      <c r="CG52" s="411"/>
      <c r="CH52" s="18">
        <f t="shared" si="17"/>
        <v>40</v>
      </c>
      <c r="CI52" s="410" t="s">
        <v>256</v>
      </c>
      <c r="CJ52" s="411"/>
      <c r="CK52" s="411"/>
      <c r="CL52" s="411"/>
      <c r="CM52" s="411"/>
      <c r="CN52" s="411"/>
      <c r="CO52" s="411"/>
      <c r="CP52" s="411"/>
      <c r="CQ52" s="412">
        <f>SUM(CA52:CM52)-CH52</f>
        <v>0</v>
      </c>
      <c r="CR52" s="411">
        <f>+CQ52+BZ52</f>
        <v>-1066032832</v>
      </c>
      <c r="CS52" s="18">
        <f t="shared" si="18"/>
        <v>40</v>
      </c>
      <c r="CT52" s="410" t="s">
        <v>256</v>
      </c>
      <c r="CU52" s="329">
        <f>+BZ52</f>
        <v>-1066032832</v>
      </c>
      <c r="CV52" s="411">
        <f>+CQ52</f>
        <v>0</v>
      </c>
      <c r="CW52" s="411">
        <f>+CV52+CU52</f>
        <v>-1066032832</v>
      </c>
      <c r="CY52" s="413">
        <v>-975934226</v>
      </c>
      <c r="CZ52" s="414">
        <v>0</v>
      </c>
      <c r="DA52" s="414">
        <v>-975934226</v>
      </c>
      <c r="DB52" s="202">
        <f t="shared" si="23"/>
        <v>-90098606</v>
      </c>
      <c r="DC52" s="202">
        <f t="shared" si="23"/>
        <v>0</v>
      </c>
      <c r="DD52" s="202">
        <f t="shared" si="23"/>
        <v>-90098606</v>
      </c>
    </row>
    <row r="53" spans="1:108" ht="15" customHeight="1">
      <c r="A53" s="18">
        <f t="shared" si="2"/>
        <v>42</v>
      </c>
      <c r="B53" s="121" t="s">
        <v>164</v>
      </c>
      <c r="C53" s="121"/>
      <c r="D53" s="415">
        <f>FIT</f>
        <v>0.35</v>
      </c>
      <c r="E53" s="383"/>
      <c r="F53" s="316">
        <f>ROUND(F51*D53,0)</f>
        <v>-3196205</v>
      </c>
      <c r="G53" s="416"/>
      <c r="H53" s="4"/>
      <c r="I53" s="4"/>
      <c r="J53" s="4"/>
      <c r="K53" s="4"/>
      <c r="Q53" s="246"/>
      <c r="R53" s="246"/>
      <c r="S53" s="246"/>
      <c r="T53" s="246"/>
      <c r="V53" s="103"/>
      <c r="W53" s="103"/>
      <c r="X53" s="103"/>
      <c r="Y53" s="103"/>
      <c r="Z53" s="103"/>
      <c r="AA53" s="103"/>
      <c r="AB53" s="103"/>
      <c r="AC53" s="103"/>
      <c r="BR53" s="6"/>
      <c r="BT53" s="246"/>
      <c r="BV53" s="8"/>
      <c r="BW53" s="14"/>
      <c r="BX53" s="18">
        <f t="shared" si="16"/>
        <v>41</v>
      </c>
      <c r="BY53" s="410" t="s">
        <v>257</v>
      </c>
      <c r="BZ53" s="329">
        <v>-344288808.79927146</v>
      </c>
      <c r="CA53" s="417"/>
      <c r="CB53" s="417"/>
      <c r="CC53" s="417"/>
      <c r="CD53" s="417"/>
      <c r="CE53" s="417"/>
      <c r="CF53" s="417"/>
      <c r="CG53" s="417"/>
      <c r="CH53" s="18">
        <f t="shared" si="17"/>
        <v>41</v>
      </c>
      <c r="CI53" s="410" t="s">
        <v>257</v>
      </c>
      <c r="CJ53" s="417"/>
      <c r="CK53" s="417"/>
      <c r="CL53" s="417"/>
      <c r="CM53" s="417"/>
      <c r="CN53" s="417"/>
      <c r="CO53" s="417"/>
      <c r="CP53" s="417"/>
      <c r="CQ53" s="412">
        <f>SUM(CA53:CM53)-CH53</f>
        <v>0</v>
      </c>
      <c r="CR53" s="411">
        <f>+CQ53+BZ53</f>
        <v>-344288808.79927146</v>
      </c>
      <c r="CS53" s="18">
        <f t="shared" si="18"/>
        <v>41</v>
      </c>
      <c r="CT53" s="410" t="s">
        <v>257</v>
      </c>
      <c r="CU53" s="418">
        <f>+BZ53</f>
        <v>-344288808.79927146</v>
      </c>
      <c r="CV53" s="417">
        <f>+CQ53</f>
        <v>0</v>
      </c>
      <c r="CW53" s="417">
        <f>+CV53+CU53</f>
        <v>-344288808.79927146</v>
      </c>
      <c r="CY53" s="419">
        <v>-298016915.46422982</v>
      </c>
      <c r="CZ53" s="420">
        <v>0</v>
      </c>
      <c r="DA53" s="420">
        <v>-298016915.46422982</v>
      </c>
      <c r="DB53" s="202">
        <f t="shared" si="23"/>
        <v>-46271893.335041642</v>
      </c>
      <c r="DC53" s="202">
        <f t="shared" si="23"/>
        <v>0</v>
      </c>
      <c r="DD53" s="202">
        <f t="shared" si="23"/>
        <v>-46271893.335041642</v>
      </c>
    </row>
    <row r="54" spans="1:108" ht="15" customHeight="1" thickBot="1">
      <c r="A54" s="18">
        <f t="shared" si="2"/>
        <v>43</v>
      </c>
      <c r="B54" s="121" t="s">
        <v>143</v>
      </c>
      <c r="C54" s="121"/>
      <c r="D54" s="11"/>
      <c r="E54" s="383"/>
      <c r="F54" s="387">
        <f>F51-F53</f>
        <v>-5935809.3140898272</v>
      </c>
      <c r="G54" s="416"/>
      <c r="L54" s="246"/>
      <c r="Q54" s="246"/>
      <c r="R54" s="246"/>
      <c r="S54" s="246"/>
      <c r="T54" s="246"/>
      <c r="V54" s="103"/>
      <c r="W54" s="103"/>
      <c r="X54" s="103"/>
      <c r="Y54" s="103"/>
      <c r="Z54" s="103"/>
      <c r="AA54" s="103"/>
      <c r="AB54" s="103"/>
      <c r="AC54" s="103"/>
      <c r="AK54" s="18"/>
      <c r="BR54" s="18"/>
      <c r="BT54" s="399"/>
      <c r="BU54" s="324"/>
      <c r="BV54" s="399"/>
      <c r="BW54" s="14"/>
      <c r="BX54" s="18">
        <f t="shared" si="16"/>
        <v>42</v>
      </c>
      <c r="BY54" s="410" t="s">
        <v>258</v>
      </c>
      <c r="BZ54" s="329">
        <v>-42548540</v>
      </c>
      <c r="CA54" s="421"/>
      <c r="CB54" s="421"/>
      <c r="CC54" s="421"/>
      <c r="CD54" s="421"/>
      <c r="CE54" s="421"/>
      <c r="CF54" s="421"/>
      <c r="CG54" s="421"/>
      <c r="CH54" s="18">
        <f t="shared" si="17"/>
        <v>42</v>
      </c>
      <c r="CI54" s="410" t="s">
        <v>258</v>
      </c>
      <c r="CJ54" s="421"/>
      <c r="CK54" s="421"/>
      <c r="CL54" s="421"/>
      <c r="CM54" s="421"/>
      <c r="CN54" s="421"/>
      <c r="CO54" s="421"/>
      <c r="CP54" s="421"/>
      <c r="CQ54" s="277">
        <f>SUM(CA54:CM54)-CH54</f>
        <v>0</v>
      </c>
      <c r="CR54" s="421">
        <f>+CQ54+BZ54</f>
        <v>-42548540</v>
      </c>
      <c r="CS54" s="18">
        <f t="shared" si="18"/>
        <v>42</v>
      </c>
      <c r="CT54" s="410" t="s">
        <v>258</v>
      </c>
      <c r="CU54" s="248">
        <f>+BZ54</f>
        <v>-42548540</v>
      </c>
      <c r="CV54" s="421">
        <f>+CQ54</f>
        <v>0</v>
      </c>
      <c r="CW54" s="421">
        <f>+CV54+CU54</f>
        <v>-42548540</v>
      </c>
      <c r="CY54" s="422">
        <v>-28225299</v>
      </c>
      <c r="CZ54" s="423">
        <v>0</v>
      </c>
      <c r="DA54" s="423">
        <v>-28225299</v>
      </c>
      <c r="DB54" s="202">
        <f t="shared" si="23"/>
        <v>-14323241</v>
      </c>
      <c r="DC54" s="202">
        <f t="shared" si="23"/>
        <v>0</v>
      </c>
      <c r="DD54" s="202">
        <f t="shared" si="23"/>
        <v>-14323241</v>
      </c>
    </row>
    <row r="55" spans="1:108" ht="15" customHeight="1" thickTop="1">
      <c r="G55" s="416"/>
      <c r="H55" s="4"/>
      <c r="I55" s="4"/>
      <c r="J55" s="4"/>
      <c r="K55" s="4"/>
      <c r="L55" s="246"/>
      <c r="V55" s="103"/>
      <c r="W55" s="103"/>
      <c r="X55" s="103"/>
      <c r="Y55" s="103"/>
      <c r="Z55" s="103"/>
      <c r="AA55" s="103"/>
      <c r="AB55" s="103"/>
      <c r="AC55" s="103"/>
      <c r="AK55" s="18"/>
      <c r="AL55" s="246"/>
      <c r="AM55" s="246"/>
      <c r="AN55" s="316"/>
      <c r="BR55" s="18"/>
      <c r="BW55" s="14"/>
      <c r="BX55" s="18">
        <f t="shared" si="16"/>
        <v>43</v>
      </c>
      <c r="BY55" s="410" t="s">
        <v>259</v>
      </c>
      <c r="BZ55" s="424">
        <f t="shared" ref="BZ55:CG55" si="36">SUM(BZ51:BZ54)</f>
        <v>1536043519.2007284</v>
      </c>
      <c r="CA55" s="407">
        <f t="shared" si="36"/>
        <v>0</v>
      </c>
      <c r="CB55" s="407">
        <f t="shared" si="36"/>
        <v>0</v>
      </c>
      <c r="CC55" s="407">
        <f t="shared" si="36"/>
        <v>0</v>
      </c>
      <c r="CD55" s="407">
        <f t="shared" si="36"/>
        <v>0</v>
      </c>
      <c r="CE55" s="407">
        <f t="shared" si="36"/>
        <v>0</v>
      </c>
      <c r="CF55" s="407"/>
      <c r="CG55" s="407">
        <f t="shared" si="36"/>
        <v>0</v>
      </c>
      <c r="CH55" s="18">
        <f t="shared" si="17"/>
        <v>43</v>
      </c>
      <c r="CI55" s="410" t="s">
        <v>259</v>
      </c>
      <c r="CJ55" s="407">
        <f t="shared" ref="CJ55:CR55" si="37">SUM(CJ51:CJ54)</f>
        <v>0</v>
      </c>
      <c r="CK55" s="407">
        <f t="shared" si="37"/>
        <v>0</v>
      </c>
      <c r="CL55" s="407">
        <f t="shared" si="37"/>
        <v>0</v>
      </c>
      <c r="CM55" s="407">
        <f t="shared" si="37"/>
        <v>0</v>
      </c>
      <c r="CN55" s="407"/>
      <c r="CO55" s="407"/>
      <c r="CP55" s="407">
        <f t="shared" si="37"/>
        <v>0</v>
      </c>
      <c r="CQ55" s="407">
        <f t="shared" si="37"/>
        <v>0</v>
      </c>
      <c r="CR55" s="407">
        <f t="shared" si="37"/>
        <v>1536043519.2007284</v>
      </c>
      <c r="CS55" s="18">
        <f t="shared" si="18"/>
        <v>43</v>
      </c>
      <c r="CT55" s="410" t="s">
        <v>259</v>
      </c>
      <c r="CU55" s="407">
        <f>SUM(CU51:CU54)</f>
        <v>1536043519.2007284</v>
      </c>
      <c r="CV55" s="407">
        <f>SUM(CV51:CV54)</f>
        <v>0</v>
      </c>
      <c r="CW55" s="407">
        <f>SUM(CW51:CW54)</f>
        <v>1536043519.2007284</v>
      </c>
      <c r="CY55" s="408">
        <v>1574834620.5357702</v>
      </c>
      <c r="CZ55" s="408">
        <v>0</v>
      </c>
      <c r="DA55" s="408">
        <v>1574834620.5357702</v>
      </c>
      <c r="DB55" s="202">
        <f t="shared" si="23"/>
        <v>-38791101.335041761</v>
      </c>
      <c r="DC55" s="202">
        <f t="shared" si="23"/>
        <v>0</v>
      </c>
      <c r="DD55" s="202">
        <f t="shared" si="23"/>
        <v>-38791101.335041761</v>
      </c>
    </row>
    <row r="56" spans="1:108" ht="15" customHeight="1">
      <c r="G56" s="416"/>
      <c r="H56" s="4"/>
      <c r="I56" s="4"/>
      <c r="J56" s="4"/>
      <c r="K56" s="4"/>
      <c r="L56" s="246"/>
      <c r="V56" s="103"/>
      <c r="W56" s="103"/>
      <c r="X56" s="103"/>
      <c r="Y56" s="103"/>
      <c r="Z56" s="103"/>
      <c r="AA56" s="103"/>
      <c r="AB56" s="103"/>
      <c r="AC56" s="103"/>
      <c r="AK56" s="18"/>
      <c r="AL56" s="246"/>
      <c r="AM56" s="425"/>
      <c r="AN56" s="316"/>
      <c r="BR56" s="52"/>
      <c r="BS56" s="52"/>
      <c r="BT56" s="52"/>
      <c r="BU56" s="52"/>
      <c r="BV56" s="52"/>
      <c r="BW56" s="14"/>
      <c r="BX56" s="18">
        <f t="shared" si="16"/>
        <v>44</v>
      </c>
      <c r="BY56" s="410" t="s">
        <v>260</v>
      </c>
      <c r="BZ56" s="329">
        <v>56254048.295484774</v>
      </c>
      <c r="CA56" s="421"/>
      <c r="CB56" s="421"/>
      <c r="CC56" s="421"/>
      <c r="CD56" s="421"/>
      <c r="CE56" s="421"/>
      <c r="CF56" s="421"/>
      <c r="CG56" s="421"/>
      <c r="CH56" s="18">
        <f t="shared" si="17"/>
        <v>44</v>
      </c>
      <c r="CI56" s="410" t="s">
        <v>260</v>
      </c>
      <c r="CJ56" s="421"/>
      <c r="CK56" s="421"/>
      <c r="CL56" s="421"/>
      <c r="CM56" s="421"/>
      <c r="CN56" s="421"/>
      <c r="CO56" s="421"/>
      <c r="CP56" s="421"/>
      <c r="CQ56" s="421">
        <f>SUM(CA56:CM56)-CH56</f>
        <v>0</v>
      </c>
      <c r="CR56" s="421">
        <f>+CQ56+BZ56</f>
        <v>56254048.295484774</v>
      </c>
      <c r="CS56" s="18">
        <f t="shared" si="18"/>
        <v>44</v>
      </c>
      <c r="CT56" s="410" t="s">
        <v>260</v>
      </c>
      <c r="CU56" s="248">
        <f>+BZ56</f>
        <v>56254048.295484774</v>
      </c>
      <c r="CV56" s="421">
        <f>+CQ56</f>
        <v>0</v>
      </c>
      <c r="CW56" s="421">
        <f>+CV56+CU56</f>
        <v>56254048.295484774</v>
      </c>
      <c r="CY56" s="422">
        <v>69724366.160994053</v>
      </c>
      <c r="CZ56" s="423">
        <v>0</v>
      </c>
      <c r="DA56" s="423">
        <v>69724366.160994053</v>
      </c>
      <c r="DB56" s="202">
        <f t="shared" si="23"/>
        <v>-13470317.865509279</v>
      </c>
      <c r="DC56" s="202">
        <f t="shared" si="23"/>
        <v>0</v>
      </c>
      <c r="DD56" s="202">
        <f t="shared" si="23"/>
        <v>-13470317.865509279</v>
      </c>
    </row>
    <row r="57" spans="1:108" ht="15" customHeight="1" thickBot="1">
      <c r="G57" s="416"/>
      <c r="L57" s="246"/>
      <c r="V57" s="103"/>
      <c r="W57" s="103"/>
      <c r="X57" s="103"/>
      <c r="Y57" s="103"/>
      <c r="Z57" s="103"/>
      <c r="AA57" s="103"/>
      <c r="AB57" s="103"/>
      <c r="AC57" s="103"/>
      <c r="AK57" s="18"/>
      <c r="AL57" s="246"/>
      <c r="AM57" s="246"/>
      <c r="AN57" s="316"/>
      <c r="BR57" s="52"/>
      <c r="BS57" s="52"/>
      <c r="BT57" s="52"/>
      <c r="BU57" s="52"/>
      <c r="BV57" s="52"/>
      <c r="BX57" s="18">
        <f t="shared" si="16"/>
        <v>45</v>
      </c>
      <c r="BY57" s="406" t="s">
        <v>261</v>
      </c>
      <c r="BZ57" s="426">
        <f t="shared" ref="BZ57:CG57" si="38">SUM(BZ55:BZ56)</f>
        <v>1592297567.4962132</v>
      </c>
      <c r="CA57" s="427">
        <f t="shared" si="38"/>
        <v>0</v>
      </c>
      <c r="CB57" s="427">
        <f t="shared" si="38"/>
        <v>0</v>
      </c>
      <c r="CC57" s="427">
        <f t="shared" si="38"/>
        <v>0</v>
      </c>
      <c r="CD57" s="427">
        <f t="shared" si="38"/>
        <v>0</v>
      </c>
      <c r="CE57" s="427">
        <f t="shared" si="38"/>
        <v>0</v>
      </c>
      <c r="CF57" s="427"/>
      <c r="CG57" s="427">
        <f t="shared" si="38"/>
        <v>0</v>
      </c>
      <c r="CH57" s="18">
        <f t="shared" si="17"/>
        <v>45</v>
      </c>
      <c r="CI57" s="406" t="s">
        <v>261</v>
      </c>
      <c r="CJ57" s="427">
        <f t="shared" ref="CJ57:CR57" si="39">SUM(CJ55:CJ56)</f>
        <v>0</v>
      </c>
      <c r="CK57" s="427">
        <f t="shared" si="39"/>
        <v>0</v>
      </c>
      <c r="CL57" s="427">
        <f t="shared" si="39"/>
        <v>0</v>
      </c>
      <c r="CM57" s="427">
        <f t="shared" si="39"/>
        <v>0</v>
      </c>
      <c r="CN57" s="427"/>
      <c r="CO57" s="427"/>
      <c r="CP57" s="427">
        <f t="shared" si="39"/>
        <v>0</v>
      </c>
      <c r="CQ57" s="427">
        <f t="shared" si="39"/>
        <v>0</v>
      </c>
      <c r="CR57" s="427">
        <f t="shared" si="39"/>
        <v>1592297567.4962132</v>
      </c>
      <c r="CS57" s="18">
        <f t="shared" si="18"/>
        <v>45</v>
      </c>
      <c r="CT57" s="406" t="s">
        <v>261</v>
      </c>
      <c r="CU57" s="427">
        <f>SUM(CU55:CU56)</f>
        <v>1592297567.4962132</v>
      </c>
      <c r="CV57" s="427">
        <f>SUM(CV55:CV56)</f>
        <v>0</v>
      </c>
      <c r="CW57" s="427">
        <f>SUM(CW55:CW56)</f>
        <v>1592297567.4962132</v>
      </c>
      <c r="CY57" s="428">
        <v>1644558986.6967642</v>
      </c>
      <c r="CZ57" s="428">
        <v>0</v>
      </c>
      <c r="DA57" s="428">
        <v>1644558986.6967642</v>
      </c>
      <c r="DB57" s="202">
        <f t="shared" si="23"/>
        <v>-52261419.200551033</v>
      </c>
      <c r="DC57" s="202">
        <f t="shared" si="23"/>
        <v>0</v>
      </c>
      <c r="DD57" s="202">
        <f t="shared" si="23"/>
        <v>-52261419.200551033</v>
      </c>
    </row>
    <row r="58" spans="1:108" ht="15" customHeight="1" thickTop="1">
      <c r="G58" s="416"/>
      <c r="L58" s="246"/>
      <c r="V58" s="103"/>
      <c r="W58" s="103"/>
      <c r="X58" s="103"/>
      <c r="Y58" s="103"/>
      <c r="Z58" s="103"/>
      <c r="AA58" s="103"/>
      <c r="AB58" s="103"/>
      <c r="AC58" s="103"/>
      <c r="AK58" s="18"/>
      <c r="AL58" s="429"/>
      <c r="AM58" s="425"/>
      <c r="AN58" s="316"/>
      <c r="BR58" s="52"/>
      <c r="BS58" s="52"/>
      <c r="BT58" s="52"/>
      <c r="BU58" s="52"/>
      <c r="BV58" s="52"/>
      <c r="CS58" s="18"/>
    </row>
    <row r="59" spans="1:108" ht="15" customHeight="1">
      <c r="G59" s="416"/>
      <c r="H59" s="4"/>
      <c r="I59" s="4"/>
      <c r="J59" s="4"/>
      <c r="K59" s="4"/>
      <c r="L59" s="246"/>
      <c r="V59" s="103"/>
      <c r="W59" s="103"/>
      <c r="X59" s="103"/>
      <c r="Y59" s="103"/>
      <c r="Z59" s="103"/>
      <c r="AA59" s="103"/>
      <c r="AB59" s="103"/>
      <c r="AC59" s="103"/>
      <c r="AK59" s="18"/>
      <c r="AL59" s="429"/>
      <c r="AM59" s="425"/>
      <c r="AN59" s="316"/>
      <c r="BR59" s="52"/>
      <c r="BS59" s="52"/>
      <c r="BT59" s="52"/>
      <c r="BU59" s="52"/>
      <c r="BV59" s="52"/>
      <c r="BW59" s="430"/>
      <c r="CG59" s="132">
        <f>SUM(CA44:CG44)</f>
        <v>-18818008.621955957</v>
      </c>
      <c r="CR59" s="132">
        <f>SUM(CJ44:CP44)</f>
        <v>-4699.1117452711333</v>
      </c>
      <c r="CU59" s="431" t="str">
        <f>IF(CU57=CU46,"OK","ERROR")</f>
        <v>OK</v>
      </c>
      <c r="CV59" s="431" t="str">
        <f>IF(CV57=CV46,"OK","ERROR")</f>
        <v>OK</v>
      </c>
      <c r="CW59" s="431" t="str">
        <f>IF(CW57=CW46,"OK","ERROR")</f>
        <v>OK</v>
      </c>
    </row>
    <row r="60" spans="1:108" ht="15" customHeight="1">
      <c r="G60" s="416"/>
      <c r="L60" s="246"/>
      <c r="V60" s="103"/>
      <c r="W60" s="103"/>
      <c r="X60" s="103"/>
      <c r="Y60" s="103"/>
      <c r="Z60" s="103"/>
      <c r="AA60" s="103"/>
      <c r="AB60" s="103"/>
      <c r="AC60" s="103"/>
      <c r="AK60" s="6" t="e">
        <f ca="1">CELL("filename",#REF!)</f>
        <v>#REF!</v>
      </c>
      <c r="AL60" s="429"/>
      <c r="AM60" s="425"/>
      <c r="AN60" s="316"/>
      <c r="AY60" s="405"/>
      <c r="BR60" s="52"/>
      <c r="BS60" s="52"/>
      <c r="BT60" s="52"/>
      <c r="BU60" s="52"/>
      <c r="BV60" s="52"/>
      <c r="CR60" s="432">
        <f>BZ44+CG59+CR59-CR44</f>
        <v>0</v>
      </c>
      <c r="CS60" s="7" t="s">
        <v>262</v>
      </c>
    </row>
    <row r="61" spans="1:108" ht="15" customHeight="1">
      <c r="G61" s="416"/>
      <c r="H61" s="4"/>
      <c r="I61" s="4"/>
      <c r="J61" s="4"/>
      <c r="K61" s="4"/>
      <c r="L61" s="246"/>
      <c r="V61" s="103"/>
      <c r="W61" s="103"/>
      <c r="X61" s="103"/>
      <c r="Y61" s="103"/>
      <c r="Z61" s="103"/>
      <c r="AA61" s="103"/>
      <c r="AB61" s="103"/>
      <c r="AC61" s="103"/>
      <c r="AK61" s="433"/>
      <c r="AL61" s="429"/>
      <c r="AM61" s="434"/>
      <c r="BR61" s="52"/>
      <c r="BS61" s="52"/>
      <c r="BT61" s="52"/>
      <c r="BU61" s="52"/>
      <c r="BV61" s="52"/>
      <c r="BW61" s="435"/>
      <c r="CR61" s="7" t="s">
        <v>3</v>
      </c>
      <c r="CV61" s="436" t="s">
        <v>263</v>
      </c>
    </row>
    <row r="62" spans="1:108" ht="15" customHeight="1">
      <c r="G62" s="416"/>
      <c r="L62" s="246"/>
      <c r="V62" s="103"/>
      <c r="W62" s="103"/>
      <c r="X62" s="103"/>
      <c r="Y62" s="103"/>
      <c r="Z62" s="103"/>
      <c r="AA62" s="103"/>
      <c r="AB62" s="103"/>
      <c r="AC62" s="103"/>
      <c r="AK62" s="433"/>
      <c r="AL62" s="429"/>
      <c r="AM62" s="434"/>
      <c r="BR62" s="52"/>
      <c r="BS62" s="52"/>
      <c r="BT62" s="52"/>
      <c r="BU62" s="52"/>
      <c r="BV62" s="52"/>
      <c r="BW62" s="399"/>
      <c r="CV62" s="7" t="s">
        <v>264</v>
      </c>
      <c r="CW62" s="132">
        <f>CW44</f>
        <v>117593068.31419325</v>
      </c>
    </row>
    <row r="63" spans="1:108" ht="15" customHeight="1">
      <c r="A63" s="437"/>
      <c r="B63" s="437"/>
      <c r="C63" s="437"/>
      <c r="D63" s="437"/>
      <c r="E63" s="437"/>
      <c r="F63" s="437"/>
      <c r="G63" s="416"/>
      <c r="H63" s="4"/>
      <c r="I63" s="4"/>
      <c r="J63" s="4"/>
      <c r="K63" s="4"/>
      <c r="L63" s="437"/>
      <c r="M63" s="437"/>
      <c r="N63" s="437"/>
      <c r="O63" s="437"/>
      <c r="P63" s="437"/>
      <c r="V63" s="103"/>
      <c r="W63" s="103"/>
      <c r="X63" s="103"/>
      <c r="AK63" s="433"/>
      <c r="AL63" s="429"/>
      <c r="AM63" s="434"/>
      <c r="BR63" s="52"/>
      <c r="BS63" s="52"/>
      <c r="BT63" s="52"/>
      <c r="BU63" s="52"/>
      <c r="BV63" s="52"/>
      <c r="CV63" s="7" t="s">
        <v>265</v>
      </c>
      <c r="CW63" s="26">
        <f>CW40</f>
        <v>7714190.6271152105</v>
      </c>
    </row>
    <row r="64" spans="1:108" ht="15" customHeight="1">
      <c r="A64" s="382"/>
      <c r="G64" s="416"/>
      <c r="H64" s="4"/>
      <c r="I64" s="4"/>
      <c r="J64" s="4"/>
      <c r="K64" s="4"/>
      <c r="L64" s="246"/>
      <c r="V64" s="103"/>
      <c r="W64" s="103"/>
      <c r="X64" s="103"/>
      <c r="AK64" s="433"/>
      <c r="AL64" s="429"/>
      <c r="AM64" s="434"/>
      <c r="BR64" s="52"/>
      <c r="BS64" s="52"/>
      <c r="BT64" s="52"/>
      <c r="BU64" s="52"/>
      <c r="BV64" s="52"/>
      <c r="BW64" s="175"/>
      <c r="CV64" s="7" t="s">
        <v>266</v>
      </c>
      <c r="CW64" s="237">
        <f>CW41</f>
        <v>29412287.131999899</v>
      </c>
    </row>
    <row r="65" spans="1:101" ht="15" customHeight="1">
      <c r="A65" s="382"/>
      <c r="G65" s="416"/>
      <c r="H65" s="4"/>
      <c r="I65" s="4"/>
      <c r="J65" s="4"/>
      <c r="K65" s="4"/>
      <c r="L65" s="246"/>
      <c r="Q65" s="437"/>
      <c r="R65" s="437"/>
      <c r="S65" s="437"/>
      <c r="T65" s="437"/>
      <c r="V65" s="103"/>
      <c r="W65" s="103"/>
      <c r="X65" s="103"/>
      <c r="AK65" s="433"/>
      <c r="AL65" s="429"/>
      <c r="AM65" s="434"/>
      <c r="BR65" s="52"/>
      <c r="BS65" s="52"/>
      <c r="BT65" s="52"/>
      <c r="BU65" s="52"/>
      <c r="BV65" s="52"/>
      <c r="BW65" s="175"/>
      <c r="CV65" s="7" t="s">
        <v>267</v>
      </c>
      <c r="CW65" s="316">
        <f>CW62+CW63+CW64</f>
        <v>154719546.07330835</v>
      </c>
    </row>
    <row r="66" spans="1:101" ht="15" customHeight="1">
      <c r="A66" s="382"/>
      <c r="G66" s="416"/>
      <c r="H66" s="4"/>
      <c r="I66" s="4"/>
      <c r="J66" s="4"/>
      <c r="K66" s="4"/>
      <c r="L66" s="246"/>
      <c r="U66" s="437"/>
      <c r="V66" s="437"/>
      <c r="W66" s="437"/>
      <c r="X66" s="103"/>
      <c r="AK66" s="433"/>
      <c r="AL66" s="429"/>
      <c r="AM66" s="434"/>
      <c r="BR66" s="52"/>
      <c r="BS66" s="52"/>
      <c r="BT66" s="52"/>
      <c r="BU66" s="52"/>
      <c r="BV66" s="52"/>
      <c r="BW66" s="12"/>
      <c r="CV66" s="7" t="s">
        <v>268</v>
      </c>
      <c r="CW66" s="237">
        <f>T17</f>
        <v>51590441.186877303</v>
      </c>
    </row>
    <row r="67" spans="1:101" ht="15" customHeight="1">
      <c r="A67" s="382"/>
      <c r="G67" s="416"/>
      <c r="H67" s="4"/>
      <c r="I67" s="4"/>
      <c r="J67" s="4"/>
      <c r="K67" s="4"/>
      <c r="L67" s="246"/>
      <c r="AK67" s="433"/>
      <c r="AL67" s="429"/>
      <c r="AM67" s="434"/>
      <c r="BR67" s="52"/>
      <c r="BS67" s="52"/>
      <c r="BT67" s="52"/>
      <c r="BU67" s="52"/>
      <c r="BV67" s="52"/>
      <c r="BW67" s="175"/>
      <c r="CV67" s="7" t="s">
        <v>269</v>
      </c>
      <c r="CW67" s="132">
        <f>CW65-CW66</f>
        <v>103129104.88643104</v>
      </c>
    </row>
    <row r="68" spans="1:101" ht="15" customHeight="1">
      <c r="A68" s="382"/>
      <c r="G68" s="416"/>
      <c r="H68" s="4"/>
      <c r="I68" s="4"/>
      <c r="J68" s="4"/>
      <c r="K68" s="4"/>
      <c r="L68" s="246"/>
      <c r="AK68" s="433"/>
      <c r="AL68" s="429"/>
      <c r="AM68" s="434"/>
      <c r="BR68" s="52"/>
      <c r="BS68" s="52"/>
      <c r="BT68" s="52"/>
      <c r="BU68" s="52"/>
      <c r="BV68" s="52"/>
      <c r="BW68" s="175"/>
      <c r="CV68" s="7" t="s">
        <v>270</v>
      </c>
      <c r="CW68" s="26">
        <f>CW63+CW64</f>
        <v>37126477.759115107</v>
      </c>
    </row>
    <row r="69" spans="1:101" ht="15" customHeight="1" thickBot="1">
      <c r="A69" s="382"/>
      <c r="G69" s="416"/>
      <c r="H69" s="4"/>
      <c r="I69" s="4"/>
      <c r="J69" s="4"/>
      <c r="K69" s="4"/>
      <c r="L69" s="246"/>
      <c r="AK69" s="433"/>
      <c r="AL69" s="429"/>
      <c r="AM69" s="434"/>
      <c r="AO69" s="10"/>
      <c r="BR69" s="52"/>
      <c r="BS69" s="52"/>
      <c r="BT69" s="52"/>
      <c r="BU69" s="52"/>
      <c r="BV69" s="52"/>
      <c r="BW69" s="438"/>
      <c r="CV69" s="33" t="s">
        <v>271</v>
      </c>
      <c r="CW69" s="439">
        <f>CW68/CW67</f>
        <v>0.35999999999999938</v>
      </c>
    </row>
    <row r="70" spans="1:101" ht="15" customHeight="1" thickTop="1">
      <c r="A70" s="382"/>
      <c r="G70" s="416"/>
      <c r="H70" s="4"/>
      <c r="I70" s="4"/>
      <c r="J70" s="4"/>
      <c r="K70" s="4"/>
      <c r="L70" s="246"/>
      <c r="AK70" s="433"/>
      <c r="AL70" s="429"/>
      <c r="AM70" s="434"/>
      <c r="BR70" s="52"/>
      <c r="BS70" s="52"/>
      <c r="BT70" s="52"/>
      <c r="BU70" s="52"/>
      <c r="BV70" s="52"/>
      <c r="BW70" s="440" t="s">
        <v>3</v>
      </c>
    </row>
    <row r="71" spans="1:101" ht="15" customHeight="1">
      <c r="A71" s="382"/>
      <c r="G71" s="416"/>
      <c r="H71" s="4"/>
      <c r="I71" s="4"/>
      <c r="J71" s="4"/>
      <c r="K71" s="4"/>
      <c r="L71" s="246"/>
      <c r="AK71" s="433"/>
      <c r="AL71" s="429"/>
      <c r="AM71" s="434"/>
      <c r="BR71" s="52"/>
      <c r="BS71" s="52"/>
      <c r="BT71" s="52"/>
      <c r="BU71" s="52"/>
      <c r="BV71" s="52"/>
      <c r="BW71" s="441" t="s">
        <v>3</v>
      </c>
      <c r="BX71" s="18"/>
    </row>
    <row r="72" spans="1:101" ht="15" customHeight="1">
      <c r="A72" s="382"/>
      <c r="G72" s="416"/>
      <c r="H72" s="4"/>
      <c r="I72" s="4"/>
      <c r="J72" s="4"/>
      <c r="K72" s="4"/>
      <c r="BR72" s="52"/>
      <c r="BS72" s="52"/>
      <c r="BT72" s="52"/>
      <c r="BU72" s="52"/>
      <c r="BV72" s="52"/>
      <c r="BW72" s="442"/>
      <c r="BX72" s="18"/>
    </row>
    <row r="73" spans="1:101" ht="15" customHeight="1">
      <c r="A73" s="382"/>
      <c r="G73" s="4"/>
      <c r="H73" s="4"/>
      <c r="I73" s="4"/>
      <c r="J73" s="4"/>
      <c r="K73" s="4"/>
      <c r="BR73" s="52"/>
      <c r="BS73" s="52"/>
      <c r="BT73" s="52"/>
      <c r="BU73" s="52"/>
      <c r="BV73" s="52"/>
      <c r="BW73" s="261"/>
      <c r="BX73" s="150"/>
    </row>
    <row r="74" spans="1:101" ht="15" customHeight="1">
      <c r="A74" s="382"/>
      <c r="G74" s="4"/>
      <c r="H74" s="4"/>
      <c r="I74" s="4"/>
      <c r="J74" s="4"/>
      <c r="K74" s="4"/>
      <c r="BR74" s="52"/>
      <c r="BS74" s="52"/>
      <c r="BT74" s="52"/>
      <c r="BU74" s="52"/>
      <c r="BV74" s="52"/>
      <c r="BW74" s="443"/>
      <c r="BY74" s="18"/>
      <c r="BZ74" s="18"/>
      <c r="CA74" s="18"/>
      <c r="CB74" s="18"/>
      <c r="CC74" s="18"/>
      <c r="CD74" s="18"/>
      <c r="CE74" s="18"/>
      <c r="CF74" s="18"/>
      <c r="CG74" s="18"/>
      <c r="CH74" s="18"/>
      <c r="CI74" s="18"/>
    </row>
    <row r="75" spans="1:101" ht="15" customHeight="1">
      <c r="A75" s="382"/>
      <c r="G75" s="437"/>
      <c r="H75" s="437"/>
      <c r="I75" s="437"/>
      <c r="J75" s="437"/>
      <c r="K75" s="437"/>
      <c r="BR75" s="52"/>
      <c r="BS75" s="52"/>
      <c r="BT75" s="52"/>
      <c r="BU75" s="52"/>
      <c r="BV75" s="52"/>
      <c r="BW75" s="261"/>
      <c r="CC75" s="18"/>
      <c r="CD75" s="18"/>
      <c r="CE75" s="18"/>
      <c r="CF75" s="18"/>
      <c r="CG75" s="18"/>
      <c r="CH75" s="18"/>
      <c r="CI75" s="18"/>
      <c r="CJ75" s="18"/>
      <c r="CK75" s="18"/>
      <c r="CL75" s="18"/>
      <c r="CM75" s="18"/>
      <c r="CN75" s="18"/>
      <c r="CO75" s="18"/>
      <c r="CP75" s="18"/>
      <c r="CQ75" s="150"/>
    </row>
    <row r="76" spans="1:101" ht="15" customHeight="1">
      <c r="A76" s="382"/>
      <c r="G76" s="4"/>
      <c r="H76" s="4"/>
      <c r="I76" s="4"/>
      <c r="J76" s="4"/>
      <c r="K76" s="4"/>
      <c r="BR76" s="52"/>
      <c r="BS76" s="52"/>
      <c r="BT76" s="52"/>
      <c r="BU76" s="52"/>
      <c r="BV76" s="52"/>
      <c r="BW76" s="261"/>
      <c r="CC76" s="150"/>
      <c r="CD76" s="150"/>
      <c r="CE76" s="150"/>
      <c r="CF76" s="150"/>
      <c r="CG76" s="150"/>
      <c r="CH76" s="150"/>
      <c r="CI76" s="150"/>
      <c r="CJ76" s="150"/>
      <c r="CK76" s="150"/>
      <c r="CL76" s="150"/>
      <c r="CM76" s="150"/>
      <c r="CN76" s="150"/>
      <c r="CO76" s="150"/>
      <c r="CP76" s="150"/>
      <c r="CQ76" s="18"/>
    </row>
    <row r="77" spans="1:101" ht="15" customHeight="1">
      <c r="A77" s="382"/>
      <c r="G77" s="4"/>
      <c r="H77" s="4"/>
      <c r="I77" s="4"/>
      <c r="J77" s="4"/>
      <c r="K77" s="4"/>
      <c r="BR77" s="52"/>
      <c r="BS77" s="52"/>
      <c r="BT77" s="52"/>
      <c r="BU77" s="52"/>
      <c r="BV77" s="52"/>
      <c r="BW77" s="444"/>
      <c r="CC77" s="18"/>
      <c r="CD77" s="18"/>
      <c r="CE77" s="18"/>
      <c r="CF77" s="18"/>
      <c r="CG77" s="18"/>
      <c r="CH77" s="18"/>
      <c r="CI77" s="18"/>
      <c r="CJ77" s="18"/>
      <c r="CK77" s="18"/>
      <c r="CL77" s="18"/>
      <c r="CM77" s="18"/>
      <c r="CN77" s="18"/>
      <c r="CO77" s="18"/>
      <c r="CP77" s="18"/>
      <c r="CQ77" s="18"/>
    </row>
    <row r="78" spans="1:101" ht="15" customHeight="1">
      <c r="A78" s="382"/>
      <c r="G78" s="4"/>
      <c r="H78" s="4"/>
      <c r="I78" s="4"/>
      <c r="J78" s="4"/>
      <c r="K78" s="4"/>
      <c r="Y78" s="114"/>
      <c r="Z78" s="114"/>
      <c r="AA78" s="114"/>
      <c r="AB78" s="114"/>
      <c r="AC78" s="114"/>
      <c r="BR78" s="52"/>
      <c r="BS78" s="52"/>
      <c r="BT78" s="52"/>
      <c r="BU78" s="52"/>
      <c r="BV78" s="52"/>
      <c r="BW78" s="443"/>
      <c r="CC78" s="18"/>
      <c r="CD78" s="18"/>
      <c r="CE78" s="18"/>
      <c r="CF78" s="18"/>
      <c r="CG78" s="18"/>
      <c r="CH78" s="18"/>
      <c r="CI78" s="18"/>
      <c r="CJ78" s="18"/>
      <c r="CK78" s="18"/>
      <c r="CL78" s="18"/>
      <c r="CM78" s="18"/>
      <c r="CN78" s="18"/>
      <c r="CO78" s="18"/>
      <c r="CP78" s="18"/>
      <c r="CQ78" s="18"/>
    </row>
    <row r="79" spans="1:101" ht="15" customHeight="1">
      <c r="A79" s="382"/>
      <c r="G79" s="4"/>
      <c r="H79" s="4"/>
      <c r="I79" s="4"/>
      <c r="J79" s="4"/>
      <c r="K79" s="4"/>
      <c r="BR79" s="18"/>
      <c r="BV79" s="445" t="s">
        <v>3</v>
      </c>
      <c r="BW79" s="350"/>
      <c r="CC79" s="18"/>
      <c r="CD79" s="18"/>
      <c r="CE79" s="18"/>
      <c r="CF79" s="18"/>
      <c r="CG79" s="18"/>
      <c r="CH79" s="18"/>
      <c r="CI79" s="18"/>
      <c r="CJ79" s="18"/>
      <c r="CK79" s="18"/>
      <c r="CL79" s="18"/>
      <c r="CM79" s="18"/>
      <c r="CN79" s="18"/>
      <c r="CO79" s="18"/>
      <c r="CP79" s="18"/>
      <c r="CQ79" s="18"/>
    </row>
    <row r="80" spans="1:101" ht="15" customHeight="1">
      <c r="A80" s="382"/>
      <c r="G80" s="4"/>
      <c r="H80" s="4"/>
      <c r="I80" s="4"/>
      <c r="J80" s="4"/>
      <c r="K80" s="4"/>
      <c r="BR80" s="18"/>
      <c r="BV80" s="446"/>
      <c r="BW80" s="447"/>
      <c r="CC80" s="18"/>
      <c r="CD80" s="18"/>
      <c r="CE80" s="18"/>
      <c r="CF80" s="18"/>
      <c r="CG80" s="18"/>
      <c r="CH80" s="18"/>
      <c r="CI80" s="18"/>
      <c r="CJ80" s="18"/>
      <c r="CK80" s="18"/>
      <c r="CL80" s="18"/>
      <c r="CM80" s="18"/>
      <c r="CN80" s="18"/>
      <c r="CO80" s="18"/>
      <c r="CP80" s="18"/>
      <c r="CQ80" s="18"/>
    </row>
    <row r="81" spans="1:101" ht="15" customHeight="1">
      <c r="A81" s="382"/>
      <c r="G81" s="4"/>
      <c r="H81" s="4"/>
      <c r="I81" s="4"/>
      <c r="J81" s="4"/>
      <c r="K81" s="4"/>
      <c r="BR81" s="448"/>
      <c r="BV81" s="261"/>
      <c r="BW81" s="447"/>
      <c r="CC81" s="18"/>
      <c r="CD81" s="18"/>
      <c r="CE81" s="18"/>
      <c r="CF81" s="18"/>
      <c r="CG81" s="18"/>
      <c r="CH81" s="18"/>
      <c r="CI81" s="18"/>
      <c r="CJ81" s="18"/>
      <c r="CK81" s="18"/>
      <c r="CL81" s="18"/>
      <c r="CM81" s="18"/>
      <c r="CN81" s="18"/>
      <c r="CO81" s="18"/>
      <c r="CP81" s="18"/>
      <c r="CQ81" s="18"/>
    </row>
    <row r="82" spans="1:101" ht="15" customHeight="1">
      <c r="A82" s="382"/>
      <c r="G82" s="4"/>
      <c r="H82" s="4"/>
      <c r="I82" s="4"/>
      <c r="J82" s="4"/>
      <c r="K82" s="4"/>
      <c r="U82" s="114"/>
      <c r="V82" s="114"/>
      <c r="W82" s="114"/>
      <c r="X82" s="114"/>
      <c r="BR82" s="18"/>
      <c r="BU82" s="116"/>
      <c r="BV82" s="446"/>
      <c r="BW82" s="447"/>
      <c r="CC82" s="18"/>
      <c r="CD82" s="18"/>
      <c r="CE82" s="18"/>
      <c r="CF82" s="18"/>
      <c r="CG82" s="18"/>
      <c r="CH82" s="18"/>
      <c r="CI82" s="18"/>
      <c r="CJ82" s="18"/>
      <c r="CK82" s="18"/>
      <c r="CL82" s="18"/>
      <c r="CM82" s="18"/>
      <c r="CN82" s="18"/>
      <c r="CO82" s="18"/>
      <c r="CP82" s="18"/>
      <c r="CQ82" s="18"/>
    </row>
    <row r="83" spans="1:101" ht="15" customHeight="1">
      <c r="G83" s="4"/>
      <c r="H83" s="4"/>
      <c r="I83" s="4"/>
      <c r="J83" s="4"/>
      <c r="K83" s="4"/>
      <c r="BR83" s="18"/>
      <c r="BV83" s="444"/>
      <c r="BW83" s="447"/>
      <c r="CC83" s="18"/>
      <c r="CD83" s="18"/>
      <c r="CE83" s="18"/>
      <c r="CF83" s="18"/>
      <c r="CG83" s="18"/>
      <c r="CH83" s="18"/>
      <c r="CI83" s="18"/>
      <c r="CJ83" s="18"/>
      <c r="CK83" s="18"/>
      <c r="CL83" s="18"/>
      <c r="CM83" s="18"/>
      <c r="CN83" s="18"/>
      <c r="CO83" s="18"/>
      <c r="CP83" s="18"/>
      <c r="CQ83" s="18"/>
    </row>
    <row r="84" spans="1:101" ht="15" customHeight="1">
      <c r="G84" s="4"/>
      <c r="H84" s="4"/>
      <c r="I84" s="4"/>
      <c r="J84" s="4"/>
      <c r="K84" s="4"/>
      <c r="BR84" s="18"/>
      <c r="BV84" s="261"/>
      <c r="BW84" s="447"/>
      <c r="BX84" s="9"/>
      <c r="CC84" s="18"/>
      <c r="CD84" s="18"/>
      <c r="CE84" s="18"/>
      <c r="CF84" s="18"/>
      <c r="CG84" s="18"/>
      <c r="CH84" s="18"/>
      <c r="CI84" s="18"/>
      <c r="CJ84" s="18"/>
      <c r="CK84" s="18"/>
      <c r="CL84" s="18"/>
      <c r="CM84" s="18"/>
      <c r="CN84" s="18"/>
      <c r="CO84" s="18"/>
      <c r="CP84" s="18"/>
      <c r="CQ84" s="18"/>
    </row>
    <row r="85" spans="1:101" ht="15" customHeight="1">
      <c r="G85" s="4"/>
      <c r="H85" s="4"/>
      <c r="I85" s="4"/>
      <c r="J85" s="4"/>
      <c r="K85" s="4"/>
      <c r="BR85" s="18"/>
      <c r="BS85" s="52"/>
      <c r="BT85" s="52"/>
      <c r="BU85" s="52"/>
      <c r="BV85" s="52"/>
      <c r="BW85" s="52"/>
      <c r="BX85" s="449"/>
      <c r="BY85" s="9"/>
      <c r="BZ85" s="9"/>
      <c r="CA85" s="9"/>
      <c r="CB85" s="9"/>
      <c r="CC85" s="18"/>
      <c r="CD85" s="18"/>
      <c r="CE85" s="18"/>
      <c r="CF85" s="18"/>
      <c r="CG85" s="18"/>
      <c r="CH85" s="18"/>
      <c r="CI85" s="18"/>
      <c r="CJ85" s="18"/>
      <c r="CK85" s="18"/>
      <c r="CL85" s="18"/>
      <c r="CM85" s="18"/>
      <c r="CN85" s="18"/>
      <c r="CO85" s="18"/>
      <c r="CP85" s="18"/>
      <c r="CQ85" s="18"/>
    </row>
    <row r="86" spans="1:101" ht="15" customHeight="1">
      <c r="G86" s="4"/>
      <c r="H86" s="4"/>
      <c r="I86" s="4"/>
      <c r="J86" s="4"/>
      <c r="K86" s="4"/>
      <c r="Y86" s="162"/>
      <c r="Z86" s="162"/>
      <c r="AA86" s="162"/>
      <c r="AB86" s="162"/>
      <c r="AC86" s="162"/>
      <c r="BR86" s="18"/>
      <c r="BS86" s="52"/>
      <c r="BT86" s="52"/>
      <c r="BU86" s="52"/>
      <c r="BV86" s="52"/>
      <c r="BW86" s="52"/>
      <c r="BY86" s="449"/>
      <c r="BZ86" s="449"/>
      <c r="CA86" s="449"/>
      <c r="CB86" s="449"/>
      <c r="CC86" s="18"/>
      <c r="CD86" s="18"/>
      <c r="CE86" s="18"/>
      <c r="CF86" s="18"/>
      <c r="CG86" s="18"/>
      <c r="CH86" s="18"/>
      <c r="CI86" s="18"/>
      <c r="CJ86" s="18"/>
      <c r="CK86" s="18"/>
      <c r="CL86" s="18"/>
      <c r="CM86" s="18"/>
      <c r="CN86" s="18"/>
      <c r="CO86" s="18"/>
      <c r="CP86" s="18"/>
      <c r="CQ86" s="18"/>
    </row>
    <row r="87" spans="1:101" ht="15" customHeight="1">
      <c r="G87" s="4"/>
      <c r="H87" s="4"/>
      <c r="I87" s="4"/>
      <c r="J87" s="4"/>
      <c r="K87" s="4"/>
      <c r="Y87" s="162"/>
      <c r="Z87" s="162"/>
      <c r="AA87" s="162"/>
      <c r="AB87" s="162"/>
      <c r="AC87" s="162"/>
      <c r="BR87" s="18"/>
      <c r="BS87" s="52"/>
      <c r="BT87" s="52"/>
      <c r="BU87" s="52"/>
      <c r="BV87" s="52"/>
      <c r="BW87" s="52"/>
      <c r="CC87" s="18"/>
      <c r="CD87" s="18"/>
      <c r="CE87" s="18"/>
      <c r="CF87" s="18"/>
      <c r="CG87" s="18"/>
      <c r="CH87" s="18"/>
      <c r="CI87" s="18"/>
      <c r="CJ87" s="18"/>
      <c r="CK87" s="18"/>
      <c r="CL87" s="18"/>
      <c r="CM87" s="18"/>
      <c r="CN87" s="18"/>
      <c r="CO87" s="18"/>
      <c r="CP87" s="18"/>
      <c r="CQ87" s="18"/>
    </row>
    <row r="88" spans="1:101" ht="15" customHeight="1">
      <c r="G88" s="4"/>
      <c r="H88" s="4"/>
      <c r="I88" s="4"/>
      <c r="J88" s="4"/>
      <c r="K88" s="4"/>
      <c r="Y88" s="162"/>
      <c r="Z88" s="162"/>
      <c r="AA88" s="162"/>
      <c r="AB88" s="162"/>
      <c r="AC88" s="162"/>
      <c r="BR88" s="18"/>
      <c r="BS88" s="52"/>
      <c r="BT88" s="52"/>
      <c r="BU88" s="52"/>
      <c r="BV88" s="52"/>
      <c r="BW88" s="52"/>
      <c r="CC88" s="18"/>
      <c r="CD88" s="18"/>
      <c r="CE88" s="18"/>
      <c r="CF88" s="18"/>
      <c r="CG88" s="18"/>
      <c r="CH88" s="18"/>
      <c r="CI88" s="18"/>
      <c r="CJ88" s="18"/>
      <c r="CK88" s="18"/>
      <c r="CL88" s="18"/>
      <c r="CM88" s="18"/>
      <c r="CN88" s="18"/>
      <c r="CO88" s="18"/>
      <c r="CP88" s="18"/>
    </row>
    <row r="89" spans="1:101" ht="15" customHeight="1">
      <c r="G89" s="4"/>
      <c r="H89" s="4"/>
      <c r="I89" s="4"/>
      <c r="J89" s="4"/>
      <c r="K89" s="4"/>
      <c r="Y89" s="162"/>
      <c r="Z89" s="162"/>
      <c r="AA89" s="162"/>
      <c r="AB89" s="162"/>
      <c r="AC89" s="162"/>
      <c r="BR89" s="18"/>
      <c r="BS89" s="52"/>
      <c r="BT89" s="52"/>
      <c r="BU89" s="52"/>
      <c r="BV89" s="52"/>
      <c r="BW89" s="52"/>
      <c r="CJ89" s="18"/>
      <c r="CQ89" s="18"/>
      <c r="CR89" s="18"/>
    </row>
    <row r="90" spans="1:101" ht="15" customHeight="1">
      <c r="G90" s="4"/>
      <c r="H90" s="4"/>
      <c r="I90" s="4"/>
      <c r="J90" s="4"/>
      <c r="K90" s="4"/>
      <c r="U90" s="162"/>
      <c r="V90" s="162"/>
      <c r="W90" s="162"/>
      <c r="X90" s="162"/>
      <c r="Y90" s="162"/>
      <c r="Z90" s="162"/>
      <c r="AA90" s="162"/>
      <c r="AB90" s="162"/>
      <c r="AC90" s="162"/>
      <c r="BR90" s="18"/>
      <c r="BS90" s="52"/>
      <c r="BT90" s="52"/>
      <c r="BU90" s="52"/>
      <c r="BV90" s="52"/>
      <c r="BW90" s="52"/>
      <c r="CJ90" s="18"/>
      <c r="CQ90" s="18"/>
      <c r="CR90" s="18"/>
    </row>
    <row r="91" spans="1:101" ht="15" customHeight="1">
      <c r="G91" s="4"/>
      <c r="H91" s="4"/>
      <c r="I91" s="4"/>
      <c r="J91" s="4"/>
      <c r="K91" s="4"/>
      <c r="U91" s="162"/>
      <c r="V91" s="162"/>
      <c r="W91" s="162"/>
      <c r="X91" s="162"/>
      <c r="Y91" s="162"/>
      <c r="Z91" s="162"/>
      <c r="AA91" s="162"/>
      <c r="AB91" s="162"/>
      <c r="AC91" s="162"/>
      <c r="AD91" s="18"/>
      <c r="BR91" s="18"/>
      <c r="BS91" s="52"/>
      <c r="BT91" s="52"/>
      <c r="BU91" s="52"/>
      <c r="BV91" s="52"/>
      <c r="BW91" s="52"/>
      <c r="BX91" s="18"/>
      <c r="CH91" s="18"/>
      <c r="CI91" s="18"/>
      <c r="CJ91" s="18"/>
      <c r="CQ91" s="18"/>
      <c r="CR91" s="18"/>
    </row>
    <row r="92" spans="1:101" ht="15" customHeight="1">
      <c r="G92" s="4"/>
      <c r="H92" s="4"/>
      <c r="I92" s="4"/>
      <c r="J92" s="4"/>
      <c r="K92" s="4"/>
      <c r="U92" s="162"/>
      <c r="V92" s="162"/>
      <c r="W92" s="162"/>
      <c r="X92" s="162"/>
      <c r="Y92" s="162"/>
      <c r="Z92" s="162"/>
      <c r="AA92" s="162"/>
      <c r="AB92" s="162"/>
      <c r="AC92" s="162"/>
      <c r="AD92" s="18"/>
      <c r="BR92" s="18"/>
      <c r="BS92" s="52"/>
      <c r="BT92" s="52"/>
      <c r="BU92" s="52"/>
      <c r="BV92" s="52"/>
      <c r="BW92" s="52"/>
      <c r="BX92" s="18"/>
      <c r="BY92" s="18"/>
      <c r="BZ92" s="18"/>
      <c r="CA92" s="18"/>
      <c r="CB92" s="18"/>
      <c r="CC92" s="18"/>
      <c r="CD92" s="18"/>
      <c r="CE92" s="18"/>
      <c r="CF92" s="18"/>
      <c r="CG92" s="18"/>
      <c r="CH92" s="18"/>
      <c r="CI92" s="18"/>
      <c r="CJ92" s="18"/>
      <c r="CK92" s="18"/>
      <c r="CL92" s="18"/>
      <c r="CM92" s="18"/>
      <c r="CN92" s="18"/>
      <c r="CO92" s="18"/>
      <c r="CP92" s="18"/>
      <c r="CQ92" s="18"/>
      <c r="CR92" s="18"/>
      <c r="CS92" s="18"/>
      <c r="CT92" s="18"/>
      <c r="CU92" s="18"/>
    </row>
    <row r="93" spans="1:101" ht="15" customHeight="1">
      <c r="G93" s="4"/>
      <c r="H93" s="4"/>
      <c r="I93" s="4"/>
      <c r="J93" s="4"/>
      <c r="K93" s="4"/>
      <c r="U93" s="162"/>
      <c r="V93" s="162"/>
      <c r="W93" s="162"/>
      <c r="X93" s="162"/>
      <c r="Y93" s="162"/>
      <c r="Z93" s="162"/>
      <c r="AA93" s="162"/>
      <c r="AB93" s="162"/>
      <c r="AC93" s="162"/>
      <c r="AD93" s="18"/>
      <c r="BR93" s="18"/>
      <c r="BS93" s="52"/>
      <c r="BT93" s="52"/>
      <c r="BU93" s="52"/>
      <c r="BV93" s="52"/>
      <c r="BW93" s="52"/>
      <c r="BX93" s="18"/>
      <c r="BY93" s="18"/>
      <c r="BZ93" s="18"/>
      <c r="CA93" s="18"/>
      <c r="CB93" s="18"/>
      <c r="CC93" s="18"/>
      <c r="CD93" s="18"/>
      <c r="CE93" s="18"/>
      <c r="CF93" s="18"/>
      <c r="CG93" s="18"/>
      <c r="CH93" s="18"/>
      <c r="CI93" s="18"/>
      <c r="CJ93" s="18"/>
      <c r="CK93" s="18"/>
      <c r="CL93" s="18"/>
      <c r="CM93" s="18"/>
      <c r="CN93" s="18"/>
      <c r="CO93" s="18"/>
      <c r="CP93" s="18"/>
      <c r="CQ93" s="18"/>
      <c r="CR93" s="18"/>
      <c r="CS93" s="18"/>
      <c r="CT93" s="18"/>
      <c r="CU93" s="18"/>
    </row>
    <row r="94" spans="1:101" ht="15" customHeight="1">
      <c r="G94" s="4"/>
      <c r="H94" s="4"/>
      <c r="I94" s="4"/>
      <c r="J94" s="4"/>
      <c r="K94" s="4"/>
      <c r="U94" s="162"/>
      <c r="V94" s="162"/>
      <c r="W94" s="162"/>
      <c r="X94" s="162"/>
      <c r="Y94" s="162"/>
      <c r="Z94" s="162"/>
      <c r="AA94" s="162"/>
      <c r="AB94" s="162"/>
      <c r="AC94" s="162"/>
      <c r="AD94" s="18"/>
      <c r="BR94" s="18"/>
      <c r="BS94" s="18"/>
      <c r="BT94" s="450"/>
      <c r="BU94" s="451"/>
      <c r="BV94" s="452"/>
      <c r="BW94" s="452"/>
      <c r="BX94" s="18"/>
      <c r="BY94" s="18"/>
      <c r="BZ94" s="18"/>
      <c r="CA94" s="18"/>
      <c r="CB94" s="18"/>
      <c r="CC94" s="18"/>
      <c r="CD94" s="18"/>
      <c r="CE94" s="18"/>
      <c r="CF94" s="18"/>
      <c r="CG94" s="18"/>
      <c r="CH94" s="18"/>
      <c r="CI94" s="18"/>
      <c r="CJ94" s="18"/>
      <c r="CK94" s="18"/>
      <c r="CL94" s="18"/>
      <c r="CM94" s="18"/>
      <c r="CN94" s="18"/>
      <c r="CO94" s="18"/>
      <c r="CP94" s="18"/>
      <c r="CQ94" s="18"/>
      <c r="CR94" s="18"/>
      <c r="CS94" s="18"/>
      <c r="CT94" s="18"/>
      <c r="CU94" s="18"/>
      <c r="CV94" s="18"/>
      <c r="CW94" s="18"/>
    </row>
    <row r="95" spans="1:101" ht="15" customHeight="1">
      <c r="G95" s="4"/>
      <c r="H95" s="4"/>
      <c r="I95" s="4"/>
      <c r="J95" s="4"/>
      <c r="K95" s="4"/>
      <c r="U95" s="162"/>
      <c r="V95" s="162"/>
      <c r="W95" s="162"/>
      <c r="X95" s="162"/>
      <c r="Y95" s="162"/>
      <c r="Z95" s="162"/>
      <c r="AA95" s="162"/>
      <c r="AB95" s="162"/>
      <c r="AC95" s="162"/>
      <c r="AD95" s="18"/>
      <c r="BR95" s="18"/>
      <c r="BS95" s="18"/>
      <c r="BT95" s="450"/>
      <c r="BU95" s="451"/>
      <c r="BV95" s="452"/>
      <c r="BW95" s="452"/>
      <c r="BX95" s="18"/>
      <c r="BY95" s="18"/>
      <c r="BZ95" s="18"/>
      <c r="CA95" s="18"/>
      <c r="CB95" s="18"/>
      <c r="CC95" s="18"/>
      <c r="CD95" s="18"/>
      <c r="CE95" s="18"/>
      <c r="CF95" s="18"/>
      <c r="CG95" s="18"/>
      <c r="CH95" s="18"/>
      <c r="CI95" s="18"/>
      <c r="CJ95" s="18"/>
      <c r="CK95" s="18"/>
      <c r="CL95" s="18"/>
      <c r="CM95" s="18"/>
      <c r="CN95" s="18"/>
      <c r="CO95" s="18"/>
      <c r="CP95" s="18"/>
      <c r="CQ95" s="18"/>
      <c r="CR95" s="18"/>
      <c r="CS95" s="18"/>
      <c r="CT95" s="18"/>
      <c r="CU95" s="18"/>
      <c r="CV95" s="18"/>
      <c r="CW95" s="18"/>
    </row>
    <row r="96" spans="1:101" ht="15" customHeight="1">
      <c r="G96" s="4"/>
      <c r="H96" s="4"/>
      <c r="I96" s="4"/>
      <c r="J96" s="4"/>
      <c r="K96" s="4"/>
      <c r="Q96" s="246"/>
      <c r="R96" s="246"/>
      <c r="S96" s="246"/>
      <c r="T96" s="246"/>
      <c r="U96" s="162"/>
      <c r="V96" s="162"/>
      <c r="W96" s="162"/>
      <c r="X96" s="162"/>
      <c r="Y96" s="162"/>
      <c r="Z96" s="162"/>
      <c r="AA96" s="162"/>
      <c r="AB96" s="162"/>
      <c r="AC96" s="162"/>
      <c r="BR96" s="18"/>
      <c r="BS96" s="18"/>
      <c r="BT96" s="450"/>
      <c r="BU96" s="451"/>
      <c r="BV96" s="452"/>
      <c r="BW96" s="452"/>
      <c r="BX96" s="18"/>
      <c r="BY96" s="18"/>
      <c r="BZ96" s="18"/>
      <c r="CA96" s="18"/>
      <c r="CB96" s="18"/>
      <c r="CC96" s="18"/>
      <c r="CD96" s="18"/>
      <c r="CE96" s="18"/>
      <c r="CF96" s="18"/>
      <c r="CG96" s="18"/>
      <c r="CH96" s="18"/>
      <c r="CI96" s="18"/>
      <c r="CJ96" s="18"/>
      <c r="CK96" s="18"/>
      <c r="CL96" s="18"/>
      <c r="CM96" s="18"/>
      <c r="CN96" s="18"/>
      <c r="CO96" s="18"/>
      <c r="CP96" s="18"/>
      <c r="CQ96" s="18"/>
      <c r="CR96" s="18"/>
      <c r="CS96" s="18"/>
      <c r="CT96" s="18"/>
      <c r="CU96" s="18"/>
      <c r="CV96" s="18"/>
      <c r="CW96" s="18"/>
    </row>
    <row r="97" spans="7:101" ht="15" customHeight="1">
      <c r="G97" s="4"/>
      <c r="H97" s="4"/>
      <c r="I97" s="4"/>
      <c r="J97" s="4"/>
      <c r="K97" s="4"/>
      <c r="Q97" s="246"/>
      <c r="R97" s="246"/>
      <c r="S97" s="246"/>
      <c r="T97" s="246"/>
      <c r="U97" s="162"/>
      <c r="V97" s="162"/>
      <c r="W97" s="162"/>
      <c r="X97" s="162"/>
      <c r="Y97" s="162"/>
      <c r="Z97" s="162"/>
      <c r="AA97" s="162"/>
      <c r="AB97" s="162"/>
      <c r="AC97" s="162"/>
      <c r="BR97" s="18"/>
      <c r="BS97" s="18"/>
      <c r="BT97" s="450"/>
      <c r="BU97" s="451"/>
      <c r="BV97" s="452"/>
      <c r="BW97" s="452"/>
      <c r="BX97" s="18"/>
      <c r="BY97" s="18"/>
      <c r="BZ97" s="18"/>
      <c r="CA97" s="18"/>
      <c r="CB97" s="18"/>
      <c r="CC97" s="18"/>
      <c r="CD97" s="18"/>
      <c r="CE97" s="18"/>
      <c r="CF97" s="18"/>
      <c r="CG97" s="18"/>
      <c r="CH97" s="18"/>
      <c r="CI97" s="18"/>
      <c r="CJ97" s="18"/>
      <c r="CK97" s="18"/>
      <c r="CL97" s="18"/>
      <c r="CM97" s="18"/>
      <c r="CN97" s="18"/>
      <c r="CO97" s="18"/>
      <c r="CP97" s="18"/>
      <c r="CQ97" s="18"/>
      <c r="CR97" s="18"/>
      <c r="CS97" s="18"/>
      <c r="CT97" s="18"/>
      <c r="CU97" s="18"/>
      <c r="CV97" s="18"/>
      <c r="CW97" s="18"/>
    </row>
    <row r="98" spans="7:101" ht="15" customHeight="1">
      <c r="G98" s="4"/>
      <c r="H98" s="4"/>
      <c r="I98" s="4"/>
      <c r="J98" s="4"/>
      <c r="K98" s="4"/>
      <c r="Q98" s="246"/>
      <c r="R98" s="246"/>
      <c r="S98" s="246"/>
      <c r="T98" s="246"/>
      <c r="U98" s="162"/>
      <c r="V98" s="162"/>
      <c r="W98" s="162"/>
      <c r="X98" s="162"/>
      <c r="BT98" s="450"/>
      <c r="BU98" s="451"/>
      <c r="BV98" s="452"/>
      <c r="BW98" s="452"/>
      <c r="BY98" s="18"/>
      <c r="BZ98" s="18"/>
      <c r="CA98" s="18"/>
      <c r="CB98" s="18"/>
      <c r="CC98" s="18"/>
      <c r="CD98" s="18"/>
      <c r="CE98" s="18"/>
      <c r="CF98" s="18"/>
      <c r="CG98" s="18"/>
      <c r="CH98" s="18"/>
      <c r="CI98" s="18"/>
      <c r="CJ98" s="18"/>
      <c r="CK98" s="18"/>
      <c r="CL98" s="18"/>
      <c r="CM98" s="18"/>
      <c r="CN98" s="18"/>
      <c r="CO98" s="18"/>
      <c r="CP98" s="18"/>
      <c r="CQ98" s="18"/>
      <c r="CR98" s="18"/>
      <c r="CS98" s="18"/>
      <c r="CT98" s="18"/>
      <c r="CU98" s="18"/>
      <c r="CV98" s="18"/>
      <c r="CW98" s="18"/>
    </row>
    <row r="99" spans="7:101" ht="15" customHeight="1">
      <c r="G99" s="4"/>
      <c r="H99" s="4"/>
      <c r="I99" s="4"/>
      <c r="J99" s="4"/>
      <c r="K99" s="4"/>
      <c r="Q99" s="246"/>
      <c r="R99" s="246"/>
      <c r="S99" s="246"/>
      <c r="T99" s="246"/>
      <c r="U99" s="162"/>
      <c r="V99" s="162"/>
      <c r="W99" s="162"/>
      <c r="X99" s="162"/>
      <c r="BT99" s="450"/>
      <c r="BU99" s="451"/>
      <c r="BV99" s="452"/>
      <c r="BW99" s="452"/>
      <c r="CV99" s="18"/>
      <c r="CW99" s="18"/>
    </row>
    <row r="100" spans="7:101" ht="15" customHeight="1">
      <c r="G100" s="4"/>
      <c r="H100" s="4"/>
      <c r="I100" s="4"/>
      <c r="J100" s="4"/>
      <c r="K100" s="4"/>
      <c r="Q100" s="246"/>
      <c r="R100" s="246"/>
      <c r="S100" s="246"/>
      <c r="T100" s="246"/>
      <c r="U100" s="162"/>
      <c r="V100" s="162"/>
      <c r="W100" s="162"/>
      <c r="X100" s="162"/>
      <c r="BT100" s="450"/>
      <c r="BU100" s="451"/>
      <c r="BV100" s="452"/>
      <c r="BW100" s="452"/>
      <c r="CV100" s="18"/>
      <c r="CW100" s="18"/>
    </row>
    <row r="101" spans="7:101" ht="15" customHeight="1">
      <c r="G101" s="4"/>
      <c r="H101" s="4"/>
      <c r="I101" s="4"/>
      <c r="J101" s="4"/>
      <c r="K101" s="4"/>
      <c r="Q101" s="246"/>
      <c r="R101" s="246"/>
      <c r="S101" s="246"/>
      <c r="T101" s="246"/>
      <c r="U101" s="162"/>
      <c r="V101" s="162"/>
      <c r="W101" s="162"/>
      <c r="X101" s="162"/>
      <c r="BT101" s="450"/>
      <c r="BU101" s="451"/>
      <c r="BV101" s="452"/>
      <c r="BW101" s="452"/>
    </row>
    <row r="102" spans="7:101" ht="15" customHeight="1">
      <c r="G102" s="4"/>
      <c r="H102" s="4"/>
      <c r="I102" s="4"/>
      <c r="J102" s="4"/>
      <c r="K102" s="4"/>
      <c r="Q102" s="246"/>
      <c r="R102" s="246"/>
      <c r="S102" s="246"/>
      <c r="T102" s="246"/>
      <c r="BT102" s="450"/>
      <c r="BU102" s="451"/>
      <c r="BV102" s="452"/>
      <c r="BW102" s="452"/>
    </row>
    <row r="103" spans="7:101" ht="15" customHeight="1">
      <c r="G103" s="4"/>
      <c r="H103" s="4"/>
      <c r="I103" s="4"/>
      <c r="J103" s="4"/>
      <c r="K103" s="4"/>
      <c r="Q103" s="246"/>
      <c r="R103" s="246"/>
      <c r="S103" s="246"/>
      <c r="T103" s="246"/>
      <c r="BT103" s="450"/>
      <c r="BU103" s="451"/>
      <c r="BV103" s="452"/>
      <c r="BW103" s="452"/>
    </row>
    <row r="104" spans="7:101" ht="15" customHeight="1">
      <c r="G104" s="4"/>
      <c r="H104" s="4"/>
      <c r="I104" s="4"/>
      <c r="J104" s="4"/>
      <c r="K104" s="4"/>
      <c r="Q104" s="246"/>
      <c r="R104" s="246"/>
      <c r="S104" s="246"/>
      <c r="T104" s="246"/>
      <c r="BT104" s="450"/>
      <c r="BU104" s="451"/>
      <c r="BV104" s="452"/>
      <c r="BW104" s="452"/>
    </row>
    <row r="105" spans="7:101" ht="15" customHeight="1">
      <c r="G105" s="4"/>
      <c r="H105" s="4"/>
      <c r="I105" s="4"/>
      <c r="J105" s="4"/>
      <c r="K105" s="4"/>
      <c r="Q105" s="246"/>
      <c r="R105" s="246"/>
      <c r="S105" s="246"/>
      <c r="T105" s="246"/>
      <c r="BT105" s="450"/>
      <c r="BU105" s="451"/>
      <c r="BV105" s="452"/>
      <c r="BW105" s="452"/>
    </row>
    <row r="106" spans="7:101" ht="15" customHeight="1">
      <c r="G106" s="4"/>
      <c r="H106" s="4"/>
      <c r="I106" s="4"/>
      <c r="J106" s="4"/>
      <c r="K106" s="4"/>
      <c r="Q106" s="246"/>
      <c r="R106" s="246"/>
      <c r="S106" s="246"/>
      <c r="T106" s="246"/>
      <c r="BT106" s="450"/>
      <c r="BU106" s="451"/>
      <c r="BV106" s="452"/>
      <c r="BW106" s="452"/>
    </row>
    <row r="107" spans="7:101" ht="15" customHeight="1">
      <c r="G107" s="4"/>
      <c r="H107" s="4"/>
      <c r="I107" s="4"/>
      <c r="J107" s="4"/>
      <c r="K107" s="4"/>
      <c r="Q107" s="246"/>
      <c r="R107" s="246"/>
      <c r="S107" s="246"/>
      <c r="T107" s="246"/>
      <c r="BT107" s="450"/>
      <c r="BU107" s="451"/>
      <c r="BV107" s="452"/>
      <c r="BW107" s="452"/>
    </row>
    <row r="108" spans="7:101" ht="15" customHeight="1">
      <c r="G108" s="4"/>
      <c r="H108" s="4"/>
      <c r="I108" s="4"/>
      <c r="J108" s="4"/>
      <c r="K108" s="4"/>
      <c r="Q108" s="246"/>
      <c r="R108" s="246"/>
      <c r="S108" s="246"/>
      <c r="T108" s="246"/>
      <c r="BT108" s="450"/>
      <c r="BU108" s="451"/>
      <c r="BV108" s="452"/>
      <c r="BW108" s="452"/>
    </row>
    <row r="109" spans="7:101" ht="12.75" customHeight="1">
      <c r="G109" s="4"/>
      <c r="H109" s="4"/>
      <c r="I109" s="4"/>
      <c r="J109" s="4"/>
      <c r="K109" s="4"/>
      <c r="Q109" s="246"/>
      <c r="R109" s="246"/>
      <c r="S109" s="246"/>
      <c r="T109" s="246"/>
      <c r="BT109" s="450"/>
      <c r="BU109" s="451"/>
      <c r="BV109" s="452"/>
      <c r="BW109" s="452"/>
    </row>
    <row r="110" spans="7:101" ht="12.75" customHeight="1">
      <c r="G110" s="4"/>
      <c r="H110" s="4"/>
      <c r="I110" s="4"/>
      <c r="J110" s="4"/>
      <c r="K110" s="4"/>
      <c r="Q110" s="23"/>
      <c r="R110" s="246"/>
      <c r="S110" s="246"/>
      <c r="T110" s="246"/>
      <c r="BT110" s="450"/>
      <c r="BU110" s="451"/>
      <c r="BV110" s="452"/>
      <c r="BW110" s="452"/>
    </row>
    <row r="111" spans="7:101" ht="12.75" customHeight="1">
      <c r="G111" s="4"/>
      <c r="H111" s="4"/>
      <c r="I111" s="4"/>
      <c r="J111" s="4"/>
      <c r="K111" s="4"/>
      <c r="Q111" s="23"/>
      <c r="R111" s="246"/>
      <c r="S111" s="246"/>
      <c r="T111" s="246"/>
      <c r="BT111" s="450"/>
      <c r="BU111" s="451"/>
      <c r="BV111" s="452"/>
      <c r="BW111" s="452"/>
    </row>
    <row r="112" spans="7:101" ht="12.75" customHeight="1">
      <c r="G112" s="4"/>
      <c r="H112" s="4"/>
      <c r="I112" s="4"/>
      <c r="J112" s="4"/>
      <c r="K112" s="4"/>
      <c r="Q112" s="23"/>
      <c r="R112" s="246"/>
      <c r="S112" s="246"/>
      <c r="T112" s="246"/>
    </row>
    <row r="113" spans="7:80" ht="12.75" customHeight="1">
      <c r="G113" s="4"/>
      <c r="H113" s="4"/>
      <c r="I113" s="4"/>
      <c r="J113" s="4"/>
      <c r="K113" s="4"/>
      <c r="Q113" s="246"/>
      <c r="R113" s="246"/>
      <c r="S113" s="246"/>
      <c r="T113" s="246"/>
    </row>
    <row r="114" spans="7:80" ht="12.75" customHeight="1">
      <c r="G114" s="4"/>
      <c r="H114" s="4"/>
      <c r="I114" s="4"/>
      <c r="J114" s="4"/>
      <c r="K114" s="4"/>
      <c r="Q114" s="246"/>
      <c r="R114" s="246"/>
      <c r="S114" s="246"/>
      <c r="T114" s="246"/>
    </row>
    <row r="115" spans="7:80" ht="12.75" customHeight="1">
      <c r="G115" s="4"/>
      <c r="H115" s="4"/>
      <c r="I115" s="4"/>
      <c r="J115" s="4"/>
      <c r="K115" s="4"/>
      <c r="Q115" s="246"/>
      <c r="R115" s="246"/>
      <c r="S115" s="246"/>
      <c r="T115" s="246"/>
    </row>
    <row r="116" spans="7:80" ht="12.75" customHeight="1">
      <c r="G116" s="4"/>
      <c r="H116" s="4"/>
      <c r="I116" s="4"/>
      <c r="J116" s="4"/>
      <c r="K116" s="4"/>
      <c r="Q116" s="246"/>
      <c r="R116" s="246"/>
      <c r="S116" s="246"/>
      <c r="T116" s="246"/>
    </row>
    <row r="117" spans="7:80" ht="12.75" customHeight="1">
      <c r="G117" s="4"/>
      <c r="H117" s="4"/>
      <c r="I117" s="4"/>
      <c r="J117" s="4"/>
      <c r="K117" s="4"/>
      <c r="Q117" s="246"/>
      <c r="R117" s="246"/>
      <c r="S117" s="246"/>
      <c r="T117" s="246"/>
      <c r="BR117" s="9"/>
      <c r="BS117" s="9"/>
      <c r="BT117" s="9"/>
      <c r="BU117" s="9"/>
      <c r="BV117" s="9"/>
      <c r="BW117" s="9"/>
      <c r="BX117" s="9"/>
    </row>
    <row r="118" spans="7:80" ht="12.75" customHeight="1">
      <c r="G118" s="4"/>
      <c r="H118" s="4"/>
      <c r="I118" s="4"/>
      <c r="J118" s="4"/>
      <c r="K118" s="4"/>
      <c r="Q118" s="246"/>
      <c r="R118" s="246"/>
      <c r="S118" s="246"/>
      <c r="T118" s="246"/>
      <c r="BR118" s="449"/>
      <c r="BS118" s="324"/>
      <c r="BT118" s="415"/>
      <c r="BU118" s="415"/>
      <c r="BV118" s="415"/>
      <c r="BW118" s="415"/>
      <c r="BX118" s="415"/>
      <c r="BY118" s="9"/>
      <c r="BZ118" s="9"/>
      <c r="CA118" s="9"/>
      <c r="CB118" s="9"/>
    </row>
    <row r="119" spans="7:80" ht="12.75" customHeight="1">
      <c r="G119" s="4"/>
      <c r="H119" s="4"/>
      <c r="I119" s="4"/>
      <c r="J119" s="4"/>
      <c r="K119" s="4"/>
      <c r="Q119" s="246"/>
      <c r="R119" s="246"/>
      <c r="S119" s="246"/>
      <c r="T119" s="246"/>
      <c r="BS119" s="328"/>
      <c r="BY119" s="415"/>
    </row>
    <row r="120" spans="7:80" ht="12.75" customHeight="1">
      <c r="G120" s="4"/>
      <c r="H120" s="4"/>
      <c r="I120" s="4"/>
      <c r="J120" s="4"/>
      <c r="K120" s="4"/>
      <c r="Q120" s="246"/>
      <c r="R120" s="246"/>
      <c r="S120" s="246"/>
      <c r="T120" s="246"/>
      <c r="BS120" s="328"/>
    </row>
    <row r="121" spans="7:80" ht="12.75" customHeight="1">
      <c r="G121" s="4"/>
      <c r="H121" s="4"/>
      <c r="I121" s="4"/>
      <c r="J121" s="4"/>
      <c r="K121" s="4"/>
      <c r="Q121" s="246"/>
      <c r="R121" s="246"/>
      <c r="S121" s="246"/>
      <c r="T121" s="246"/>
      <c r="BS121" s="328"/>
      <c r="CB121" s="114"/>
    </row>
    <row r="122" spans="7:80" ht="12.75" customHeight="1">
      <c r="G122" s="4"/>
      <c r="H122" s="4"/>
      <c r="I122" s="4"/>
      <c r="J122" s="4"/>
      <c r="K122" s="4"/>
      <c r="Q122" s="246"/>
      <c r="R122" s="246"/>
      <c r="S122" s="246"/>
      <c r="T122" s="246"/>
      <c r="BS122" s="328"/>
    </row>
    <row r="123" spans="7:80" ht="12.75" customHeight="1">
      <c r="G123" s="4"/>
      <c r="H123" s="4"/>
      <c r="I123" s="4"/>
      <c r="J123" s="4"/>
      <c r="K123" s="4"/>
      <c r="Q123" s="246"/>
      <c r="R123" s="246"/>
      <c r="S123" s="246"/>
      <c r="T123" s="246"/>
      <c r="BS123" s="328"/>
    </row>
    <row r="124" spans="7:80" ht="12.75" customHeight="1">
      <c r="G124" s="246"/>
      <c r="H124" s="246"/>
      <c r="I124" s="246"/>
      <c r="J124" s="246"/>
      <c r="K124" s="453"/>
      <c r="Q124" s="246"/>
      <c r="R124" s="246"/>
      <c r="S124" s="246"/>
      <c r="T124" s="246"/>
      <c r="BS124" s="328"/>
    </row>
    <row r="125" spans="7:80" ht="12.75" customHeight="1">
      <c r="G125" s="246"/>
      <c r="H125" s="246"/>
      <c r="I125" s="246"/>
      <c r="J125" s="246"/>
      <c r="K125" s="246"/>
      <c r="Q125" s="246"/>
      <c r="R125" s="246"/>
      <c r="S125" s="246"/>
      <c r="T125" s="246"/>
    </row>
    <row r="126" spans="7:80" ht="12.75" customHeight="1">
      <c r="G126" s="246"/>
      <c r="H126" s="246"/>
      <c r="I126" s="246"/>
      <c r="J126" s="246"/>
      <c r="K126" s="246"/>
      <c r="Q126" s="246"/>
      <c r="R126" s="246"/>
      <c r="S126" s="246"/>
      <c r="T126" s="246"/>
    </row>
    <row r="127" spans="7:80" ht="12.75" customHeight="1">
      <c r="G127" s="246"/>
      <c r="H127" s="246"/>
      <c r="I127" s="246"/>
      <c r="J127" s="246"/>
      <c r="K127" s="246"/>
      <c r="Q127" s="246"/>
      <c r="R127" s="246"/>
      <c r="S127" s="246"/>
      <c r="T127" s="246"/>
    </row>
    <row r="128" spans="7:80" ht="12.75" customHeight="1">
      <c r="H128" s="246"/>
      <c r="I128" s="246"/>
      <c r="J128" s="246"/>
      <c r="K128" s="246"/>
      <c r="Q128" s="246"/>
      <c r="R128" s="246"/>
      <c r="S128" s="246"/>
      <c r="T128" s="246"/>
    </row>
    <row r="129" spans="8:20" ht="12.75" customHeight="1">
      <c r="H129" s="246"/>
      <c r="I129" s="246"/>
      <c r="J129" s="246"/>
      <c r="K129" s="246"/>
      <c r="Q129" s="246"/>
      <c r="R129" s="246"/>
      <c r="S129" s="246"/>
      <c r="T129" s="246"/>
    </row>
    <row r="130" spans="8:20" ht="12.75" customHeight="1">
      <c r="H130" s="246"/>
      <c r="I130" s="246"/>
      <c r="J130" s="246"/>
      <c r="K130" s="246"/>
      <c r="Q130" s="246"/>
      <c r="R130" s="246"/>
      <c r="S130" s="246"/>
      <c r="T130" s="246"/>
    </row>
    <row r="131" spans="8:20" ht="12.75" customHeight="1">
      <c r="H131" s="246"/>
      <c r="I131" s="246"/>
      <c r="J131" s="246"/>
      <c r="K131" s="246"/>
      <c r="Q131" s="246"/>
      <c r="R131" s="246"/>
      <c r="S131" s="246"/>
      <c r="T131" s="246"/>
    </row>
    <row r="132" spans="8:20" ht="12.75" customHeight="1">
      <c r="H132" s="246"/>
      <c r="I132" s="246"/>
      <c r="J132" s="246"/>
      <c r="K132" s="246"/>
      <c r="Q132" s="246"/>
      <c r="R132" s="246"/>
      <c r="S132" s="246"/>
      <c r="T132" s="246"/>
    </row>
    <row r="133" spans="8:20" ht="12.75" customHeight="1">
      <c r="H133" s="246"/>
      <c r="I133" s="246"/>
      <c r="J133" s="246"/>
      <c r="K133" s="246"/>
      <c r="Q133" s="246"/>
      <c r="R133" s="246"/>
      <c r="S133" s="246"/>
      <c r="T133" s="246"/>
    </row>
    <row r="134" spans="8:20" ht="12.75" customHeight="1">
      <c r="H134" s="246"/>
      <c r="I134" s="246"/>
      <c r="J134" s="246"/>
      <c r="K134" s="246"/>
      <c r="Q134" s="246"/>
      <c r="R134" s="246"/>
      <c r="S134" s="246"/>
      <c r="T134" s="246"/>
    </row>
    <row r="135" spans="8:20" ht="12.75" customHeight="1">
      <c r="H135" s="246"/>
      <c r="I135" s="246"/>
      <c r="J135" s="246"/>
      <c r="K135" s="246"/>
      <c r="Q135" s="246"/>
      <c r="R135" s="246"/>
      <c r="S135" s="246"/>
      <c r="T135" s="246"/>
    </row>
    <row r="136" spans="8:20" ht="12.75" customHeight="1">
      <c r="H136" s="246"/>
      <c r="I136" s="246"/>
      <c r="J136" s="246"/>
      <c r="K136" s="246"/>
      <c r="Q136" s="246"/>
      <c r="R136" s="246"/>
      <c r="S136" s="246"/>
      <c r="T136" s="246"/>
    </row>
    <row r="137" spans="8:20" ht="12.75" customHeight="1">
      <c r="H137" s="246"/>
      <c r="I137" s="246"/>
      <c r="J137" s="246"/>
      <c r="K137" s="246"/>
      <c r="Q137" s="246"/>
      <c r="R137" s="246"/>
      <c r="S137" s="246"/>
      <c r="T137" s="246"/>
    </row>
    <row r="138" spans="8:20" ht="12.75" customHeight="1">
      <c r="H138" s="246"/>
      <c r="I138" s="246"/>
      <c r="J138" s="246"/>
      <c r="K138" s="246"/>
      <c r="Q138" s="246"/>
      <c r="R138" s="246"/>
      <c r="S138" s="246"/>
      <c r="T138" s="246"/>
    </row>
    <row r="139" spans="8:20" ht="12.75" customHeight="1">
      <c r="H139" s="246"/>
      <c r="I139" s="246"/>
      <c r="J139" s="246"/>
      <c r="K139" s="246"/>
      <c r="Q139" s="246"/>
      <c r="R139" s="246"/>
      <c r="S139" s="246"/>
      <c r="T139" s="246"/>
    </row>
    <row r="140" spans="8:20" ht="12.75" customHeight="1">
      <c r="H140" s="246"/>
      <c r="I140" s="246"/>
      <c r="J140" s="246"/>
      <c r="K140" s="246"/>
      <c r="Q140" s="246"/>
      <c r="R140" s="246"/>
      <c r="S140" s="246"/>
      <c r="T140" s="246"/>
    </row>
    <row r="141" spans="8:20" ht="12.75" customHeight="1">
      <c r="H141" s="246"/>
      <c r="I141" s="246"/>
      <c r="J141" s="246"/>
      <c r="K141" s="246"/>
      <c r="Q141" s="246"/>
      <c r="R141" s="246"/>
      <c r="S141" s="246"/>
      <c r="T141" s="246"/>
    </row>
    <row r="142" spans="8:20" ht="12.75" customHeight="1">
      <c r="H142" s="246"/>
      <c r="I142" s="246"/>
      <c r="J142" s="246"/>
      <c r="K142" s="246"/>
      <c r="Q142" s="246"/>
      <c r="R142" s="246"/>
      <c r="S142" s="246"/>
      <c r="T142" s="246"/>
    </row>
    <row r="143" spans="8:20" ht="12.75" customHeight="1">
      <c r="H143" s="246"/>
      <c r="I143" s="246"/>
      <c r="J143" s="246"/>
      <c r="K143" s="246"/>
      <c r="Q143" s="246"/>
      <c r="R143" s="246"/>
      <c r="S143" s="246"/>
      <c r="T143" s="246"/>
    </row>
    <row r="144" spans="8:20" ht="12.75" customHeight="1">
      <c r="H144" s="246"/>
      <c r="I144" s="246"/>
      <c r="J144" s="246"/>
      <c r="K144" s="246"/>
      <c r="Q144" s="246"/>
      <c r="R144" s="246"/>
      <c r="S144" s="246"/>
      <c r="T144" s="246"/>
    </row>
    <row r="145" spans="8:20" ht="12.75" customHeight="1">
      <c r="H145" s="246"/>
      <c r="I145" s="246"/>
      <c r="J145" s="246"/>
      <c r="K145" s="246"/>
      <c r="Q145" s="246"/>
      <c r="R145" s="246"/>
      <c r="S145" s="246"/>
      <c r="T145" s="246"/>
    </row>
    <row r="146" spans="8:20" ht="12.75" customHeight="1">
      <c r="H146" s="246"/>
      <c r="I146" s="246"/>
      <c r="J146" s="246"/>
      <c r="K146" s="246"/>
      <c r="Q146" s="246"/>
      <c r="R146" s="246"/>
      <c r="S146" s="246"/>
      <c r="T146" s="246"/>
    </row>
    <row r="147" spans="8:20" ht="12.75" customHeight="1">
      <c r="H147" s="246"/>
      <c r="I147" s="246"/>
      <c r="J147" s="246"/>
      <c r="K147" s="246"/>
      <c r="Q147" s="246"/>
      <c r="R147" s="246"/>
      <c r="S147" s="246"/>
      <c r="T147" s="246"/>
    </row>
    <row r="148" spans="8:20" ht="12.75" customHeight="1">
      <c r="H148" s="246"/>
      <c r="I148" s="246"/>
      <c r="J148" s="246"/>
      <c r="K148" s="246"/>
      <c r="Q148" s="246"/>
      <c r="R148" s="246"/>
      <c r="S148" s="246"/>
      <c r="T148" s="246"/>
    </row>
    <row r="149" spans="8:20" ht="12.75" customHeight="1">
      <c r="H149" s="246"/>
      <c r="I149" s="246"/>
      <c r="J149" s="246"/>
      <c r="K149" s="246"/>
      <c r="Q149" s="246"/>
      <c r="R149" s="246"/>
      <c r="S149" s="246"/>
      <c r="T149" s="246"/>
    </row>
    <row r="150" spans="8:20" ht="12.75" customHeight="1">
      <c r="H150" s="246"/>
      <c r="I150" s="246"/>
      <c r="J150" s="246"/>
      <c r="K150" s="246"/>
      <c r="Q150" s="246"/>
      <c r="R150" s="246"/>
      <c r="S150" s="246"/>
      <c r="T150" s="246"/>
    </row>
    <row r="151" spans="8:20" ht="12.75" customHeight="1">
      <c r="H151" s="246"/>
      <c r="I151" s="246"/>
      <c r="J151" s="246"/>
      <c r="K151" s="246"/>
      <c r="Q151" s="246"/>
      <c r="R151" s="246"/>
      <c r="S151" s="246"/>
      <c r="T151" s="246"/>
    </row>
    <row r="152" spans="8:20" ht="12.75" customHeight="1">
      <c r="I152" s="246"/>
      <c r="J152" s="246"/>
      <c r="K152" s="246"/>
      <c r="Q152" s="246"/>
      <c r="R152" s="246"/>
      <c r="S152" s="246"/>
      <c r="T152" s="246"/>
    </row>
    <row r="153" spans="8:20" ht="12.75" customHeight="1">
      <c r="Q153" s="246"/>
      <c r="R153" s="246"/>
      <c r="S153" s="246"/>
      <c r="T153" s="246"/>
    </row>
    <row r="154" spans="8:20" ht="12.75" customHeight="1">
      <c r="Q154" s="246"/>
      <c r="R154" s="246"/>
      <c r="S154" s="246"/>
      <c r="T154" s="246"/>
    </row>
    <row r="155" spans="8:20" ht="12.75" customHeight="1">
      <c r="Q155" s="246"/>
      <c r="R155" s="246"/>
      <c r="S155" s="246"/>
      <c r="T155" s="246"/>
    </row>
    <row r="156" spans="8:20" ht="12.75" customHeight="1">
      <c r="Q156" s="246"/>
      <c r="R156" s="246"/>
      <c r="S156" s="246"/>
      <c r="T156" s="246"/>
    </row>
    <row r="157" spans="8:20" ht="12.75" customHeight="1">
      <c r="Q157" s="246"/>
      <c r="R157" s="246"/>
      <c r="S157" s="246"/>
      <c r="T157" s="246"/>
    </row>
    <row r="158" spans="8:20" ht="12.75" customHeight="1">
      <c r="Q158" s="246"/>
      <c r="R158" s="246"/>
      <c r="S158" s="246"/>
      <c r="T158" s="246"/>
    </row>
    <row r="159" spans="8:20" ht="12.75" customHeight="1">
      <c r="Q159" s="246"/>
      <c r="R159" s="246"/>
      <c r="S159" s="246"/>
      <c r="T159" s="246"/>
    </row>
    <row r="160" spans="8:20" ht="12.75" customHeight="1">
      <c r="Q160" s="246"/>
      <c r="R160" s="246"/>
      <c r="S160" s="246"/>
      <c r="T160" s="246"/>
    </row>
    <row r="161" spans="7:20" ht="12.75" customHeight="1">
      <c r="Q161" s="246"/>
      <c r="R161" s="246"/>
      <c r="S161" s="246"/>
      <c r="T161" s="246"/>
    </row>
    <row r="162" spans="7:20" ht="12.75" customHeight="1">
      <c r="Q162" s="246"/>
      <c r="R162" s="246"/>
      <c r="S162" s="246"/>
      <c r="T162" s="246"/>
    </row>
    <row r="163" spans="7:20" ht="12.75" customHeight="1">
      <c r="Q163" s="246"/>
      <c r="R163" s="246"/>
      <c r="S163" s="246"/>
      <c r="T163" s="246"/>
    </row>
    <row r="164" spans="7:20" ht="12.75" customHeight="1">
      <c r="Q164" s="246"/>
      <c r="R164" s="246"/>
      <c r="S164" s="246"/>
      <c r="T164" s="246"/>
    </row>
    <row r="165" spans="7:20" ht="12.75" customHeight="1">
      <c r="Q165" s="246"/>
      <c r="R165" s="246"/>
      <c r="S165" s="246"/>
      <c r="T165" s="246"/>
    </row>
    <row r="166" spans="7:20" ht="12.75" customHeight="1">
      <c r="Q166" s="246"/>
      <c r="R166" s="246"/>
      <c r="S166" s="246"/>
      <c r="T166" s="246"/>
    </row>
    <row r="167" spans="7:20" ht="12.75" customHeight="1">
      <c r="Q167" s="246"/>
      <c r="R167" s="246"/>
      <c r="S167" s="246"/>
      <c r="T167" s="246"/>
    </row>
    <row r="168" spans="7:20" ht="12.75" customHeight="1">
      <c r="Q168" s="246"/>
      <c r="R168" s="246"/>
      <c r="S168" s="246"/>
      <c r="T168" s="246"/>
    </row>
    <row r="169" spans="7:20" ht="12.75" customHeight="1">
      <c r="Q169" s="246"/>
      <c r="R169" s="246"/>
      <c r="S169" s="246"/>
      <c r="T169" s="246"/>
    </row>
    <row r="170" spans="7:20" ht="12.75" customHeight="1">
      <c r="Q170" s="246"/>
      <c r="R170" s="246"/>
      <c r="S170" s="246"/>
      <c r="T170" s="246"/>
    </row>
    <row r="171" spans="7:20" ht="12.75" customHeight="1">
      <c r="G171" s="454"/>
      <c r="Q171" s="246"/>
      <c r="R171" s="246"/>
      <c r="S171" s="246"/>
      <c r="T171" s="246"/>
    </row>
    <row r="172" spans="7:20" ht="12.75" customHeight="1">
      <c r="G172" s="454"/>
      <c r="Q172" s="246"/>
      <c r="R172" s="246"/>
      <c r="S172" s="246"/>
      <c r="T172" s="246"/>
    </row>
    <row r="173" spans="7:20" ht="12.75" customHeight="1">
      <c r="G173" s="454"/>
      <c r="Q173" s="246"/>
      <c r="R173" s="246"/>
      <c r="S173" s="246"/>
      <c r="T173" s="246"/>
    </row>
    <row r="174" spans="7:20" ht="12.75" customHeight="1">
      <c r="G174" s="454"/>
      <c r="Q174" s="246"/>
      <c r="R174" s="246"/>
      <c r="S174" s="246"/>
      <c r="T174" s="246"/>
    </row>
    <row r="175" spans="7:20" ht="12.75" customHeight="1">
      <c r="G175" s="455"/>
      <c r="Q175" s="246"/>
      <c r="R175" s="246"/>
      <c r="S175" s="246"/>
      <c r="T175" s="246"/>
    </row>
    <row r="176" spans="7:20" ht="12.75" customHeight="1">
      <c r="G176" s="455"/>
      <c r="Q176" s="246"/>
      <c r="R176" s="246"/>
      <c r="S176" s="246"/>
      <c r="T176" s="246"/>
    </row>
    <row r="177" spans="7:20" ht="12.75" customHeight="1">
      <c r="G177" s="456"/>
      <c r="Q177" s="246"/>
      <c r="R177" s="246"/>
      <c r="S177" s="246"/>
      <c r="T177" s="246"/>
    </row>
    <row r="178" spans="7:20" ht="12.75" customHeight="1">
      <c r="G178" s="457"/>
      <c r="Q178" s="246"/>
      <c r="R178" s="246"/>
      <c r="S178" s="246"/>
      <c r="T178" s="246"/>
    </row>
    <row r="179" spans="7:20" ht="12.75" customHeight="1">
      <c r="G179" s="457"/>
      <c r="Q179" s="246"/>
      <c r="R179" s="246"/>
      <c r="S179" s="246"/>
      <c r="T179" s="246"/>
    </row>
    <row r="180" spans="7:20" ht="12.75" customHeight="1">
      <c r="G180" s="457"/>
      <c r="Q180" s="246"/>
      <c r="R180" s="246"/>
      <c r="S180" s="246"/>
      <c r="T180" s="246"/>
    </row>
    <row r="181" spans="7:20" ht="12.75" customHeight="1">
      <c r="G181" s="457"/>
      <c r="Q181" s="246"/>
      <c r="R181" s="246"/>
      <c r="S181" s="246"/>
      <c r="T181" s="246"/>
    </row>
    <row r="182" spans="7:20" ht="12.75" customHeight="1">
      <c r="G182" s="457"/>
      <c r="Q182" s="246"/>
      <c r="R182" s="246"/>
      <c r="S182" s="246"/>
      <c r="T182" s="246"/>
    </row>
    <row r="183" spans="7:20" ht="12.75" customHeight="1">
      <c r="G183" s="457"/>
      <c r="Q183" s="246"/>
      <c r="R183" s="246"/>
      <c r="S183" s="246"/>
      <c r="T183" s="246"/>
    </row>
    <row r="184" spans="7:20" ht="12.75" customHeight="1">
      <c r="G184" s="457"/>
      <c r="Q184" s="246"/>
      <c r="R184" s="246"/>
      <c r="S184" s="246"/>
      <c r="T184" s="246"/>
    </row>
    <row r="185" spans="7:20" ht="12.75" customHeight="1">
      <c r="G185" s="457"/>
      <c r="Q185" s="246"/>
      <c r="R185" s="246"/>
      <c r="S185" s="246"/>
      <c r="T185" s="246"/>
    </row>
    <row r="186" spans="7:20" ht="12.75" customHeight="1">
      <c r="G186" s="457"/>
      <c r="Q186" s="246"/>
      <c r="R186" s="246"/>
      <c r="S186" s="246"/>
      <c r="T186" s="246"/>
    </row>
    <row r="187" spans="7:20" ht="12.75" customHeight="1">
      <c r="G187" s="457"/>
      <c r="Q187" s="246"/>
      <c r="R187" s="246"/>
      <c r="S187" s="246"/>
      <c r="T187" s="246"/>
    </row>
    <row r="188" spans="7:20" ht="12.75" customHeight="1">
      <c r="G188" s="457"/>
      <c r="Q188" s="246"/>
      <c r="R188" s="246"/>
      <c r="S188" s="246"/>
      <c r="T188" s="246"/>
    </row>
    <row r="189" spans="7:20" ht="12.75" customHeight="1">
      <c r="G189" s="457"/>
      <c r="Q189" s="246"/>
      <c r="R189" s="246"/>
      <c r="S189" s="246"/>
      <c r="T189" s="246"/>
    </row>
    <row r="190" spans="7:20" ht="12.75" customHeight="1">
      <c r="G190" s="457"/>
      <c r="Q190" s="246"/>
      <c r="R190" s="246"/>
      <c r="S190" s="246"/>
      <c r="T190" s="246"/>
    </row>
    <row r="191" spans="7:20" ht="12.75" customHeight="1">
      <c r="G191" s="456"/>
      <c r="Q191" s="246"/>
      <c r="R191" s="246"/>
      <c r="S191" s="246"/>
      <c r="T191" s="246"/>
    </row>
    <row r="192" spans="7:20" ht="12.75" customHeight="1">
      <c r="G192" s="457"/>
      <c r="Q192" s="246"/>
      <c r="R192" s="246"/>
      <c r="S192" s="246"/>
      <c r="T192" s="246"/>
    </row>
    <row r="193" spans="7:20" ht="12.75" customHeight="1">
      <c r="G193" s="457"/>
      <c r="Q193" s="246"/>
      <c r="R193" s="246"/>
      <c r="S193" s="246"/>
      <c r="T193" s="246"/>
    </row>
    <row r="194" spans="7:20" ht="12.75" customHeight="1">
      <c r="G194" s="456"/>
      <c r="Q194" s="246"/>
      <c r="R194" s="246"/>
      <c r="S194" s="246"/>
      <c r="T194" s="246"/>
    </row>
    <row r="195" spans="7:20" ht="12.75" customHeight="1">
      <c r="G195" s="456"/>
      <c r="Q195" s="246"/>
      <c r="R195" s="246"/>
      <c r="S195" s="246"/>
      <c r="T195" s="246"/>
    </row>
    <row r="196" spans="7:20" ht="12.75" customHeight="1">
      <c r="G196" s="457"/>
      <c r="K196" s="458"/>
      <c r="Q196" s="246"/>
      <c r="R196" s="246"/>
      <c r="S196" s="246"/>
      <c r="T196" s="246"/>
    </row>
    <row r="197" spans="7:20" ht="12.75" customHeight="1">
      <c r="G197" s="457"/>
      <c r="K197" s="458"/>
      <c r="Q197" s="246"/>
      <c r="R197" s="246"/>
      <c r="S197" s="246"/>
      <c r="T197" s="246"/>
    </row>
    <row r="198" spans="7:20" ht="12.75" customHeight="1">
      <c r="G198" s="457"/>
      <c r="K198" s="458"/>
      <c r="Q198" s="246"/>
      <c r="R198" s="246"/>
      <c r="S198" s="246"/>
      <c r="T198" s="246"/>
    </row>
    <row r="199" spans="7:20" ht="12.75" customHeight="1">
      <c r="G199" s="457"/>
      <c r="H199" s="454"/>
      <c r="K199" s="458"/>
      <c r="Q199" s="246"/>
      <c r="R199" s="246"/>
      <c r="S199" s="246"/>
      <c r="T199" s="246"/>
    </row>
    <row r="200" spans="7:20" ht="12.75" customHeight="1">
      <c r="G200" s="457"/>
      <c r="H200" s="459"/>
      <c r="I200" s="454"/>
      <c r="J200" s="454"/>
      <c r="K200" s="454"/>
      <c r="Q200" s="246"/>
      <c r="R200" s="246"/>
      <c r="S200" s="246"/>
      <c r="T200" s="246"/>
    </row>
    <row r="201" spans="7:20" ht="12.75" customHeight="1">
      <c r="G201" s="457"/>
      <c r="H201" s="460"/>
      <c r="I201" s="459"/>
      <c r="J201" s="459"/>
      <c r="K201" s="459"/>
      <c r="Q201" s="246"/>
      <c r="R201" s="246"/>
      <c r="S201" s="246"/>
      <c r="T201" s="246"/>
    </row>
    <row r="202" spans="7:20" ht="12.75" customHeight="1">
      <c r="G202" s="457"/>
      <c r="H202" s="461"/>
      <c r="I202" s="460"/>
      <c r="J202" s="460"/>
      <c r="K202" s="460"/>
      <c r="Q202" s="246"/>
      <c r="R202" s="246"/>
      <c r="S202" s="246"/>
      <c r="T202" s="246"/>
    </row>
    <row r="203" spans="7:20" ht="12.75" customHeight="1">
      <c r="G203" s="457"/>
      <c r="H203" s="461"/>
      <c r="I203" s="461"/>
      <c r="J203" s="461"/>
      <c r="K203" s="461"/>
      <c r="Q203" s="246"/>
      <c r="R203" s="246"/>
      <c r="S203" s="246"/>
      <c r="T203" s="246"/>
    </row>
    <row r="204" spans="7:20" ht="12.75" customHeight="1">
      <c r="G204" s="457"/>
      <c r="H204" s="461"/>
      <c r="I204" s="461"/>
      <c r="J204" s="461"/>
      <c r="K204" s="461"/>
      <c r="Q204" s="246"/>
      <c r="R204" s="246"/>
      <c r="S204" s="246"/>
      <c r="T204" s="246"/>
    </row>
    <row r="205" spans="7:20" ht="12.75" customHeight="1">
      <c r="G205" s="457"/>
      <c r="H205" s="461"/>
      <c r="I205" s="461"/>
      <c r="J205" s="461"/>
      <c r="K205" s="461"/>
      <c r="Q205" s="246"/>
      <c r="R205" s="246"/>
      <c r="S205" s="246"/>
      <c r="T205" s="246"/>
    </row>
    <row r="206" spans="7:20" ht="12.75" customHeight="1">
      <c r="G206" s="457"/>
      <c r="H206" s="461"/>
      <c r="I206" s="461"/>
      <c r="J206" s="461"/>
      <c r="K206" s="461"/>
      <c r="Q206" s="246"/>
      <c r="R206" s="246"/>
      <c r="S206" s="246"/>
      <c r="T206" s="246"/>
    </row>
    <row r="207" spans="7:20" ht="12.75" customHeight="1">
      <c r="G207" s="457"/>
      <c r="H207" s="461"/>
      <c r="I207" s="461"/>
      <c r="J207" s="461"/>
      <c r="K207" s="461"/>
      <c r="Q207" s="246"/>
      <c r="R207" s="246"/>
      <c r="S207" s="246"/>
      <c r="T207" s="246"/>
    </row>
    <row r="208" spans="7:20" ht="12.75" customHeight="1">
      <c r="G208" s="457"/>
      <c r="H208" s="461"/>
      <c r="I208" s="461"/>
      <c r="J208" s="461"/>
      <c r="K208" s="461"/>
      <c r="Q208" s="246"/>
      <c r="R208" s="246"/>
      <c r="S208" s="246"/>
      <c r="T208" s="246"/>
    </row>
    <row r="209" spans="7:20" ht="12.75" customHeight="1">
      <c r="G209" s="457"/>
      <c r="H209" s="461"/>
      <c r="I209" s="461"/>
      <c r="J209" s="461"/>
      <c r="K209" s="461"/>
      <c r="Q209" s="246"/>
      <c r="R209" s="246"/>
      <c r="S209" s="246"/>
      <c r="T209" s="246"/>
    </row>
    <row r="210" spans="7:20" ht="12.75" customHeight="1">
      <c r="G210" s="457"/>
      <c r="H210" s="461"/>
      <c r="I210" s="461"/>
      <c r="J210" s="461"/>
      <c r="K210" s="461"/>
      <c r="Q210" s="246"/>
      <c r="R210" s="246"/>
      <c r="S210" s="246"/>
      <c r="T210" s="246"/>
    </row>
    <row r="211" spans="7:20" ht="12.75" customHeight="1">
      <c r="G211" s="457"/>
      <c r="H211" s="461"/>
      <c r="I211" s="461"/>
      <c r="J211" s="461"/>
      <c r="K211" s="461"/>
      <c r="Q211" s="246"/>
      <c r="R211" s="246"/>
      <c r="S211" s="246"/>
      <c r="T211" s="246"/>
    </row>
    <row r="212" spans="7:20" ht="12.75" customHeight="1">
      <c r="G212" s="457"/>
      <c r="H212" s="462"/>
      <c r="I212" s="461"/>
      <c r="J212" s="461"/>
      <c r="K212" s="461"/>
      <c r="Q212" s="246"/>
      <c r="R212" s="246"/>
      <c r="S212" s="246"/>
      <c r="T212" s="246"/>
    </row>
    <row r="213" spans="7:20" ht="12.75" customHeight="1">
      <c r="G213" s="456"/>
      <c r="H213" s="462"/>
      <c r="I213" s="462"/>
      <c r="J213" s="462"/>
      <c r="K213" s="463"/>
      <c r="Q213" s="246"/>
      <c r="R213" s="246"/>
      <c r="S213" s="246"/>
      <c r="T213" s="246"/>
    </row>
    <row r="214" spans="7:20" ht="12.75" customHeight="1">
      <c r="G214" s="456"/>
      <c r="H214" s="462"/>
      <c r="I214" s="462"/>
      <c r="J214" s="462"/>
      <c r="K214" s="463"/>
      <c r="Q214" s="246"/>
      <c r="R214" s="246"/>
      <c r="S214" s="246"/>
      <c r="T214" s="246"/>
    </row>
    <row r="215" spans="7:20" ht="12.75" customHeight="1">
      <c r="G215" s="246"/>
      <c r="H215" s="462"/>
      <c r="I215" s="462"/>
      <c r="J215" s="462"/>
      <c r="K215" s="463"/>
      <c r="Q215" s="246"/>
      <c r="R215" s="246"/>
      <c r="S215" s="246"/>
      <c r="T215" s="246"/>
    </row>
    <row r="216" spans="7:20" ht="12.75" customHeight="1">
      <c r="G216" s="246"/>
      <c r="H216" s="463"/>
      <c r="I216" s="462"/>
      <c r="J216" s="462"/>
      <c r="K216" s="463"/>
      <c r="Q216" s="246"/>
      <c r="R216" s="246"/>
      <c r="S216" s="246"/>
      <c r="T216" s="246"/>
    </row>
    <row r="217" spans="7:20" ht="12.75" customHeight="1">
      <c r="G217" s="246"/>
      <c r="H217" s="461"/>
      <c r="I217" s="463"/>
      <c r="J217" s="463"/>
      <c r="K217" s="463"/>
      <c r="Q217" s="246"/>
      <c r="R217" s="246"/>
      <c r="S217" s="246"/>
      <c r="T217" s="246"/>
    </row>
    <row r="218" spans="7:20" ht="12.75" customHeight="1">
      <c r="G218" s="246"/>
      <c r="H218" s="460"/>
      <c r="I218" s="461"/>
      <c r="J218" s="461"/>
      <c r="K218" s="461"/>
      <c r="Q218" s="246"/>
      <c r="R218" s="246"/>
      <c r="S218" s="246"/>
      <c r="T218" s="246"/>
    </row>
    <row r="219" spans="7:20" ht="12.75" customHeight="1">
      <c r="G219" s="246"/>
      <c r="H219" s="460"/>
      <c r="I219" s="460"/>
      <c r="J219" s="460"/>
      <c r="K219" s="460"/>
      <c r="Q219" s="246"/>
      <c r="R219" s="246"/>
      <c r="S219" s="246"/>
      <c r="T219" s="246"/>
    </row>
    <row r="220" spans="7:20" ht="12.75" customHeight="1">
      <c r="G220" s="246"/>
      <c r="H220" s="461"/>
      <c r="I220" s="460"/>
      <c r="J220" s="460"/>
      <c r="K220" s="460"/>
      <c r="Q220" s="246"/>
      <c r="R220" s="246"/>
      <c r="S220" s="246"/>
      <c r="T220" s="246"/>
    </row>
    <row r="221" spans="7:20" ht="12.75" customHeight="1">
      <c r="G221" s="464"/>
      <c r="H221" s="461"/>
      <c r="I221" s="461"/>
      <c r="J221" s="461"/>
      <c r="K221" s="461"/>
      <c r="Q221" s="246"/>
      <c r="R221" s="246"/>
      <c r="S221" s="246"/>
      <c r="T221" s="246"/>
    </row>
    <row r="222" spans="7:20" ht="12.75" customHeight="1">
      <c r="G222" s="464"/>
      <c r="H222" s="461"/>
      <c r="I222" s="461"/>
      <c r="J222" s="461"/>
      <c r="K222" s="461"/>
      <c r="Q222" s="246"/>
      <c r="R222" s="246"/>
      <c r="S222" s="246"/>
      <c r="T222" s="246"/>
    </row>
    <row r="223" spans="7:20" ht="12.75" customHeight="1">
      <c r="G223" s="464"/>
      <c r="H223" s="461"/>
      <c r="I223" s="461"/>
      <c r="J223" s="461"/>
      <c r="K223" s="461"/>
      <c r="Q223" s="246"/>
      <c r="R223" s="246"/>
      <c r="S223" s="246"/>
      <c r="T223" s="246"/>
    </row>
    <row r="224" spans="7:20" ht="12.75" customHeight="1">
      <c r="G224" s="464"/>
      <c r="H224" s="461"/>
      <c r="I224" s="461"/>
      <c r="J224" s="461"/>
      <c r="K224" s="461"/>
      <c r="Q224" s="246"/>
      <c r="R224" s="246"/>
      <c r="S224" s="246"/>
      <c r="T224" s="246"/>
    </row>
    <row r="225" spans="7:20" ht="12.75" customHeight="1">
      <c r="G225" s="465"/>
      <c r="H225" s="461"/>
      <c r="I225" s="461"/>
      <c r="J225" s="461"/>
      <c r="K225" s="461"/>
      <c r="Q225" s="246"/>
      <c r="R225" s="246"/>
      <c r="S225" s="246"/>
      <c r="T225" s="246"/>
    </row>
    <row r="226" spans="7:20" ht="12.75" customHeight="1">
      <c r="G226" s="465"/>
      <c r="H226" s="461"/>
      <c r="I226" s="461"/>
      <c r="J226" s="461"/>
      <c r="K226" s="461"/>
      <c r="Q226" s="246"/>
      <c r="R226" s="246"/>
      <c r="S226" s="246"/>
      <c r="T226" s="246"/>
    </row>
    <row r="227" spans="7:20" ht="12.75" customHeight="1">
      <c r="G227" s="456"/>
      <c r="H227" s="461"/>
      <c r="I227" s="461"/>
      <c r="J227" s="461"/>
      <c r="K227" s="461"/>
      <c r="Q227" s="246"/>
      <c r="R227" s="246"/>
      <c r="S227" s="246"/>
      <c r="T227" s="246"/>
    </row>
    <row r="228" spans="7:20" ht="12.75" customHeight="1">
      <c r="G228" s="466"/>
      <c r="H228" s="461"/>
      <c r="I228" s="461"/>
      <c r="J228" s="461"/>
      <c r="K228" s="461"/>
      <c r="Q228" s="246"/>
      <c r="R228" s="246"/>
      <c r="S228" s="246"/>
      <c r="T228" s="246"/>
    </row>
    <row r="229" spans="7:20" ht="12.75" customHeight="1">
      <c r="G229" s="466"/>
      <c r="H229" s="461"/>
      <c r="I229" s="461"/>
      <c r="J229" s="461"/>
      <c r="K229" s="461"/>
      <c r="Q229" s="246"/>
      <c r="R229" s="246"/>
      <c r="S229" s="246"/>
      <c r="T229" s="246"/>
    </row>
    <row r="230" spans="7:20" ht="12.75" customHeight="1">
      <c r="G230" s="466"/>
      <c r="H230" s="461"/>
      <c r="I230" s="461"/>
      <c r="J230" s="461"/>
      <c r="K230" s="461"/>
      <c r="Q230" s="246"/>
      <c r="R230" s="246"/>
      <c r="S230" s="246"/>
      <c r="T230" s="246"/>
    </row>
    <row r="231" spans="7:20" ht="12.75" customHeight="1">
      <c r="G231" s="246"/>
      <c r="H231" s="461"/>
      <c r="I231" s="461"/>
      <c r="J231" s="461"/>
      <c r="K231" s="461"/>
      <c r="Q231" s="246"/>
      <c r="R231" s="246"/>
      <c r="S231" s="246"/>
      <c r="T231" s="246"/>
    </row>
    <row r="232" spans="7:20" ht="12.75" customHeight="1">
      <c r="G232" s="466"/>
      <c r="H232" s="461"/>
      <c r="I232" s="461"/>
      <c r="J232" s="461"/>
      <c r="K232" s="461"/>
      <c r="Q232" s="246"/>
      <c r="R232" s="246"/>
      <c r="S232" s="246"/>
      <c r="T232" s="246"/>
    </row>
    <row r="233" spans="7:20" ht="12.75" customHeight="1">
      <c r="G233" s="466"/>
      <c r="H233" s="461"/>
      <c r="I233" s="461"/>
      <c r="J233" s="461"/>
      <c r="K233" s="461"/>
      <c r="Q233" s="246"/>
      <c r="R233" s="246"/>
      <c r="S233" s="246"/>
      <c r="T233" s="246"/>
    </row>
    <row r="234" spans="7:20" ht="12.75" customHeight="1">
      <c r="G234" s="466"/>
      <c r="H234" s="461"/>
      <c r="I234" s="461"/>
      <c r="J234" s="461"/>
      <c r="K234" s="461"/>
      <c r="Q234" s="246"/>
      <c r="R234" s="246"/>
      <c r="S234" s="246"/>
      <c r="T234" s="246"/>
    </row>
    <row r="235" spans="7:20" ht="12.75" customHeight="1">
      <c r="G235" s="466"/>
      <c r="H235" s="461"/>
      <c r="I235" s="461"/>
      <c r="J235" s="461"/>
      <c r="K235" s="467"/>
      <c r="Q235" s="246"/>
      <c r="R235" s="246"/>
      <c r="S235" s="246"/>
      <c r="T235" s="246"/>
    </row>
    <row r="236" spans="7:20" ht="12.75" customHeight="1">
      <c r="G236" s="466"/>
      <c r="H236" s="461"/>
      <c r="I236" s="461"/>
      <c r="J236" s="461"/>
      <c r="K236" s="461"/>
      <c r="Q236" s="246"/>
      <c r="R236" s="246"/>
      <c r="S236" s="246"/>
      <c r="T236" s="246"/>
    </row>
    <row r="237" spans="7:20" ht="12.75" customHeight="1">
      <c r="G237" s="466"/>
      <c r="H237" s="461"/>
      <c r="I237" s="461"/>
      <c r="J237" s="461"/>
      <c r="K237" s="461"/>
      <c r="Q237" s="246"/>
      <c r="R237" s="246"/>
      <c r="S237" s="246"/>
      <c r="T237" s="246"/>
    </row>
    <row r="238" spans="7:20" ht="12.75" customHeight="1">
      <c r="G238" s="466"/>
      <c r="H238" s="461"/>
      <c r="I238" s="461"/>
      <c r="J238" s="461"/>
      <c r="K238" s="461"/>
      <c r="Q238" s="246"/>
      <c r="R238" s="246"/>
      <c r="S238" s="246"/>
      <c r="T238" s="246"/>
    </row>
    <row r="239" spans="7:20" ht="12.75" customHeight="1">
      <c r="G239" s="466"/>
      <c r="H239" s="246"/>
      <c r="I239" s="461"/>
      <c r="J239" s="461"/>
      <c r="K239" s="461"/>
      <c r="Q239" s="246"/>
      <c r="R239" s="246"/>
      <c r="S239" s="246"/>
      <c r="T239" s="246"/>
    </row>
    <row r="240" spans="7:20" ht="12.75" customHeight="1">
      <c r="G240" s="466"/>
      <c r="H240" s="246"/>
      <c r="I240" s="246"/>
      <c r="J240" s="246"/>
      <c r="K240" s="246"/>
      <c r="Q240" s="246"/>
      <c r="R240" s="246"/>
      <c r="S240" s="246"/>
      <c r="T240" s="246"/>
    </row>
    <row r="241" spans="7:20" ht="12.75" customHeight="1">
      <c r="G241" s="466"/>
      <c r="H241" s="246"/>
      <c r="I241" s="246"/>
      <c r="J241" s="246"/>
      <c r="K241" s="246"/>
      <c r="Q241" s="246"/>
      <c r="R241" s="246"/>
      <c r="S241" s="246"/>
      <c r="T241" s="246"/>
    </row>
    <row r="242" spans="7:20" ht="12.75" customHeight="1">
      <c r="G242" s="466"/>
      <c r="H242" s="246"/>
      <c r="I242" s="246"/>
      <c r="J242" s="246"/>
      <c r="K242" s="246"/>
      <c r="Q242" s="246"/>
      <c r="R242" s="246"/>
      <c r="S242" s="246"/>
      <c r="T242" s="246"/>
    </row>
    <row r="243" spans="7:20" ht="12.75" customHeight="1">
      <c r="G243" s="465"/>
      <c r="H243" s="246"/>
      <c r="I243" s="246"/>
      <c r="J243" s="246"/>
      <c r="K243" s="246"/>
      <c r="Q243" s="246"/>
      <c r="R243" s="246"/>
      <c r="S243" s="246"/>
      <c r="T243" s="246"/>
    </row>
    <row r="244" spans="7:20" ht="12.75" customHeight="1">
      <c r="G244" s="246"/>
      <c r="H244" s="246"/>
      <c r="I244" s="246"/>
      <c r="J244" s="246"/>
      <c r="K244" s="246"/>
      <c r="Q244" s="246"/>
      <c r="R244" s="246"/>
      <c r="S244" s="246"/>
      <c r="T244" s="246"/>
    </row>
    <row r="245" spans="7:20" ht="12.75" customHeight="1">
      <c r="G245" s="246"/>
      <c r="H245" s="468"/>
      <c r="I245" s="246"/>
      <c r="J245" s="246"/>
      <c r="K245" s="246"/>
      <c r="Q245" s="246"/>
      <c r="R245" s="246"/>
      <c r="S245" s="246"/>
      <c r="T245" s="246"/>
    </row>
    <row r="246" spans="7:20" ht="12.75" customHeight="1">
      <c r="G246" s="246"/>
      <c r="H246" s="468"/>
      <c r="I246" s="468"/>
      <c r="J246" s="468"/>
      <c r="K246" s="464"/>
      <c r="Q246" s="246"/>
      <c r="R246" s="246"/>
      <c r="S246" s="246"/>
      <c r="T246" s="246"/>
    </row>
    <row r="247" spans="7:20" ht="12.75" customHeight="1">
      <c r="G247" s="246"/>
      <c r="H247" s="50"/>
      <c r="I247" s="468"/>
      <c r="J247" s="468"/>
      <c r="K247" s="464"/>
      <c r="Q247" s="246"/>
      <c r="R247" s="246"/>
      <c r="S247" s="246"/>
      <c r="T247" s="246"/>
    </row>
    <row r="248" spans="7:20" ht="12.75" customHeight="1">
      <c r="G248" s="246"/>
      <c r="H248" s="50"/>
      <c r="I248" s="50"/>
      <c r="J248" s="50"/>
      <c r="K248" s="464"/>
      <c r="Q248" s="246"/>
      <c r="R248" s="246"/>
      <c r="S248" s="246"/>
      <c r="T248" s="246"/>
    </row>
    <row r="249" spans="7:20" ht="12.75" customHeight="1">
      <c r="G249" s="246"/>
      <c r="H249" s="469"/>
      <c r="I249" s="50"/>
      <c r="J249" s="50"/>
      <c r="K249" s="464"/>
      <c r="Q249" s="246"/>
      <c r="R249" s="246"/>
      <c r="S249" s="246"/>
      <c r="T249" s="246"/>
    </row>
    <row r="250" spans="7:20" ht="12.75" customHeight="1">
      <c r="G250" s="246"/>
      <c r="H250" s="460"/>
      <c r="I250" s="469"/>
      <c r="J250" s="469"/>
      <c r="K250" s="469"/>
      <c r="Q250" s="246"/>
      <c r="R250" s="246"/>
      <c r="S250" s="246"/>
      <c r="T250" s="246"/>
    </row>
    <row r="251" spans="7:20" ht="12.75" customHeight="1">
      <c r="G251" s="246"/>
      <c r="H251" s="460"/>
      <c r="I251" s="460"/>
      <c r="J251" s="460"/>
      <c r="K251" s="469"/>
      <c r="Q251" s="246"/>
      <c r="R251" s="246"/>
      <c r="S251" s="246"/>
      <c r="T251" s="246"/>
    </row>
    <row r="252" spans="7:20" ht="12.75" customHeight="1">
      <c r="G252" s="246"/>
      <c r="H252" s="469"/>
      <c r="I252" s="460"/>
      <c r="J252" s="460"/>
      <c r="K252" s="460"/>
      <c r="Q252" s="246"/>
      <c r="R252" s="246"/>
      <c r="S252" s="246"/>
      <c r="T252" s="246"/>
    </row>
    <row r="253" spans="7:20" ht="12.75" customHeight="1">
      <c r="G253" s="246"/>
      <c r="H253" s="469"/>
      <c r="I253" s="469"/>
      <c r="J253" s="469"/>
      <c r="K253" s="470"/>
      <c r="Q253" s="246"/>
      <c r="R253" s="246"/>
      <c r="S253" s="246"/>
      <c r="T253" s="246"/>
    </row>
    <row r="254" spans="7:20" ht="12.75" customHeight="1">
      <c r="G254" s="246"/>
      <c r="H254" s="469"/>
      <c r="I254" s="469"/>
      <c r="J254" s="469"/>
      <c r="K254" s="469"/>
      <c r="Q254" s="246"/>
      <c r="R254" s="246"/>
      <c r="S254" s="246"/>
      <c r="T254" s="246"/>
    </row>
    <row r="255" spans="7:20" ht="12.75" customHeight="1">
      <c r="G255" s="246"/>
      <c r="H255" s="469"/>
      <c r="I255" s="469"/>
      <c r="J255" s="469"/>
      <c r="K255" s="471"/>
      <c r="Q255" s="246"/>
      <c r="R255" s="246"/>
      <c r="S255" s="246"/>
      <c r="T255" s="246"/>
    </row>
    <row r="256" spans="7:20" ht="12.75" customHeight="1">
      <c r="G256" s="246"/>
      <c r="H256" s="469"/>
      <c r="I256" s="469"/>
      <c r="J256" s="469"/>
      <c r="K256" s="469"/>
      <c r="Q256" s="246"/>
      <c r="R256" s="246"/>
      <c r="S256" s="246"/>
      <c r="T256" s="246"/>
    </row>
    <row r="257" spans="7:20" ht="12.75" customHeight="1">
      <c r="G257" s="246"/>
      <c r="H257" s="469"/>
      <c r="I257" s="469"/>
      <c r="J257" s="469"/>
      <c r="K257" s="471"/>
      <c r="Q257" s="246"/>
      <c r="R257" s="246"/>
      <c r="S257" s="246"/>
      <c r="T257" s="246"/>
    </row>
    <row r="258" spans="7:20" ht="12.75" customHeight="1">
      <c r="G258" s="246"/>
      <c r="H258" s="469"/>
      <c r="I258" s="469"/>
      <c r="J258" s="469"/>
      <c r="K258" s="471"/>
      <c r="Q258" s="246"/>
      <c r="R258" s="246"/>
      <c r="S258" s="246"/>
      <c r="T258" s="246"/>
    </row>
    <row r="259" spans="7:20" ht="12.75" customHeight="1">
      <c r="G259" s="246"/>
      <c r="H259" s="469"/>
      <c r="I259" s="469"/>
      <c r="J259" s="469"/>
      <c r="K259" s="471"/>
      <c r="Q259" s="246"/>
      <c r="R259" s="246"/>
      <c r="S259" s="246"/>
      <c r="T259" s="246"/>
    </row>
    <row r="260" spans="7:20" ht="12.75" customHeight="1">
      <c r="G260" s="246"/>
      <c r="H260" s="469"/>
      <c r="I260" s="469"/>
      <c r="J260" s="469"/>
      <c r="K260" s="469"/>
      <c r="Q260" s="246"/>
      <c r="R260" s="246"/>
      <c r="S260" s="246"/>
      <c r="T260" s="246"/>
    </row>
    <row r="261" spans="7:20" ht="12.75" customHeight="1">
      <c r="G261" s="246"/>
      <c r="H261" s="469"/>
      <c r="I261" s="469"/>
      <c r="J261" s="469"/>
      <c r="K261" s="470"/>
      <c r="Q261" s="246"/>
      <c r="R261" s="246"/>
      <c r="S261" s="246"/>
      <c r="T261" s="246"/>
    </row>
    <row r="262" spans="7:20" ht="12.75" customHeight="1">
      <c r="G262" s="246"/>
      <c r="H262" s="469"/>
      <c r="I262" s="469"/>
      <c r="J262" s="469"/>
      <c r="K262" s="469"/>
      <c r="Q262" s="246"/>
      <c r="R262" s="246"/>
      <c r="S262" s="246"/>
      <c r="T262" s="246"/>
    </row>
    <row r="263" spans="7:20" ht="12.75" customHeight="1">
      <c r="G263" s="246"/>
      <c r="H263" s="469"/>
      <c r="I263" s="469"/>
      <c r="J263" s="469"/>
      <c r="K263" s="472"/>
      <c r="Q263" s="246"/>
      <c r="R263" s="246"/>
      <c r="S263" s="246"/>
      <c r="T263" s="246"/>
    </row>
    <row r="264" spans="7:20" ht="12.75" customHeight="1">
      <c r="G264" s="246"/>
      <c r="H264" s="469"/>
      <c r="I264" s="469"/>
      <c r="J264" s="469"/>
      <c r="K264" s="469"/>
      <c r="Q264" s="246"/>
      <c r="R264" s="246"/>
      <c r="S264" s="246"/>
      <c r="T264" s="246"/>
    </row>
    <row r="265" spans="7:20" ht="12.75" customHeight="1">
      <c r="G265" s="246"/>
      <c r="H265" s="469"/>
      <c r="I265" s="469"/>
      <c r="J265" s="469"/>
      <c r="K265" s="470"/>
      <c r="Q265" s="246"/>
      <c r="R265" s="246"/>
      <c r="S265" s="246"/>
      <c r="T265" s="246"/>
    </row>
    <row r="266" spans="7:20" ht="12.75" customHeight="1">
      <c r="G266" s="246"/>
      <c r="H266" s="469"/>
      <c r="I266" s="469"/>
      <c r="J266" s="469"/>
      <c r="K266" s="469"/>
      <c r="Q266" s="246"/>
      <c r="R266" s="246"/>
      <c r="S266" s="246"/>
      <c r="T266" s="246"/>
    </row>
    <row r="267" spans="7:20" ht="12.75" customHeight="1">
      <c r="G267" s="246"/>
      <c r="H267" s="469"/>
      <c r="I267" s="469"/>
      <c r="J267" s="469"/>
      <c r="K267" s="473"/>
      <c r="Q267" s="246"/>
      <c r="R267" s="246"/>
      <c r="S267" s="246"/>
      <c r="T267" s="246"/>
    </row>
    <row r="268" spans="7:20" ht="12.75" customHeight="1">
      <c r="G268" s="246"/>
      <c r="H268" s="246"/>
      <c r="I268" s="469"/>
      <c r="J268" s="469"/>
      <c r="K268" s="469"/>
      <c r="Q268" s="246"/>
      <c r="R268" s="246"/>
      <c r="S268" s="246"/>
      <c r="T268" s="246"/>
    </row>
    <row r="269" spans="7:20" ht="12.75" customHeight="1">
      <c r="G269" s="246"/>
      <c r="H269" s="246"/>
      <c r="I269" s="246"/>
      <c r="J269" s="246"/>
      <c r="K269" s="246"/>
      <c r="Q269" s="246"/>
      <c r="R269" s="246"/>
      <c r="S269" s="246"/>
      <c r="T269" s="246"/>
    </row>
    <row r="270" spans="7:20" ht="12.75" customHeight="1">
      <c r="G270" s="246"/>
      <c r="H270" s="246"/>
      <c r="I270" s="246"/>
      <c r="J270" s="246"/>
      <c r="K270" s="246"/>
      <c r="Q270" s="246"/>
      <c r="R270" s="246"/>
      <c r="S270" s="246"/>
      <c r="T270" s="246"/>
    </row>
    <row r="271" spans="7:20" ht="12.75" customHeight="1">
      <c r="G271" s="246"/>
      <c r="H271" s="246"/>
      <c r="I271" s="246"/>
      <c r="J271" s="246"/>
      <c r="K271" s="246"/>
      <c r="Q271" s="246"/>
      <c r="R271" s="246"/>
      <c r="S271" s="246"/>
      <c r="T271" s="246"/>
    </row>
    <row r="272" spans="7:20" ht="12.75" customHeight="1">
      <c r="G272" s="246"/>
      <c r="H272" s="246"/>
      <c r="I272" s="246"/>
      <c r="J272" s="246"/>
      <c r="K272" s="246"/>
      <c r="Q272" s="246"/>
      <c r="R272" s="246"/>
      <c r="S272" s="246"/>
      <c r="T272" s="246"/>
    </row>
    <row r="273" spans="7:20" ht="12.75" customHeight="1">
      <c r="G273" s="246"/>
      <c r="H273" s="246"/>
      <c r="I273" s="246"/>
      <c r="J273" s="246"/>
      <c r="K273" s="246"/>
      <c r="Q273" s="246"/>
      <c r="R273" s="246"/>
      <c r="S273" s="246"/>
      <c r="T273" s="246"/>
    </row>
    <row r="274" spans="7:20" ht="12.75" customHeight="1">
      <c r="G274" s="246"/>
      <c r="H274" s="246"/>
      <c r="I274" s="246"/>
      <c r="J274" s="246"/>
      <c r="K274" s="246"/>
      <c r="Q274" s="246"/>
      <c r="R274" s="246"/>
      <c r="S274" s="246"/>
      <c r="T274" s="246"/>
    </row>
    <row r="275" spans="7:20" ht="12.75" customHeight="1">
      <c r="G275" s="246"/>
      <c r="H275" s="246"/>
      <c r="I275" s="246"/>
      <c r="J275" s="246"/>
      <c r="K275" s="246"/>
      <c r="Q275" s="246"/>
      <c r="R275" s="246"/>
      <c r="S275" s="246"/>
      <c r="T275" s="246"/>
    </row>
    <row r="276" spans="7:20" ht="12.75" customHeight="1">
      <c r="G276" s="246"/>
      <c r="H276" s="246"/>
      <c r="I276" s="246"/>
      <c r="J276" s="246"/>
      <c r="K276" s="246"/>
      <c r="Q276" s="246"/>
      <c r="R276" s="246"/>
      <c r="S276" s="246"/>
      <c r="T276" s="246"/>
    </row>
    <row r="277" spans="7:20" ht="12.75" customHeight="1">
      <c r="G277" s="246"/>
      <c r="H277" s="246"/>
      <c r="I277" s="246"/>
      <c r="J277" s="246"/>
      <c r="K277" s="246"/>
      <c r="Q277" s="246"/>
      <c r="R277" s="246"/>
      <c r="S277" s="246"/>
      <c r="T277" s="246"/>
    </row>
    <row r="278" spans="7:20" ht="12.75" customHeight="1">
      <c r="H278" s="246"/>
      <c r="I278" s="246"/>
      <c r="J278" s="246"/>
      <c r="K278" s="246"/>
      <c r="Q278" s="246"/>
      <c r="R278" s="246"/>
      <c r="S278" s="246"/>
      <c r="T278" s="246"/>
    </row>
    <row r="279" spans="7:20" ht="12.75" customHeight="1">
      <c r="H279" s="246"/>
      <c r="I279" s="246"/>
      <c r="J279" s="246"/>
      <c r="K279" s="246"/>
      <c r="Q279" s="246"/>
      <c r="R279" s="246"/>
      <c r="S279" s="246"/>
      <c r="T279" s="246"/>
    </row>
    <row r="280" spans="7:20" ht="12.75" customHeight="1">
      <c r="H280" s="246"/>
      <c r="I280" s="246"/>
      <c r="J280" s="246"/>
      <c r="K280" s="246"/>
      <c r="Q280" s="246"/>
      <c r="R280" s="246"/>
      <c r="S280" s="246"/>
      <c r="T280" s="246"/>
    </row>
    <row r="281" spans="7:20" ht="12.75" customHeight="1">
      <c r="H281" s="246"/>
      <c r="I281" s="246"/>
      <c r="J281" s="246"/>
      <c r="K281" s="246"/>
      <c r="Q281" s="246"/>
      <c r="R281" s="246"/>
      <c r="S281" s="246"/>
      <c r="T281" s="246"/>
    </row>
    <row r="282" spans="7:20" ht="12.75" customHeight="1">
      <c r="H282" s="246"/>
      <c r="I282" s="246"/>
      <c r="J282" s="246"/>
      <c r="K282" s="246"/>
      <c r="Q282" s="246"/>
      <c r="R282" s="246"/>
      <c r="S282" s="246"/>
      <c r="T282" s="246"/>
    </row>
    <row r="283" spans="7:20" ht="12.75" customHeight="1">
      <c r="H283" s="246"/>
      <c r="I283" s="246"/>
      <c r="J283" s="246"/>
      <c r="K283" s="246"/>
      <c r="Q283" s="246"/>
      <c r="R283" s="246"/>
      <c r="S283" s="246"/>
      <c r="T283" s="246"/>
    </row>
    <row r="284" spans="7:20" ht="12.75" customHeight="1">
      <c r="H284" s="246"/>
      <c r="I284" s="246"/>
      <c r="J284" s="246"/>
      <c r="K284" s="246"/>
      <c r="Q284" s="246"/>
      <c r="R284" s="246"/>
      <c r="S284" s="246"/>
      <c r="T284" s="246"/>
    </row>
    <row r="285" spans="7:20" ht="12.75" customHeight="1">
      <c r="H285" s="246"/>
      <c r="I285" s="246"/>
      <c r="J285" s="246"/>
      <c r="K285" s="246"/>
      <c r="Q285" s="246"/>
      <c r="R285" s="246"/>
      <c r="S285" s="246"/>
      <c r="T285" s="246"/>
    </row>
    <row r="286" spans="7:20" ht="12.75" customHeight="1">
      <c r="H286" s="246"/>
      <c r="I286" s="246"/>
      <c r="J286" s="246"/>
      <c r="K286" s="246"/>
      <c r="Q286" s="246"/>
      <c r="R286" s="246"/>
      <c r="S286" s="246"/>
      <c r="T286" s="246"/>
    </row>
    <row r="287" spans="7:20" ht="12.75" customHeight="1">
      <c r="H287" s="246"/>
      <c r="I287" s="246"/>
      <c r="J287" s="246"/>
      <c r="K287" s="246"/>
      <c r="Q287" s="246"/>
      <c r="R287" s="246"/>
      <c r="S287" s="246"/>
      <c r="T287" s="246"/>
    </row>
    <row r="288" spans="7:20" ht="12.75" customHeight="1">
      <c r="H288" s="246"/>
      <c r="I288" s="246"/>
      <c r="J288" s="246"/>
      <c r="K288" s="246"/>
      <c r="Q288" s="246"/>
      <c r="R288" s="246"/>
      <c r="S288" s="246"/>
      <c r="T288" s="246"/>
    </row>
    <row r="289" spans="8:20" ht="12.75" customHeight="1">
      <c r="H289" s="246"/>
      <c r="I289" s="246"/>
      <c r="J289" s="246"/>
      <c r="K289" s="246"/>
      <c r="Q289" s="246"/>
      <c r="R289" s="246"/>
      <c r="S289" s="246"/>
      <c r="T289" s="246"/>
    </row>
    <row r="290" spans="8:20" ht="12.75" customHeight="1">
      <c r="H290" s="246"/>
      <c r="I290" s="246"/>
      <c r="J290" s="246"/>
      <c r="K290" s="246"/>
      <c r="Q290" s="246"/>
      <c r="R290" s="246"/>
      <c r="S290" s="246"/>
      <c r="T290" s="246"/>
    </row>
    <row r="291" spans="8:20" ht="12.75" customHeight="1">
      <c r="H291" s="246"/>
      <c r="I291" s="246"/>
      <c r="J291" s="246"/>
      <c r="K291" s="246"/>
      <c r="Q291" s="246"/>
      <c r="R291" s="246"/>
      <c r="S291" s="246"/>
      <c r="T291" s="246"/>
    </row>
    <row r="292" spans="8:20" ht="12.75" customHeight="1">
      <c r="H292" s="246"/>
      <c r="I292" s="246"/>
      <c r="J292" s="246"/>
      <c r="K292" s="246"/>
      <c r="Q292" s="246"/>
      <c r="R292" s="246"/>
      <c r="S292" s="246"/>
      <c r="T292" s="246"/>
    </row>
    <row r="293" spans="8:20" ht="12.75" customHeight="1">
      <c r="H293" s="246"/>
      <c r="I293" s="246"/>
      <c r="J293" s="246"/>
      <c r="K293" s="246"/>
      <c r="Q293" s="246"/>
      <c r="R293" s="246"/>
      <c r="S293" s="246"/>
      <c r="T293" s="246"/>
    </row>
    <row r="294" spans="8:20" ht="12.75" customHeight="1">
      <c r="H294" s="246"/>
      <c r="I294" s="246"/>
      <c r="J294" s="246"/>
      <c r="K294" s="246"/>
      <c r="Q294" s="246"/>
      <c r="R294" s="246"/>
      <c r="S294" s="246"/>
      <c r="T294" s="246"/>
    </row>
    <row r="295" spans="8:20" ht="12.75" customHeight="1">
      <c r="H295" s="246"/>
      <c r="I295" s="246"/>
      <c r="J295" s="246"/>
      <c r="K295" s="246"/>
      <c r="Q295" s="246"/>
      <c r="R295" s="246"/>
      <c r="S295" s="246"/>
      <c r="T295" s="246"/>
    </row>
    <row r="296" spans="8:20" ht="12.75" customHeight="1">
      <c r="H296" s="246"/>
      <c r="I296" s="246"/>
      <c r="J296" s="246"/>
      <c r="K296" s="246"/>
      <c r="Q296" s="246"/>
      <c r="R296" s="246"/>
      <c r="S296" s="246"/>
      <c r="T296" s="246"/>
    </row>
    <row r="297" spans="8:20" ht="12.75" customHeight="1">
      <c r="H297" s="246"/>
      <c r="I297" s="246"/>
      <c r="J297" s="246"/>
      <c r="K297" s="246"/>
      <c r="Q297" s="246"/>
      <c r="R297" s="246"/>
      <c r="S297" s="246"/>
      <c r="T297" s="246"/>
    </row>
    <row r="298" spans="8:20" ht="12.75" customHeight="1">
      <c r="H298" s="246"/>
      <c r="I298" s="246"/>
      <c r="J298" s="246"/>
      <c r="K298" s="246"/>
      <c r="Q298" s="246"/>
      <c r="R298" s="246"/>
      <c r="S298" s="246"/>
      <c r="T298" s="246"/>
    </row>
    <row r="299" spans="8:20" ht="12.75" customHeight="1">
      <c r="H299" s="246"/>
      <c r="I299" s="246"/>
      <c r="J299" s="246"/>
      <c r="K299" s="246"/>
      <c r="Q299" s="246"/>
      <c r="R299" s="246"/>
      <c r="S299" s="246"/>
      <c r="T299" s="246"/>
    </row>
    <row r="300" spans="8:20" ht="12.75" customHeight="1">
      <c r="H300" s="246"/>
      <c r="I300" s="246"/>
      <c r="J300" s="246"/>
      <c r="K300" s="246"/>
      <c r="Q300" s="246"/>
      <c r="R300" s="246"/>
      <c r="S300" s="246"/>
      <c r="T300" s="246"/>
    </row>
    <row r="301" spans="8:20" ht="12.75" customHeight="1">
      <c r="H301" s="246"/>
      <c r="I301" s="246"/>
      <c r="J301" s="246"/>
      <c r="K301" s="246"/>
      <c r="Q301" s="246"/>
      <c r="R301" s="246"/>
      <c r="S301" s="246"/>
      <c r="T301" s="246"/>
    </row>
    <row r="302" spans="8:20" ht="12.75" customHeight="1">
      <c r="I302" s="246"/>
      <c r="J302" s="246"/>
      <c r="K302" s="246"/>
      <c r="Q302" s="246"/>
      <c r="R302" s="246"/>
      <c r="S302" s="246"/>
      <c r="T302" s="246"/>
    </row>
    <row r="303" spans="8:20" ht="12.75" customHeight="1">
      <c r="Q303" s="246"/>
      <c r="R303" s="246"/>
      <c r="S303" s="246"/>
      <c r="T303" s="246"/>
    </row>
    <row r="304" spans="8:20" ht="12.75" customHeight="1">
      <c r="Q304" s="246"/>
      <c r="R304" s="246"/>
      <c r="S304" s="246"/>
      <c r="T304" s="246"/>
    </row>
    <row r="305" spans="17:20" ht="12.75" customHeight="1">
      <c r="Q305" s="246"/>
      <c r="R305" s="246"/>
      <c r="S305" s="246"/>
      <c r="T305" s="246"/>
    </row>
    <row r="306" spans="17:20" ht="12.75" customHeight="1">
      <c r="Q306" s="246"/>
      <c r="R306" s="246"/>
      <c r="S306" s="246"/>
      <c r="T306" s="246"/>
    </row>
    <row r="307" spans="17:20" ht="12.75" customHeight="1">
      <c r="Q307" s="246"/>
      <c r="R307" s="246"/>
      <c r="S307" s="246"/>
      <c r="T307" s="246"/>
    </row>
    <row r="308" spans="17:20" ht="12.75" customHeight="1">
      <c r="Q308" s="246"/>
      <c r="R308" s="246"/>
      <c r="S308" s="246"/>
      <c r="T308" s="246"/>
    </row>
    <row r="309" spans="17:20" ht="12.75" customHeight="1">
      <c r="Q309" s="246"/>
      <c r="R309" s="246"/>
      <c r="S309" s="246"/>
      <c r="T309" s="246"/>
    </row>
    <row r="310" spans="17:20" ht="12.75" customHeight="1">
      <c r="Q310" s="246"/>
      <c r="R310" s="246"/>
      <c r="S310" s="246"/>
      <c r="T310" s="246"/>
    </row>
    <row r="311" spans="17:20" ht="12.75" customHeight="1">
      <c r="Q311" s="246"/>
      <c r="R311" s="246"/>
      <c r="S311" s="246"/>
      <c r="T311" s="246"/>
    </row>
    <row r="312" spans="17:20" ht="12.75" customHeight="1">
      <c r="Q312" s="246"/>
      <c r="R312" s="246"/>
      <c r="S312" s="246"/>
      <c r="T312" s="246"/>
    </row>
    <row r="313" spans="17:20" ht="12.75" customHeight="1">
      <c r="Q313" s="246"/>
      <c r="R313" s="246"/>
      <c r="S313" s="246"/>
      <c r="T313" s="246"/>
    </row>
    <row r="314" spans="17:20" ht="12.75" customHeight="1">
      <c r="Q314" s="246"/>
      <c r="R314" s="246"/>
      <c r="S314" s="246"/>
      <c r="T314" s="246"/>
    </row>
    <row r="315" spans="17:20" ht="12.75" customHeight="1">
      <c r="Q315" s="246"/>
      <c r="R315" s="246"/>
      <c r="S315" s="246"/>
      <c r="T315" s="246"/>
    </row>
    <row r="316" spans="17:20" ht="12.75" customHeight="1">
      <c r="Q316" s="246"/>
      <c r="R316" s="246"/>
      <c r="S316" s="246"/>
      <c r="T316" s="246"/>
    </row>
    <row r="317" spans="17:20" ht="12.75" customHeight="1">
      <c r="Q317" s="246"/>
      <c r="R317" s="246"/>
      <c r="S317" s="246"/>
      <c r="T317" s="246"/>
    </row>
    <row r="318" spans="17:20" ht="12.75" customHeight="1">
      <c r="Q318" s="246"/>
      <c r="R318" s="246"/>
      <c r="S318" s="246"/>
      <c r="T318" s="246"/>
    </row>
    <row r="319" spans="17:20" ht="12.75" customHeight="1">
      <c r="Q319" s="246"/>
      <c r="R319" s="246"/>
      <c r="S319" s="246"/>
      <c r="T319" s="246"/>
    </row>
    <row r="320" spans="17:20" ht="12.75" customHeight="1">
      <c r="Q320" s="246"/>
      <c r="R320" s="246"/>
      <c r="S320" s="246"/>
      <c r="T320" s="246"/>
    </row>
    <row r="321" spans="17:20" ht="12.75" customHeight="1">
      <c r="Q321" s="246"/>
      <c r="R321" s="246"/>
      <c r="S321" s="246"/>
      <c r="T321" s="246"/>
    </row>
    <row r="322" spans="17:20" ht="12.75" customHeight="1">
      <c r="Q322" s="246"/>
      <c r="R322" s="246"/>
      <c r="S322" s="246"/>
      <c r="T322" s="246"/>
    </row>
    <row r="323" spans="17:20" ht="12.75" customHeight="1">
      <c r="Q323" s="246"/>
      <c r="R323" s="246"/>
      <c r="S323" s="246"/>
      <c r="T323" s="246"/>
    </row>
    <row r="324" spans="17:20" ht="12.75" customHeight="1">
      <c r="Q324" s="246"/>
      <c r="R324" s="246"/>
      <c r="S324" s="246"/>
      <c r="T324" s="246"/>
    </row>
    <row r="325" spans="17:20" ht="12.75" customHeight="1">
      <c r="Q325" s="246"/>
      <c r="R325" s="246"/>
      <c r="S325" s="246"/>
      <c r="T325" s="246"/>
    </row>
    <row r="326" spans="17:20" ht="12.75" customHeight="1">
      <c r="Q326" s="246"/>
      <c r="R326" s="246"/>
      <c r="S326" s="246"/>
      <c r="T326" s="246"/>
    </row>
    <row r="327" spans="17:20" ht="12.75" customHeight="1">
      <c r="Q327" s="246"/>
      <c r="R327" s="246"/>
      <c r="S327" s="246"/>
      <c r="T327" s="246"/>
    </row>
    <row r="328" spans="17:20" ht="12.75" customHeight="1">
      <c r="Q328" s="246"/>
      <c r="R328" s="246"/>
      <c r="S328" s="246"/>
      <c r="T328" s="246"/>
    </row>
    <row r="329" spans="17:20" ht="12.75" customHeight="1">
      <c r="Q329" s="246"/>
      <c r="R329" s="246"/>
      <c r="S329" s="246"/>
      <c r="T329" s="246"/>
    </row>
    <row r="330" spans="17:20" ht="12.75" customHeight="1">
      <c r="Q330" s="246"/>
      <c r="R330" s="246"/>
      <c r="S330" s="246"/>
      <c r="T330" s="246"/>
    </row>
    <row r="331" spans="17:20" ht="12.75" customHeight="1">
      <c r="Q331" s="246"/>
      <c r="R331" s="246"/>
      <c r="S331" s="246"/>
      <c r="T331" s="246"/>
    </row>
    <row r="332" spans="17:20" ht="12.75" customHeight="1">
      <c r="Q332" s="246"/>
      <c r="R332" s="246"/>
      <c r="S332" s="246"/>
      <c r="T332" s="246"/>
    </row>
    <row r="333" spans="17:20" ht="12.75" customHeight="1">
      <c r="Q333" s="246"/>
      <c r="R333" s="246"/>
      <c r="S333" s="246"/>
      <c r="T333" s="246"/>
    </row>
    <row r="334" spans="17:20" ht="12.75" customHeight="1">
      <c r="Q334" s="246"/>
      <c r="R334" s="246"/>
      <c r="S334" s="246"/>
      <c r="T334" s="246"/>
    </row>
    <row r="335" spans="17:20" ht="12.75" customHeight="1">
      <c r="Q335" s="246"/>
      <c r="R335" s="246"/>
      <c r="S335" s="246"/>
      <c r="T335" s="246"/>
    </row>
    <row r="336" spans="17:20" ht="12.75" customHeight="1">
      <c r="Q336" s="246"/>
      <c r="R336" s="246"/>
      <c r="S336" s="246"/>
      <c r="T336" s="246"/>
    </row>
    <row r="337" spans="17:20" ht="12.75" customHeight="1">
      <c r="Q337" s="246"/>
      <c r="R337" s="246"/>
      <c r="S337" s="246"/>
      <c r="T337" s="246"/>
    </row>
    <row r="338" spans="17:20" ht="12.75" customHeight="1">
      <c r="Q338" s="246"/>
      <c r="R338" s="246"/>
      <c r="S338" s="246"/>
      <c r="T338" s="246"/>
    </row>
    <row r="339" spans="17:20" ht="12.75" customHeight="1">
      <c r="Q339" s="246"/>
      <c r="R339" s="246"/>
      <c r="S339" s="246"/>
      <c r="T339" s="246"/>
    </row>
    <row r="340" spans="17:20" ht="12.75" customHeight="1">
      <c r="Q340" s="246"/>
      <c r="R340" s="246"/>
      <c r="S340" s="246"/>
      <c r="T340" s="246"/>
    </row>
    <row r="341" spans="17:20" ht="12.75" customHeight="1">
      <c r="Q341" s="246"/>
      <c r="R341" s="246"/>
      <c r="S341" s="246"/>
      <c r="T341" s="246"/>
    </row>
    <row r="342" spans="17:20" ht="12.75" customHeight="1">
      <c r="Q342" s="246"/>
      <c r="R342" s="246"/>
      <c r="S342" s="246"/>
      <c r="T342" s="246"/>
    </row>
    <row r="343" spans="17:20" ht="12.75" customHeight="1">
      <c r="Q343" s="246"/>
      <c r="R343" s="246"/>
      <c r="S343" s="246"/>
      <c r="T343" s="246"/>
    </row>
    <row r="344" spans="17:20" ht="12.75" customHeight="1">
      <c r="Q344" s="246"/>
      <c r="R344" s="246"/>
      <c r="S344" s="246"/>
      <c r="T344" s="246"/>
    </row>
    <row r="345" spans="17:20" ht="12.75" customHeight="1">
      <c r="Q345" s="246"/>
      <c r="R345" s="246"/>
      <c r="S345" s="246"/>
      <c r="T345" s="246"/>
    </row>
    <row r="346" spans="17:20" ht="12.75" customHeight="1">
      <c r="Q346" s="246"/>
      <c r="R346" s="246"/>
      <c r="S346" s="246"/>
      <c r="T346" s="246"/>
    </row>
    <row r="347" spans="17:20" ht="12.75" customHeight="1">
      <c r="Q347" s="246"/>
      <c r="R347" s="246"/>
      <c r="S347" s="246"/>
      <c r="T347" s="246"/>
    </row>
    <row r="348" spans="17:20" ht="12.75" customHeight="1">
      <c r="Q348" s="246"/>
      <c r="R348" s="246"/>
      <c r="S348" s="246"/>
      <c r="T348" s="246"/>
    </row>
    <row r="349" spans="17:20" ht="12.75" customHeight="1">
      <c r="Q349" s="246"/>
      <c r="R349" s="246"/>
      <c r="S349" s="246"/>
      <c r="T349" s="246"/>
    </row>
    <row r="350" spans="17:20" ht="12.75" customHeight="1">
      <c r="Q350" s="246"/>
      <c r="R350" s="246"/>
      <c r="S350" s="246"/>
      <c r="T350" s="246"/>
    </row>
    <row r="351" spans="17:20" ht="12.75" customHeight="1">
      <c r="Q351" s="246"/>
      <c r="R351" s="246"/>
      <c r="S351" s="246"/>
      <c r="T351" s="246"/>
    </row>
    <row r="352" spans="17:20" ht="12.75" customHeight="1">
      <c r="Q352" s="246"/>
      <c r="R352" s="246"/>
      <c r="S352" s="246"/>
      <c r="T352" s="246"/>
    </row>
    <row r="353" spans="17:20" ht="12.75" customHeight="1">
      <c r="Q353" s="246"/>
      <c r="R353" s="246"/>
      <c r="S353" s="246"/>
      <c r="T353" s="246"/>
    </row>
  </sheetData>
  <mergeCells count="3">
    <mergeCell ref="A4:F4"/>
    <mergeCell ref="C43:E43"/>
    <mergeCell ref="H46:J46"/>
  </mergeCells>
  <conditionalFormatting sqref="CU59:CW59">
    <cfRule type="cellIs" dxfId="2" priority="2" stopIfTrue="1" operator="equal">
      <formula>"OK"</formula>
    </cfRule>
    <cfRule type="cellIs" dxfId="1" priority="3" stopIfTrue="1" operator="equal">
      <formula>"ERROR"</formula>
    </cfRule>
  </conditionalFormatting>
  <conditionalFormatting sqref="F1 K1 P1 T1 X1 AC1 AJ1 AN1 AR1 AW1 BB1 BG1 BL1 BQ1 BV1 A1:B1">
    <cfRule type="cellIs" dxfId="0" priority="1" stopIfTrue="1" operator="notEqual">
      <formula>0</formula>
    </cfRule>
  </conditionalFormatting>
  <printOptions horizontalCentered="1"/>
  <pageMargins left="0.5" right="0.5" top="0.75" bottom="0.5" header="0.5" footer="0.5"/>
  <pageSetup orientation="portrait" r:id="rId1"/>
  <headerFooter alignWithMargins="0"/>
  <colBreaks count="2" manualBreakCount="2">
    <brk id="85" max="57" man="1"/>
    <brk id="96" max="57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43"/>
  <sheetViews>
    <sheetView workbookViewId="0">
      <selection activeCell="G1" sqref="G1"/>
    </sheetView>
  </sheetViews>
  <sheetFormatPr defaultRowHeight="15" customHeight="1"/>
  <cols>
    <col min="1" max="1" width="5.5" style="474" customWidth="1"/>
    <col min="2" max="2" width="2" style="474" customWidth="1"/>
    <col min="3" max="3" width="57.83203125" style="474" bestFit="1" customWidth="1"/>
    <col min="4" max="4" width="11.6640625" style="475" customWidth="1"/>
    <col min="5" max="5" width="16.5" style="474" customWidth="1"/>
    <col min="6" max="6" width="18.6640625" style="474" customWidth="1"/>
    <col min="7" max="7" width="16.83203125" style="474" customWidth="1"/>
    <col min="8" max="8" width="9.33203125" style="474"/>
    <col min="9" max="9" width="10.5" style="474" customWidth="1"/>
    <col min="10" max="11" width="9.33203125" style="474"/>
    <col min="12" max="12" width="15.83203125" style="474" bestFit="1" customWidth="1"/>
    <col min="13" max="13" width="14.83203125" style="474" customWidth="1"/>
    <col min="14" max="14" width="15.83203125" style="474" bestFit="1" customWidth="1"/>
    <col min="15" max="16384" width="9.33203125" style="474"/>
  </cols>
  <sheetData>
    <row r="1" spans="1:8" ht="15" customHeight="1" thickBot="1">
      <c r="G1" s="15" t="s">
        <v>272</v>
      </c>
    </row>
    <row r="2" spans="1:8" ht="14.25" customHeight="1">
      <c r="A2" s="476" t="s">
        <v>273</v>
      </c>
      <c r="B2" s="476"/>
      <c r="C2" s="476"/>
      <c r="D2" s="476"/>
      <c r="E2" s="476"/>
      <c r="F2" s="476"/>
      <c r="G2" s="476"/>
    </row>
    <row r="3" spans="1:8" ht="15" customHeight="1">
      <c r="A3" s="476"/>
      <c r="B3" s="476"/>
      <c r="C3" s="476"/>
      <c r="D3" s="476"/>
      <c r="E3" s="476"/>
      <c r="F3" s="476"/>
      <c r="G3" s="476"/>
    </row>
    <row r="4" spans="1:8" ht="15" customHeight="1">
      <c r="A4" s="476" t="s">
        <v>37</v>
      </c>
      <c r="B4" s="476"/>
      <c r="C4" s="476"/>
      <c r="D4" s="476"/>
      <c r="E4" s="476"/>
      <c r="F4" s="476"/>
      <c r="G4" s="476"/>
    </row>
    <row r="5" spans="1:8" ht="15" customHeight="1">
      <c r="A5" s="476" t="s">
        <v>274</v>
      </c>
      <c r="B5" s="476"/>
      <c r="C5" s="476"/>
      <c r="D5" s="476"/>
      <c r="E5" s="476"/>
      <c r="F5" s="476"/>
      <c r="G5" s="476"/>
    </row>
    <row r="6" spans="1:8" s="477" customFormat="1" ht="15" customHeight="1">
      <c r="C6" s="478"/>
      <c r="D6" s="478"/>
    </row>
    <row r="7" spans="1:8" s="477" customFormat="1" ht="15" customHeight="1">
      <c r="A7" s="479" t="s">
        <v>275</v>
      </c>
      <c r="B7" s="479"/>
      <c r="C7" s="479" t="s">
        <v>276</v>
      </c>
      <c r="D7" s="479"/>
      <c r="E7" s="479" t="s">
        <v>277</v>
      </c>
      <c r="F7" s="479" t="s">
        <v>278</v>
      </c>
      <c r="G7" s="479" t="s">
        <v>279</v>
      </c>
    </row>
    <row r="8" spans="1:8" s="477" customFormat="1" ht="29.25" customHeight="1">
      <c r="D8" s="478"/>
    </row>
    <row r="9" spans="1:8" s="477" customFormat="1" ht="15" customHeight="1">
      <c r="A9" s="480">
        <v>1</v>
      </c>
      <c r="B9" s="480" t="s">
        <v>280</v>
      </c>
      <c r="C9" s="481" t="s">
        <v>281</v>
      </c>
      <c r="D9" s="482">
        <v>41090</v>
      </c>
      <c r="E9" s="483">
        <v>1086382</v>
      </c>
      <c r="F9" s="483">
        <v>760286</v>
      </c>
      <c r="G9" s="483">
        <f>SUM(E9:F9)</f>
        <v>1846668</v>
      </c>
    </row>
    <row r="10" spans="1:8" s="477" customFormat="1" ht="18.95" customHeight="1" thickBot="1">
      <c r="B10" s="478"/>
      <c r="C10" s="484" t="s">
        <v>282</v>
      </c>
      <c r="D10" s="478"/>
      <c r="E10" s="485">
        <f>ROUND(+E9/G9,4)</f>
        <v>0.58830000000000005</v>
      </c>
      <c r="F10" s="485">
        <f>ROUND(+F9/G9,4)</f>
        <v>0.41170000000000001</v>
      </c>
      <c r="G10" s="486">
        <f>SUM(E10:F10)</f>
        <v>1</v>
      </c>
    </row>
    <row r="11" spans="1:8" s="477" customFormat="1" ht="15" customHeight="1" thickTop="1">
      <c r="A11" s="478"/>
      <c r="B11" s="478"/>
      <c r="D11" s="482"/>
    </row>
    <row r="12" spans="1:8" s="477" customFormat="1" ht="15" customHeight="1">
      <c r="A12" s="480">
        <v>2</v>
      </c>
      <c r="B12" s="480" t="s">
        <v>280</v>
      </c>
      <c r="C12" s="481" t="s">
        <v>283</v>
      </c>
      <c r="D12" s="482">
        <v>41090</v>
      </c>
      <c r="E12" s="487">
        <v>714059</v>
      </c>
      <c r="F12" s="487">
        <v>413885</v>
      </c>
      <c r="G12" s="487">
        <f>SUM(E12:F12)</f>
        <v>1127944</v>
      </c>
      <c r="H12" s="488"/>
    </row>
    <row r="13" spans="1:8" s="477" customFormat="1" ht="18.95" customHeight="1" thickBot="1">
      <c r="B13" s="478"/>
      <c r="C13" s="484" t="s">
        <v>282</v>
      </c>
      <c r="D13" s="478"/>
      <c r="E13" s="485">
        <f>ROUND(+E12/G12,4)</f>
        <v>0.6331</v>
      </c>
      <c r="F13" s="485">
        <f>ROUND(+F12/G12,4)</f>
        <v>0.3669</v>
      </c>
      <c r="G13" s="486">
        <f>SUM(E13:F13)</f>
        <v>1</v>
      </c>
    </row>
    <row r="14" spans="1:8" s="477" customFormat="1" ht="15" customHeight="1" thickTop="1">
      <c r="A14" s="478"/>
      <c r="B14" s="478"/>
      <c r="D14" s="478"/>
    </row>
    <row r="15" spans="1:8" s="477" customFormat="1" ht="15" customHeight="1">
      <c r="A15" s="480">
        <v>3</v>
      </c>
      <c r="B15" s="480" t="s">
        <v>280</v>
      </c>
      <c r="C15" s="481" t="s">
        <v>284</v>
      </c>
      <c r="D15" s="478"/>
    </row>
    <row r="16" spans="1:8" s="477" customFormat="1" ht="15" customHeight="1">
      <c r="A16" s="478"/>
      <c r="B16" s="478"/>
      <c r="C16" s="489" t="s">
        <v>285</v>
      </c>
      <c r="D16" s="482">
        <v>41090</v>
      </c>
      <c r="E16" s="490">
        <v>3077617333</v>
      </c>
      <c r="F16" s="490">
        <v>2690196591</v>
      </c>
      <c r="G16" s="490">
        <f>SUM(E16:F16)</f>
        <v>5767813924</v>
      </c>
    </row>
    <row r="17" spans="1:14" s="477" customFormat="1" ht="15" customHeight="1">
      <c r="A17" s="478"/>
      <c r="B17" s="478"/>
      <c r="C17" s="489" t="s">
        <v>286</v>
      </c>
      <c r="D17" s="482">
        <v>41090</v>
      </c>
      <c r="E17" s="491">
        <v>1091713943</v>
      </c>
      <c r="F17" s="491">
        <v>0</v>
      </c>
      <c r="G17" s="491">
        <f>SUM(E17:F17)</f>
        <v>1091713943</v>
      </c>
    </row>
    <row r="18" spans="1:14" s="477" customFormat="1" ht="15" customHeight="1">
      <c r="A18" s="478"/>
      <c r="B18" s="478"/>
      <c r="C18" s="489" t="s">
        <v>287</v>
      </c>
      <c r="D18" s="482">
        <v>41090</v>
      </c>
      <c r="E18" s="491">
        <v>157891556</v>
      </c>
      <c r="F18" s="491">
        <v>34244684</v>
      </c>
      <c r="G18" s="491">
        <f>SUM(E18:F18)</f>
        <v>192136240</v>
      </c>
    </row>
    <row r="19" spans="1:14" s="477" customFormat="1" ht="15" customHeight="1">
      <c r="A19" s="478"/>
      <c r="B19" s="478"/>
      <c r="C19" s="489" t="s">
        <v>279</v>
      </c>
      <c r="D19" s="492"/>
      <c r="E19" s="493">
        <f>SUM(E16:E18)</f>
        <v>4327222832</v>
      </c>
      <c r="F19" s="493">
        <f>SUM(F16:F18)</f>
        <v>2724441275</v>
      </c>
      <c r="G19" s="493">
        <f>SUM(E19:F19)</f>
        <v>7051664107</v>
      </c>
    </row>
    <row r="20" spans="1:14" s="477" customFormat="1" ht="18.95" customHeight="1" thickBot="1">
      <c r="B20" s="478"/>
      <c r="C20" s="484" t="s">
        <v>282</v>
      </c>
      <c r="D20" s="478"/>
      <c r="E20" s="485">
        <f>ROUND(+E19/G19,4)</f>
        <v>0.61360000000000003</v>
      </c>
      <c r="F20" s="485">
        <f>ROUND(+F19/G19,4)</f>
        <v>0.38640000000000002</v>
      </c>
      <c r="G20" s="486">
        <f>SUM(E20:F20)</f>
        <v>1</v>
      </c>
    </row>
    <row r="21" spans="1:14" s="477" customFormat="1" ht="15" customHeight="1" thickTop="1">
      <c r="A21" s="478"/>
      <c r="B21" s="478"/>
      <c r="D21" s="478"/>
    </row>
    <row r="22" spans="1:14" s="477" customFormat="1" ht="15" customHeight="1">
      <c r="A22" s="480">
        <v>4</v>
      </c>
      <c r="B22" s="480" t="s">
        <v>280</v>
      </c>
      <c r="C22" s="481" t="s">
        <v>288</v>
      </c>
      <c r="D22" s="478" t="s">
        <v>289</v>
      </c>
    </row>
    <row r="23" spans="1:14" s="477" customFormat="1" ht="15" customHeight="1">
      <c r="A23" s="478"/>
      <c r="B23" s="478"/>
      <c r="C23" s="489" t="s">
        <v>290</v>
      </c>
      <c r="D23" s="482">
        <v>41090</v>
      </c>
      <c r="E23" s="483">
        <f>+E9</f>
        <v>1086382</v>
      </c>
      <c r="F23" s="483">
        <f>+F9</f>
        <v>760286</v>
      </c>
      <c r="G23" s="483">
        <f>SUM(E23:F23)</f>
        <v>1846668</v>
      </c>
    </row>
    <row r="24" spans="1:14" s="477" customFormat="1" ht="15" customHeight="1">
      <c r="A24" s="478"/>
      <c r="B24" s="478"/>
      <c r="C24" s="484" t="s">
        <v>291</v>
      </c>
      <c r="D24" s="478"/>
      <c r="E24" s="494">
        <f>+E23/G23</f>
        <v>0.58829307704470968</v>
      </c>
      <c r="F24" s="494">
        <f>+F23/G23</f>
        <v>0.41170692295529027</v>
      </c>
      <c r="G24" s="495">
        <f>SUM(E24:F24)</f>
        <v>1</v>
      </c>
    </row>
    <row r="25" spans="1:14" s="477" customFormat="1" ht="15" customHeight="1">
      <c r="A25" s="478"/>
      <c r="B25" s="478"/>
      <c r="D25" s="478"/>
    </row>
    <row r="26" spans="1:14" s="477" customFormat="1" ht="15" customHeight="1">
      <c r="A26" s="478"/>
      <c r="B26" s="478"/>
      <c r="C26" s="477" t="s">
        <v>292</v>
      </c>
      <c r="D26" s="482">
        <v>41090</v>
      </c>
      <c r="E26" s="483">
        <v>50387385.089340784</v>
      </c>
      <c r="F26" s="483">
        <v>25140397.046695061</v>
      </c>
      <c r="G26" s="496">
        <f>SUM(E26:F26)</f>
        <v>75527782.136035845</v>
      </c>
      <c r="L26" s="497"/>
      <c r="M26" s="497"/>
      <c r="N26" s="497"/>
    </row>
    <row r="27" spans="1:14" s="477" customFormat="1" ht="15" customHeight="1">
      <c r="A27" s="478"/>
      <c r="B27" s="478"/>
      <c r="C27" s="484" t="s">
        <v>291</v>
      </c>
      <c r="D27" s="478"/>
      <c r="E27" s="494">
        <f>+E26/G26</f>
        <v>0.66713709398465093</v>
      </c>
      <c r="F27" s="494">
        <f>+F26/G26</f>
        <v>0.33286290601534907</v>
      </c>
      <c r="G27" s="495">
        <f>SUM(E27:F27)</f>
        <v>1</v>
      </c>
      <c r="L27" s="498"/>
      <c r="M27" s="498"/>
      <c r="N27" s="498"/>
    </row>
    <row r="28" spans="1:14" s="477" customFormat="1" ht="15" customHeight="1">
      <c r="A28" s="478"/>
      <c r="B28" s="478"/>
      <c r="D28" s="478"/>
    </row>
    <row r="29" spans="1:14" s="477" customFormat="1" ht="15" customHeight="1">
      <c r="A29" s="478"/>
      <c r="B29" s="478"/>
      <c r="C29" s="477" t="s">
        <v>293</v>
      </c>
      <c r="D29" s="482">
        <v>41090</v>
      </c>
      <c r="E29" s="483">
        <v>67798022.655370891</v>
      </c>
      <c r="F29" s="483">
        <v>28139982.081547316</v>
      </c>
      <c r="G29" s="499">
        <f>SUM(E29:F29)</f>
        <v>95938004.736918211</v>
      </c>
      <c r="L29" s="497"/>
      <c r="M29" s="497"/>
    </row>
    <row r="30" spans="1:14" s="477" customFormat="1" ht="15" customHeight="1">
      <c r="A30" s="478"/>
      <c r="B30" s="478"/>
      <c r="C30" s="484" t="s">
        <v>291</v>
      </c>
      <c r="D30" s="478"/>
      <c r="E30" s="494">
        <f>+E29/G29</f>
        <v>0.70668576901601243</v>
      </c>
      <c r="F30" s="494">
        <f>+F29/G29</f>
        <v>0.29331423098398751</v>
      </c>
      <c r="G30" s="495">
        <f>SUM(E30:F30)</f>
        <v>1</v>
      </c>
      <c r="L30" s="498"/>
      <c r="M30" s="498"/>
    </row>
    <row r="31" spans="1:14" s="477" customFormat="1" ht="15" customHeight="1">
      <c r="A31" s="478"/>
      <c r="B31" s="478"/>
      <c r="D31" s="478"/>
    </row>
    <row r="32" spans="1:14" s="477" customFormat="1" ht="15" customHeight="1">
      <c r="A32" s="478"/>
      <c r="B32" s="478"/>
      <c r="C32" s="477" t="s">
        <v>294</v>
      </c>
      <c r="D32" s="482">
        <v>41090</v>
      </c>
      <c r="E32" s="483">
        <v>4286949588.9545836</v>
      </c>
      <c r="F32" s="483">
        <v>1809404108.175833</v>
      </c>
      <c r="G32" s="483">
        <f>SUM(E32:F32)</f>
        <v>6096353697.1304169</v>
      </c>
    </row>
    <row r="33" spans="1:13" s="477" customFormat="1" ht="15" customHeight="1">
      <c r="A33" s="478"/>
      <c r="B33" s="478"/>
      <c r="C33" s="484" t="s">
        <v>291</v>
      </c>
      <c r="D33" s="478"/>
      <c r="E33" s="494">
        <f>+E32/G32</f>
        <v>0.7031989615321157</v>
      </c>
      <c r="F33" s="494">
        <f>+F32/G32</f>
        <v>0.29680103846788419</v>
      </c>
      <c r="G33" s="495">
        <f>SUM(E33:F33)</f>
        <v>0.99999999999999989</v>
      </c>
      <c r="L33" s="500"/>
      <c r="M33" s="500"/>
    </row>
    <row r="34" spans="1:13" s="477" customFormat="1" ht="15" customHeight="1">
      <c r="A34" s="478"/>
      <c r="D34" s="478"/>
      <c r="E34" s="501"/>
      <c r="F34" s="501"/>
      <c r="G34" s="501"/>
      <c r="L34" s="500"/>
      <c r="M34" s="500"/>
    </row>
    <row r="35" spans="1:13" s="477" customFormat="1" ht="15" customHeight="1">
      <c r="A35" s="478"/>
      <c r="C35" s="477" t="s">
        <v>295</v>
      </c>
      <c r="D35" s="478"/>
      <c r="E35" s="502">
        <f>+E33+E30+E27+E24</f>
        <v>2.6653149015774886</v>
      </c>
      <c r="F35" s="502">
        <f>+F33+F30+F27+F24</f>
        <v>1.3346850984225109</v>
      </c>
      <c r="G35" s="502">
        <f>+G33+G30+G27+G24</f>
        <v>4</v>
      </c>
      <c r="L35" s="503"/>
    </row>
    <row r="36" spans="1:13" s="477" customFormat="1" ht="18.95" customHeight="1" thickBot="1">
      <c r="C36" s="477" t="s">
        <v>282</v>
      </c>
      <c r="D36" s="478"/>
      <c r="E36" s="485">
        <f>ROUND(+E35/4,4)</f>
        <v>0.6663</v>
      </c>
      <c r="F36" s="485">
        <f>ROUND(+F35/4,4)</f>
        <v>0.3337</v>
      </c>
      <c r="G36" s="486">
        <f>+G35/4</f>
        <v>1</v>
      </c>
      <c r="L36" s="503"/>
    </row>
    <row r="37" spans="1:13" s="477" customFormat="1" ht="15" customHeight="1" thickTop="1">
      <c r="D37" s="478"/>
      <c r="L37" s="503"/>
    </row>
    <row r="38" spans="1:13" s="477" customFormat="1" ht="15" customHeight="1">
      <c r="A38" s="480">
        <v>5</v>
      </c>
      <c r="B38" s="480" t="s">
        <v>280</v>
      </c>
      <c r="C38" s="481" t="s">
        <v>296</v>
      </c>
      <c r="D38" s="478"/>
      <c r="L38" s="503"/>
      <c r="M38" s="503"/>
    </row>
    <row r="39" spans="1:13" s="477" customFormat="1" ht="15" customHeight="1">
      <c r="C39" s="484" t="s">
        <v>297</v>
      </c>
      <c r="D39" s="482">
        <v>41090</v>
      </c>
      <c r="E39" s="483">
        <v>51062419.880000003</v>
      </c>
      <c r="F39" s="483">
        <v>25810760.079999998</v>
      </c>
      <c r="G39" s="483">
        <f>SUM(E39:F39)</f>
        <v>76873179.960000008</v>
      </c>
      <c r="L39" s="503"/>
    </row>
    <row r="40" spans="1:13" s="477" customFormat="1" ht="15" customHeight="1">
      <c r="C40" s="477" t="s">
        <v>279</v>
      </c>
      <c r="D40" s="478"/>
      <c r="E40" s="504">
        <f>SUM(E39:E39)</f>
        <v>51062419.880000003</v>
      </c>
      <c r="F40" s="504">
        <f>SUM(F39:F39)</f>
        <v>25810760.079999998</v>
      </c>
      <c r="G40" s="504">
        <f>SUM(G39:G39)</f>
        <v>76873179.960000008</v>
      </c>
      <c r="L40" s="503"/>
      <c r="M40" s="503"/>
    </row>
    <row r="41" spans="1:13" s="477" customFormat="1" ht="18.95" customHeight="1" thickBot="1">
      <c r="C41" s="477" t="s">
        <v>282</v>
      </c>
      <c r="D41" s="478"/>
      <c r="E41" s="485">
        <f>ROUND(+E40/G40,4)</f>
        <v>0.66420000000000001</v>
      </c>
      <c r="F41" s="485">
        <f>ROUND(+F40/G40,4)</f>
        <v>0.33579999999999999</v>
      </c>
      <c r="G41" s="505">
        <f>SUM(E41:F41)</f>
        <v>1</v>
      </c>
      <c r="L41" s="503"/>
      <c r="M41" s="506"/>
    </row>
    <row r="42" spans="1:13" s="477" customFormat="1" ht="15" customHeight="1" thickTop="1">
      <c r="D42" s="478"/>
    </row>
    <row r="43" spans="1:13" s="477" customFormat="1" ht="15" customHeight="1">
      <c r="D43" s="478"/>
    </row>
  </sheetData>
  <printOptions horizontalCentered="1"/>
  <pageMargins left="0.5" right="0.41" top="0.75" bottom="0.75" header="0.5" footer="0.5"/>
  <pageSetup scale="95" orientation="portrait" verticalDpi="300" r:id="rId1"/>
  <headerFooter alignWithMargins="0">
    <oddFooter>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2013-02-01T08:00:00+00:00</OpenedDate>
    <Date1 xmlns="dc463f71-b30c-4ab2-9473-d307f9d35888">2013-02-01T08:00:00+00:00</Date1>
    <IsDocumentOrder xmlns="dc463f71-b30c-4ab2-9473-d307f9d35888" xsi:nil="true"/>
    <IsHighlyConfidential xmlns="dc463f71-b30c-4ab2-9473-d307f9d35888">false</IsHighlyConfidential>
    <CaseCompanyNames xmlns="dc463f71-b30c-4ab2-9473-d307f9d35888">Puget Sound Energy</CaseCompanyNames>
    <DocketNumber xmlns="dc463f71-b30c-4ab2-9473-d307f9d35888">130137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B6176777121FF042B76DFEF1CB58B307" ma:contentTypeVersion="135" ma:contentTypeDescription="" ma:contentTypeScope="" ma:versionID="8a583376c573dbe96f19533f6aaec8f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4866F22-2EAE-45FA-89E9-2D6A36D4DAB1}"/>
</file>

<file path=customXml/itemProps2.xml><?xml version="1.0" encoding="utf-8"?>
<ds:datastoreItem xmlns:ds="http://schemas.openxmlformats.org/officeDocument/2006/customXml" ds:itemID="{4E2C4F35-62F4-4D8A-B605-7C335ECAC8BB}"/>
</file>

<file path=customXml/itemProps3.xml><?xml version="1.0" encoding="utf-8"?>
<ds:datastoreItem xmlns:ds="http://schemas.openxmlformats.org/officeDocument/2006/customXml" ds:itemID="{47BB0EB2-905E-48EE-9263-8FE7596EC88F}"/>
</file>

<file path=customXml/itemProps4.xml><?xml version="1.0" encoding="utf-8"?>
<ds:datastoreItem xmlns:ds="http://schemas.openxmlformats.org/officeDocument/2006/customXml" ds:itemID="{2BD7A749-83BC-418A-AEC5-BDE10E6073B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23</vt:i4>
      </vt:variant>
    </vt:vector>
  </HeadingPairs>
  <TitlesOfParts>
    <vt:vector size="25" baseType="lpstr">
      <vt:lpstr>KJB-6</vt:lpstr>
      <vt:lpstr>KJB-6 Adj 16</vt:lpstr>
      <vt:lpstr>_3.01</vt:lpstr>
      <vt:lpstr>_3.02</vt:lpstr>
      <vt:lpstr>_3.03</vt:lpstr>
      <vt:lpstr>_3.04</vt:lpstr>
      <vt:lpstr>_3.05</vt:lpstr>
      <vt:lpstr>_3.06</vt:lpstr>
      <vt:lpstr>_3.07</vt:lpstr>
      <vt:lpstr>_3.08</vt:lpstr>
      <vt:lpstr>_3.A</vt:lpstr>
      <vt:lpstr>_3.B</vt:lpstr>
      <vt:lpstr>_4.01</vt:lpstr>
      <vt:lpstr>_FEDERAL_INCOME_TAX</vt:lpstr>
      <vt:lpstr>DOCKET</vt:lpstr>
      <vt:lpstr>FEDERAL_INCOME_TAX</vt:lpstr>
      <vt:lpstr>FIT</vt:lpstr>
      <vt:lpstr>INCSTMNT</vt:lpstr>
      <vt:lpstr>'KJB-6'!Print_Area</vt:lpstr>
      <vt:lpstr>PSPL</vt:lpstr>
      <vt:lpstr>RESULTS_OF_OPERATIONS</vt:lpstr>
      <vt:lpstr>STATE_UTILITY_TAX</vt:lpstr>
      <vt:lpstr>SUMMARY</vt:lpstr>
      <vt:lpstr>TESTYEAR</vt:lpstr>
      <vt:lpstr>UTG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0x0101006E56B4D1795A2E4DB2F0B01679ED314A00B6176777121FF042B76DFEF1CB58B307</vt:lpwstr>
  </property>
  <property fmtid="{D5CDD505-2E9C-101B-9397-08002B2CF9AE}" pid="3" name="_docset_NoMedatataSyncRequired">
    <vt:lpwstr>False</vt:lpwstr>
  </property>
</Properties>
</file>