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Rate Spread GRC" sheetId="1" r:id="rId1"/>
    <sheet name="Rate Spread Sch 92" sheetId="2" r:id="rId2"/>
    <sheet name="Rate Spread combined" sheetId="3" r:id="rId3"/>
    <sheet name="Billing Determinants" sheetId="4" r:id="rId4"/>
    <sheet name="Bill Comparison Sch 16" sheetId="5" r:id="rId5"/>
    <sheet name="Bill Comparison Sch 17" sheetId="6" r:id="rId6"/>
    <sheet name="Bill Comparison Sch 24" sheetId="7" r:id="rId7"/>
    <sheet name="Bill Comparison Sch 36" sheetId="8" r:id="rId8"/>
    <sheet name="Bill Comparison Sch 40" sheetId="9" r:id="rId9"/>
    <sheet name="Bill Comp Sch 48 Sec" sheetId="10" r:id="rId10"/>
    <sheet name="Bill Comparison Sch 48 Pri" sheetId="11" r:id="rId11"/>
    <sheet name="Bill Comparison Ded" sheetId="12" r:id="rId12"/>
    <sheet name="Rate Design Low Inc Surcharge" sheetId="13" r:id="rId13"/>
    <sheet name="Rate Design Low Income Credit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 localSheetId="4">[1]Jan!#REF!</definedName>
    <definedName name="\0" localSheetId="5">[1]Jan!#REF!</definedName>
    <definedName name="\0" localSheetId="3">[1]Jan!#REF!</definedName>
    <definedName name="\0" localSheetId="12">[1]Jan!#REF!</definedName>
    <definedName name="\0" localSheetId="2">[1]Jan!#REF!</definedName>
    <definedName name="\0" localSheetId="1">[1]Jan!#REF!</definedName>
    <definedName name="\0">[1]Jan!#REF!</definedName>
    <definedName name="\A" localSheetId="4">#REF!</definedName>
    <definedName name="\A" localSheetId="5">#REF!</definedName>
    <definedName name="\A" localSheetId="3">#REF!</definedName>
    <definedName name="\A" localSheetId="12">#REF!</definedName>
    <definedName name="\A" localSheetId="2">#REF!</definedName>
    <definedName name="\A" localSheetId="1">#REF!</definedName>
    <definedName name="\A">#REF!</definedName>
    <definedName name="\B" localSheetId="4">#REF!</definedName>
    <definedName name="\B" localSheetId="5">#REF!</definedName>
    <definedName name="\B" localSheetId="3">#REF!</definedName>
    <definedName name="\B" localSheetId="12">#REF!</definedName>
    <definedName name="\B" localSheetId="2">#REF!</definedName>
    <definedName name="\B" localSheetId="1">#REF!</definedName>
    <definedName name="\B">#REF!</definedName>
    <definedName name="\BACK1" localSheetId="4">#REF!</definedName>
    <definedName name="\BACK1" localSheetId="5">#REF!</definedName>
    <definedName name="\BACK1" localSheetId="3">#REF!</definedName>
    <definedName name="\BACK1" localSheetId="12">#REF!</definedName>
    <definedName name="\BACK1" localSheetId="2">#REF!</definedName>
    <definedName name="\BACK1" localSheetId="1">#REF!</definedName>
    <definedName name="\BACK1">#REF!</definedName>
    <definedName name="\BLOCK" localSheetId="4">#REF!</definedName>
    <definedName name="\BLOCK" localSheetId="5">#REF!</definedName>
    <definedName name="\BLOCK" localSheetId="3">#REF!</definedName>
    <definedName name="\BLOCK" localSheetId="12">#REF!</definedName>
    <definedName name="\BLOCK" localSheetId="2">#REF!</definedName>
    <definedName name="\BLOCK" localSheetId="1">#REF!</definedName>
    <definedName name="\BLOCK">#REF!</definedName>
    <definedName name="\BLOCKT" localSheetId="4">#REF!</definedName>
    <definedName name="\BLOCKT" localSheetId="5">#REF!</definedName>
    <definedName name="\BLOCKT" localSheetId="3">#REF!</definedName>
    <definedName name="\BLOCKT" localSheetId="12">#REF!</definedName>
    <definedName name="\BLOCKT" localSheetId="2">#REF!</definedName>
    <definedName name="\BLOCKT" localSheetId="1">#REF!</definedName>
    <definedName name="\BLOCKT">#REF!</definedName>
    <definedName name="\C" localSheetId="4">#REF!</definedName>
    <definedName name="\C" localSheetId="5">#REF!</definedName>
    <definedName name="\C" localSheetId="3">#REF!</definedName>
    <definedName name="\C" localSheetId="12">#REF!</definedName>
    <definedName name="\C" localSheetId="2">#REF!</definedName>
    <definedName name="\C" localSheetId="1">#REF!</definedName>
    <definedName name="\C">#REF!</definedName>
    <definedName name="\COMP" localSheetId="4">#REF!</definedName>
    <definedName name="\COMP" localSheetId="5">#REF!</definedName>
    <definedName name="\COMP" localSheetId="3">#REF!</definedName>
    <definedName name="\COMP" localSheetId="12">#REF!</definedName>
    <definedName name="\COMP" localSheetId="2">#REF!</definedName>
    <definedName name="\COMP" localSheetId="1">#REF!</definedName>
    <definedName name="\COMP">#REF!</definedName>
    <definedName name="\COMPT" localSheetId="4">#REF!</definedName>
    <definedName name="\COMPT" localSheetId="5">#REF!</definedName>
    <definedName name="\COMPT" localSheetId="3">#REF!</definedName>
    <definedName name="\COMPT" localSheetId="12">#REF!</definedName>
    <definedName name="\COMPT" localSheetId="2">#REF!</definedName>
    <definedName name="\COMPT" localSheetId="1">#REF!</definedName>
    <definedName name="\COMPT">#REF!</definedName>
    <definedName name="\G" localSheetId="4">#REF!</definedName>
    <definedName name="\G" localSheetId="5">#REF!</definedName>
    <definedName name="\G" localSheetId="3">#REF!</definedName>
    <definedName name="\G" localSheetId="12">#REF!</definedName>
    <definedName name="\G" localSheetId="2">#REF!</definedName>
    <definedName name="\G" localSheetId="1">#REF!</definedName>
    <definedName name="\G">#REF!</definedName>
    <definedName name="\I" localSheetId="4">#REF!</definedName>
    <definedName name="\I" localSheetId="5">#REF!</definedName>
    <definedName name="\I" localSheetId="3">#REF!</definedName>
    <definedName name="\I" localSheetId="12">#REF!</definedName>
    <definedName name="\I" localSheetId="2">#REF!</definedName>
    <definedName name="\I" localSheetId="1">#REF!</definedName>
    <definedName name="\I">#REF!</definedName>
    <definedName name="\K" localSheetId="4">#REF!</definedName>
    <definedName name="\K" localSheetId="5">#REF!</definedName>
    <definedName name="\K" localSheetId="3">#REF!</definedName>
    <definedName name="\K" localSheetId="12">#REF!</definedName>
    <definedName name="\K" localSheetId="2">#REF!</definedName>
    <definedName name="\K" localSheetId="1">#REF!</definedName>
    <definedName name="\K">#REF!</definedName>
    <definedName name="\L" localSheetId="4">#REF!</definedName>
    <definedName name="\L" localSheetId="5">#REF!</definedName>
    <definedName name="\L" localSheetId="3">#REF!</definedName>
    <definedName name="\L" localSheetId="12">#REF!</definedName>
    <definedName name="\L" localSheetId="2">#REF!</definedName>
    <definedName name="\L" localSheetId="1">#REF!</definedName>
    <definedName name="\L">#REF!</definedName>
    <definedName name="\M" localSheetId="4">#REF!</definedName>
    <definedName name="\M" localSheetId="5">#REF!</definedName>
    <definedName name="\M" localSheetId="3">#REF!</definedName>
    <definedName name="\M" localSheetId="12">#REF!</definedName>
    <definedName name="\M" localSheetId="2">#REF!</definedName>
    <definedName name="\M" localSheetId="1">#REF!</definedName>
    <definedName name="\M">#REF!</definedName>
    <definedName name="\P" localSheetId="4">#REF!</definedName>
    <definedName name="\P" localSheetId="5">#REF!</definedName>
    <definedName name="\P" localSheetId="3">#REF!</definedName>
    <definedName name="\P" localSheetId="12">#REF!</definedName>
    <definedName name="\P" localSheetId="2">#REF!</definedName>
    <definedName name="\P" localSheetId="1">#REF!</definedName>
    <definedName name="\P">#REF!</definedName>
    <definedName name="\Q" localSheetId="4">[3]Actual!#REF!</definedName>
    <definedName name="\Q" localSheetId="5">[3]Actual!#REF!</definedName>
    <definedName name="\Q" localSheetId="3">[3]Actual!#REF!</definedName>
    <definedName name="\Q" localSheetId="12">[3]Actual!#REF!</definedName>
    <definedName name="\Q" localSheetId="2">[3]Actual!#REF!</definedName>
    <definedName name="\Q" localSheetId="1">[3]Actual!#REF!</definedName>
    <definedName name="\Q">[3]Actual!#REF!</definedName>
    <definedName name="\R" localSheetId="4">#REF!</definedName>
    <definedName name="\R" localSheetId="5">#REF!</definedName>
    <definedName name="\R" localSheetId="3">#REF!</definedName>
    <definedName name="\R" localSheetId="12">#REF!</definedName>
    <definedName name="\R" localSheetId="2">#REF!</definedName>
    <definedName name="\R" localSheetId="1">#REF!</definedName>
    <definedName name="\R">#REF!</definedName>
    <definedName name="\S" localSheetId="4">#REF!</definedName>
    <definedName name="\S" localSheetId="5">#REF!</definedName>
    <definedName name="\S" localSheetId="3">#REF!</definedName>
    <definedName name="\S" localSheetId="12">#REF!</definedName>
    <definedName name="\S" localSheetId="2">#REF!</definedName>
    <definedName name="\S" localSheetId="1">#REF!</definedName>
    <definedName name="\S">#REF!</definedName>
    <definedName name="\TABLE1" localSheetId="4">#REF!</definedName>
    <definedName name="\TABLE1" localSheetId="5">#REF!</definedName>
    <definedName name="\TABLE1" localSheetId="3">#REF!</definedName>
    <definedName name="\TABLE1" localSheetId="12">#REF!</definedName>
    <definedName name="\TABLE1" localSheetId="2">#REF!</definedName>
    <definedName name="\TABLE1" localSheetId="1">#REF!</definedName>
    <definedName name="\TABLE1">#REF!</definedName>
    <definedName name="\TABLE2" localSheetId="4">#REF!</definedName>
    <definedName name="\TABLE2" localSheetId="5">#REF!</definedName>
    <definedName name="\TABLE2" localSheetId="3">#REF!</definedName>
    <definedName name="\TABLE2" localSheetId="12">#REF!</definedName>
    <definedName name="\TABLE2" localSheetId="2">#REF!</definedName>
    <definedName name="\TABLE2" localSheetId="1">#REF!</definedName>
    <definedName name="\TABLE2">#REF!</definedName>
    <definedName name="\TABLEA" localSheetId="4">#REF!</definedName>
    <definedName name="\TABLEA" localSheetId="5">#REF!</definedName>
    <definedName name="\TABLEA" localSheetId="3">#REF!</definedName>
    <definedName name="\TABLEA" localSheetId="12">#REF!</definedName>
    <definedName name="\TABLEA" localSheetId="2">#REF!</definedName>
    <definedName name="\TABLEA" localSheetId="1">#REF!</definedName>
    <definedName name="\TABLEA">#REF!</definedName>
    <definedName name="\TBL2" localSheetId="4">#REF!</definedName>
    <definedName name="\TBL2" localSheetId="5">#REF!</definedName>
    <definedName name="\TBL2" localSheetId="3">#REF!</definedName>
    <definedName name="\TBL2" localSheetId="12">#REF!</definedName>
    <definedName name="\TBL2" localSheetId="2">#REF!</definedName>
    <definedName name="\TBL2" localSheetId="1">#REF!</definedName>
    <definedName name="\TBL2">#REF!</definedName>
    <definedName name="\TBL3" localSheetId="4">#REF!</definedName>
    <definedName name="\TBL3" localSheetId="5">#REF!</definedName>
    <definedName name="\TBL3" localSheetId="3">#REF!</definedName>
    <definedName name="\TBL3" localSheetId="12">#REF!</definedName>
    <definedName name="\TBL3" localSheetId="2">#REF!</definedName>
    <definedName name="\TBL3" localSheetId="1">#REF!</definedName>
    <definedName name="\TBL3">#REF!</definedName>
    <definedName name="\TBL4" localSheetId="4">#REF!</definedName>
    <definedName name="\TBL4" localSheetId="5">#REF!</definedName>
    <definedName name="\TBL4" localSheetId="3">#REF!</definedName>
    <definedName name="\TBL4" localSheetId="12">#REF!</definedName>
    <definedName name="\TBL4" localSheetId="2">#REF!</definedName>
    <definedName name="\TBL4" localSheetId="1">#REF!</definedName>
    <definedName name="\TBL4">#REF!</definedName>
    <definedName name="\TBL5" localSheetId="4">#REF!</definedName>
    <definedName name="\TBL5" localSheetId="5">#REF!</definedName>
    <definedName name="\TBL5" localSheetId="3">#REF!</definedName>
    <definedName name="\TBL5" localSheetId="12">#REF!</definedName>
    <definedName name="\TBL5" localSheetId="2">#REF!</definedName>
    <definedName name="\TBL5" localSheetId="1">#REF!</definedName>
    <definedName name="\TBL5">#REF!</definedName>
    <definedName name="\W" localSheetId="4">#REF!</definedName>
    <definedName name="\W" localSheetId="5">#REF!</definedName>
    <definedName name="\W" localSheetId="3">#REF!</definedName>
    <definedName name="\W" localSheetId="12">#REF!</definedName>
    <definedName name="\W" localSheetId="2">#REF!</definedName>
    <definedName name="\W" localSheetId="1">#REF!</definedName>
    <definedName name="\W">#REF!</definedName>
    <definedName name="\WORK1" localSheetId="4">#REF!</definedName>
    <definedName name="\WORK1" localSheetId="5">#REF!</definedName>
    <definedName name="\WORK1" localSheetId="3">#REF!</definedName>
    <definedName name="\WORK1" localSheetId="12">#REF!</definedName>
    <definedName name="\WORK1" localSheetId="2">#REF!</definedName>
    <definedName name="\WORK1" localSheetId="1">#REF!</definedName>
    <definedName name="\WORK1">#REF!</definedName>
    <definedName name="\X" localSheetId="4">#REF!</definedName>
    <definedName name="\X" localSheetId="5">#REF!</definedName>
    <definedName name="\X" localSheetId="3">#REF!</definedName>
    <definedName name="\X" localSheetId="12">#REF!</definedName>
    <definedName name="\X" localSheetId="2">#REF!</definedName>
    <definedName name="\X" localSheetId="1">#REF!</definedName>
    <definedName name="\X">#REF!</definedName>
    <definedName name="\Z" localSheetId="4">#REF!</definedName>
    <definedName name="\Z" localSheetId="5">#REF!</definedName>
    <definedName name="\Z" localSheetId="3">#REF!</definedName>
    <definedName name="\Z" localSheetId="12">#REF!</definedName>
    <definedName name="\Z" localSheetId="2">#REF!</definedName>
    <definedName name="\Z" localSheetId="1">#REF!</definedName>
    <definedName name="\Z">#REF!</definedName>
    <definedName name="__123Graph_A" localSheetId="9" hidden="1">[4]Inputs!#REF!</definedName>
    <definedName name="__123Graph_A" localSheetId="11" hidden="1">[4]Inputs!#REF!</definedName>
    <definedName name="__123Graph_A" localSheetId="4" hidden="1">[4]Inputs!#REF!</definedName>
    <definedName name="__123Graph_A" localSheetId="5" hidden="1">[4]Inputs!#REF!</definedName>
    <definedName name="__123Graph_A" localSheetId="6" hidden="1">[4]Inputs!#REF!</definedName>
    <definedName name="__123Graph_A" localSheetId="7" hidden="1">[4]Inputs!#REF!</definedName>
    <definedName name="__123Graph_A" localSheetId="8" hidden="1">[4]Inputs!#REF!</definedName>
    <definedName name="__123Graph_A" localSheetId="10" hidden="1">[4]Inputs!#REF!</definedName>
    <definedName name="__123Graph_A" localSheetId="3" hidden="1">[5]Inputs!#REF!</definedName>
    <definedName name="__123Graph_A" localSheetId="12" hidden="1">[6]Inputs!#REF!</definedName>
    <definedName name="__123Graph_A" localSheetId="2" hidden="1">[7]Inputs!#REF!</definedName>
    <definedName name="__123Graph_A" localSheetId="0" hidden="1">[7]Inputs!#REF!</definedName>
    <definedName name="__123Graph_A" localSheetId="1" hidden="1">[7]Inputs!#REF!</definedName>
    <definedName name="__123Graph_A" hidden="1">[6]Inputs!#REF!</definedName>
    <definedName name="__123Graph_B" localSheetId="9" hidden="1">[4]Inputs!#REF!</definedName>
    <definedName name="__123Graph_B" localSheetId="11" hidden="1">[4]Inputs!#REF!</definedName>
    <definedName name="__123Graph_B" localSheetId="4" hidden="1">[4]Inputs!#REF!</definedName>
    <definedName name="__123Graph_B" localSheetId="5" hidden="1">[4]Inputs!#REF!</definedName>
    <definedName name="__123Graph_B" localSheetId="6" hidden="1">[4]Inputs!#REF!</definedName>
    <definedName name="__123Graph_B" localSheetId="7" hidden="1">[4]Inputs!#REF!</definedName>
    <definedName name="__123Graph_B" localSheetId="8" hidden="1">[4]Inputs!#REF!</definedName>
    <definedName name="__123Graph_B" localSheetId="10" hidden="1">[4]Inputs!#REF!</definedName>
    <definedName name="__123Graph_B" localSheetId="3" hidden="1">[5]Inputs!#REF!</definedName>
    <definedName name="__123Graph_B" localSheetId="12" hidden="1">[6]Inputs!#REF!</definedName>
    <definedName name="__123Graph_B" localSheetId="2" hidden="1">[7]Inputs!#REF!</definedName>
    <definedName name="__123Graph_B" localSheetId="0" hidden="1">[7]Inputs!#REF!</definedName>
    <definedName name="__123Graph_B" localSheetId="1" hidden="1">[7]Inputs!#REF!</definedName>
    <definedName name="__123Graph_B" hidden="1">[6]Inputs!#REF!</definedName>
    <definedName name="__123Graph_D" localSheetId="9" hidden="1">[4]Inputs!#REF!</definedName>
    <definedName name="__123Graph_D" localSheetId="11" hidden="1">[4]Inputs!#REF!</definedName>
    <definedName name="__123Graph_D" localSheetId="4" hidden="1">[4]Inputs!#REF!</definedName>
    <definedName name="__123Graph_D" localSheetId="5" hidden="1">[4]Inputs!#REF!</definedName>
    <definedName name="__123Graph_D" localSheetId="6" hidden="1">[4]Inputs!#REF!</definedName>
    <definedName name="__123Graph_D" localSheetId="7" hidden="1">[4]Inputs!#REF!</definedName>
    <definedName name="__123Graph_D" localSheetId="8" hidden="1">[4]Inputs!#REF!</definedName>
    <definedName name="__123Graph_D" localSheetId="10" hidden="1">[4]Inputs!#REF!</definedName>
    <definedName name="__123Graph_D" localSheetId="3" hidden="1">[5]Inputs!#REF!</definedName>
    <definedName name="__123Graph_D" localSheetId="12" hidden="1">[6]Inputs!#REF!</definedName>
    <definedName name="__123Graph_D" localSheetId="2" hidden="1">[7]Inputs!#REF!</definedName>
    <definedName name="__123Graph_D" localSheetId="0" hidden="1">[7]Inputs!#REF!</definedName>
    <definedName name="__123Graph_D" localSheetId="1" hidden="1">[7]Inputs!#REF!</definedName>
    <definedName name="__123Graph_D" hidden="1">[6]Inputs!#REF!</definedName>
    <definedName name="_1Price_Ta" localSheetId="4">#REF!</definedName>
    <definedName name="_1Price_Ta" localSheetId="5">#REF!</definedName>
    <definedName name="_1Price_Ta" localSheetId="3">#REF!</definedName>
    <definedName name="_1Price_Ta" localSheetId="12">#REF!</definedName>
    <definedName name="_1Price_Ta" localSheetId="2">#REF!</definedName>
    <definedName name="_1Price_Ta" localSheetId="1">#REF!</definedName>
    <definedName name="_1Price_Ta">#REF!</definedName>
    <definedName name="_2Price_Ta" localSheetId="4">#REF!</definedName>
    <definedName name="_2Price_Ta" localSheetId="5">#REF!</definedName>
    <definedName name="_2Price_Ta" localSheetId="3">#REF!</definedName>
    <definedName name="_2Price_Ta" localSheetId="12">#REF!</definedName>
    <definedName name="_2Price_Ta" localSheetId="2">#REF!</definedName>
    <definedName name="_2Price_Ta" localSheetId="1">#REF!</definedName>
    <definedName name="_2Price_Ta">#REF!</definedName>
    <definedName name="_B" localSheetId="4">'[8]Rate Design'!#REF!</definedName>
    <definedName name="_B" localSheetId="5">'[8]Rate Design'!#REF!</definedName>
    <definedName name="_B" localSheetId="3">'[8]Rate Design'!#REF!</definedName>
    <definedName name="_B" localSheetId="12">'[8]Rate Design'!#REF!</definedName>
    <definedName name="_B" localSheetId="2">'[8]Rate Design'!#REF!</definedName>
    <definedName name="_B" localSheetId="1">'[8]Rate Design'!#REF!</definedName>
    <definedName name="_B">'[8]Rate Design'!#REF!</definedName>
    <definedName name="_Fill" localSheetId="4" hidden="1">#REF!</definedName>
    <definedName name="_Fill" localSheetId="5" hidden="1">#REF!</definedName>
    <definedName name="_Fill" localSheetId="3" hidden="1">#REF!</definedName>
    <definedName name="_Fill" localSheetId="12" hidden="1">#REF!</definedName>
    <definedName name="_Fill" localSheetId="2" hidden="1">#REF!</definedName>
    <definedName name="_Fill" localSheetId="1" hidden="1">#REF!</definedName>
    <definedName name="_Fill" hidden="1">#REF!</definedName>
    <definedName name="_Key1" localSheetId="4" hidden="1">#REF!</definedName>
    <definedName name="_Key1" localSheetId="5" hidden="1">#REF!</definedName>
    <definedName name="_Key1" localSheetId="3" hidden="1">#REF!</definedName>
    <definedName name="_Key1" localSheetId="12" hidden="1">#REF!</definedName>
    <definedName name="_Key1" localSheetId="2" hidden="1">#REF!</definedName>
    <definedName name="_Key1" localSheetId="1" hidden="1">#REF!</definedName>
    <definedName name="_Key1" hidden="1">#REF!</definedName>
    <definedName name="_Key2" localSheetId="4" hidden="1">#REF!</definedName>
    <definedName name="_Key2" localSheetId="5" hidden="1">#REF!</definedName>
    <definedName name="_Key2" localSheetId="3" hidden="1">#REF!</definedName>
    <definedName name="_Key2" localSheetId="12" hidden="1">#REF!</definedName>
    <definedName name="_Key2" localSheetId="2" hidden="1">#REF!</definedName>
    <definedName name="_Key2" localSheetId="1" hidden="1">#REF!</definedName>
    <definedName name="_Key2" hidden="1">#REF!</definedName>
    <definedName name="_MEN2" localSheetId="4">[1]Jan!#REF!</definedName>
    <definedName name="_MEN2" localSheetId="5">[1]Jan!#REF!</definedName>
    <definedName name="_MEN2" localSheetId="3">[1]Jan!#REF!</definedName>
    <definedName name="_MEN2" localSheetId="12">[1]Jan!#REF!</definedName>
    <definedName name="_MEN2" localSheetId="2">[1]Jan!#REF!</definedName>
    <definedName name="_MEN2" localSheetId="1">[1]Jan!#REF!</definedName>
    <definedName name="_MEN2">[1]Jan!#REF!</definedName>
    <definedName name="_MEN3" localSheetId="4">[1]Jan!#REF!</definedName>
    <definedName name="_MEN3" localSheetId="5">[1]Jan!#REF!</definedName>
    <definedName name="_MEN3" localSheetId="3">[1]Jan!#REF!</definedName>
    <definedName name="_MEN3" localSheetId="12">[1]Jan!#REF!</definedName>
    <definedName name="_MEN3" localSheetId="2">[1]Jan!#REF!</definedName>
    <definedName name="_MEN3" localSheetId="1">[1]Jan!#REF!</definedName>
    <definedName name="_MEN3">[1]Jan!#REF!</definedName>
    <definedName name="_Order1" hidden="1">0</definedName>
    <definedName name="_Order2" hidden="1">0</definedName>
    <definedName name="_P" localSheetId="4">#REF!</definedName>
    <definedName name="_P" localSheetId="5">#REF!</definedName>
    <definedName name="_P" localSheetId="3">#REF!</definedName>
    <definedName name="_P" localSheetId="12">#REF!</definedName>
    <definedName name="_P" localSheetId="2">#REF!</definedName>
    <definedName name="_P" localSheetId="1">#REF!</definedName>
    <definedName name="_P">#REF!</definedName>
    <definedName name="_Sort" localSheetId="4" hidden="1">#REF!</definedName>
    <definedName name="_Sort" localSheetId="5" hidden="1">#REF!</definedName>
    <definedName name="_Sort" localSheetId="3" hidden="1">#REF!</definedName>
    <definedName name="_Sort" localSheetId="12" hidden="1">#REF!</definedName>
    <definedName name="_Sort" localSheetId="2" hidden="1">#REF!</definedName>
    <definedName name="_Sort" localSheetId="1" hidden="1">#REF!</definedName>
    <definedName name="_Sort" hidden="1">#REF!</definedName>
    <definedName name="_TOP1" localSheetId="4">[1]Jan!#REF!</definedName>
    <definedName name="_TOP1" localSheetId="5">[1]Jan!#REF!</definedName>
    <definedName name="_TOP1" localSheetId="3">[1]Jan!#REF!</definedName>
    <definedName name="_TOP1" localSheetId="12">[1]Jan!#REF!</definedName>
    <definedName name="_TOP1" localSheetId="2">[1]Jan!#REF!</definedName>
    <definedName name="_TOP1" localSheetId="1">[1]Jan!#REF!</definedName>
    <definedName name="_TOP1">[1]Jan!#REF!</definedName>
    <definedName name="a" localSheetId="9" hidden="1">#REF!</definedName>
    <definedName name="a" localSheetId="11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10" hidden="1">#REF!</definedName>
    <definedName name="a" localSheetId="3" hidden="1">#REF!</definedName>
    <definedName name="a" localSheetId="2" hidden="1">#REF!</definedName>
    <definedName name="a" localSheetId="0" hidden="1">#REF!</definedName>
    <definedName name="a" localSheetId="1" hidden="1">#REF!</definedName>
    <definedName name="a" hidden="1">'[6]DSM Output'!$J$21:$J$23</definedName>
    <definedName name="Acct108364" localSheetId="4">'[9]Func Study'!#REF!</definedName>
    <definedName name="Acct108364" localSheetId="5">'[9]Func Study'!#REF!</definedName>
    <definedName name="Acct108364" localSheetId="3">'[9]Func Study'!#REF!</definedName>
    <definedName name="Acct108364" localSheetId="12">'[9]Func Study'!#REF!</definedName>
    <definedName name="Acct108364" localSheetId="2">'[9]Func Study'!#REF!</definedName>
    <definedName name="Acct108364" localSheetId="1">'[9]Func Study'!#REF!</definedName>
    <definedName name="Acct108364">'[9]Func Study'!#REF!</definedName>
    <definedName name="Acct108364S" localSheetId="4">'[9]Func Study'!#REF!</definedName>
    <definedName name="Acct108364S" localSheetId="5">'[9]Func Study'!#REF!</definedName>
    <definedName name="Acct108364S" localSheetId="3">'[9]Func Study'!#REF!</definedName>
    <definedName name="Acct108364S" localSheetId="12">'[9]Func Study'!#REF!</definedName>
    <definedName name="Acct108364S" localSheetId="2">'[9]Func Study'!#REF!</definedName>
    <definedName name="Acct108364S" localSheetId="1">'[9]Func Study'!#REF!</definedName>
    <definedName name="Acct108364S">'[9]Func Study'!#REF!</definedName>
    <definedName name="Acct228.42TROJD" localSheetId="4">'[10]Func Study'!#REF!</definedName>
    <definedName name="Acct228.42TROJD" localSheetId="5">'[10]Func Study'!#REF!</definedName>
    <definedName name="Acct228.42TROJD" localSheetId="3">'[10]Func Study'!#REF!</definedName>
    <definedName name="Acct228.42TROJD" localSheetId="12">'[10]Func Study'!#REF!</definedName>
    <definedName name="Acct228.42TROJD" localSheetId="2">'[10]Func Study'!#REF!</definedName>
    <definedName name="Acct228.42TROJD" localSheetId="1">'[10]Func Study'!#REF!</definedName>
    <definedName name="Acct228.42TROJD">'[10]Func Study'!#REF!</definedName>
    <definedName name="Acct2281SO">'[11]Func Study'!$H$2190</definedName>
    <definedName name="Acct2283SO">'[11]Func Study'!$H$2198</definedName>
    <definedName name="Acct22842TROJD" localSheetId="4">'[10]Func Study'!#REF!</definedName>
    <definedName name="Acct22842TROJD" localSheetId="5">'[10]Func Study'!#REF!</definedName>
    <definedName name="Acct22842TROJD" localSheetId="3">'[10]Func Study'!#REF!</definedName>
    <definedName name="Acct22842TROJD" localSheetId="12">'[10]Func Study'!#REF!</definedName>
    <definedName name="Acct22842TROJD" localSheetId="2">'[10]Func Study'!#REF!</definedName>
    <definedName name="Acct22842TROJD" localSheetId="1">'[10]Func Study'!#REF!</definedName>
    <definedName name="Acct22842TROJD">'[10]Func Study'!#REF!</definedName>
    <definedName name="Acct228SO">'[11]Func Study'!$H$2194</definedName>
    <definedName name="Acct350">'[11]Func Study'!$H$1628</definedName>
    <definedName name="Acct352">'[11]Func Study'!$H$1635</definedName>
    <definedName name="Acct353">'[11]Func Study'!$H$1641</definedName>
    <definedName name="Acct354">'[11]Func Study'!$H$1647</definedName>
    <definedName name="Acct355">'[11]Func Study'!$H$1654</definedName>
    <definedName name="Acct356">'[11]Func Study'!$H$1660</definedName>
    <definedName name="Acct357">'[11]Func Study'!$H$1666</definedName>
    <definedName name="Acct358">'[11]Func Study'!$H$1672</definedName>
    <definedName name="Acct359">'[11]Func Study'!$H$1678</definedName>
    <definedName name="Acct360">'[11]Func Study'!$H$1698</definedName>
    <definedName name="Acct361">'[11]Func Study'!$H$1704</definedName>
    <definedName name="Acct362">'[11]Func Study'!$H$1710</definedName>
    <definedName name="Acct364">'[11]Func Study'!$H$1717</definedName>
    <definedName name="Acct365">'[11]Func Study'!$H$1724</definedName>
    <definedName name="Acct366">'[11]Func Study'!$H$1731</definedName>
    <definedName name="Acct367">'[11]Func Study'!$H$1738</definedName>
    <definedName name="Acct368">'[11]Func Study'!$H$1744</definedName>
    <definedName name="Acct369">'[11]Func Study'!$H$1751</definedName>
    <definedName name="Acct370">'[11]Func Study'!$H$1762</definedName>
    <definedName name="Acct371">'[11]Func Study'!$H$1769</definedName>
    <definedName name="Acct372">'[11]Func Study'!$H$1776</definedName>
    <definedName name="Acct372A">'[11]Func Study'!$H$1775</definedName>
    <definedName name="Acct372DP">'[11]Func Study'!$H$1773</definedName>
    <definedName name="Acct372DS">'[11]Func Study'!$H$1774</definedName>
    <definedName name="Acct373">'[11]Func Study'!$H$1782</definedName>
    <definedName name="Acct41011" localSheetId="4">'[12]Functional Study'!#REF!</definedName>
    <definedName name="Acct41011" localSheetId="5">'[12]Functional Study'!#REF!</definedName>
    <definedName name="Acct41011" localSheetId="3">'[12]Functional Study'!#REF!</definedName>
    <definedName name="Acct41011" localSheetId="12">'[12]Functional Study'!#REF!</definedName>
    <definedName name="Acct41011" localSheetId="2">'[12]Functional Study'!#REF!</definedName>
    <definedName name="Acct41011" localSheetId="1">'[12]Functional Study'!#REF!</definedName>
    <definedName name="Acct41011">'[12]Functional Study'!#REF!</definedName>
    <definedName name="Acct41011BADDEBT" localSheetId="4">'[12]Functional Study'!#REF!</definedName>
    <definedName name="Acct41011BADDEBT" localSheetId="5">'[12]Functional Study'!#REF!</definedName>
    <definedName name="Acct41011BADDEBT" localSheetId="3">'[12]Functional Study'!#REF!</definedName>
    <definedName name="Acct41011BADDEBT" localSheetId="12">'[12]Functional Study'!#REF!</definedName>
    <definedName name="Acct41011BADDEBT" localSheetId="2">'[12]Functional Study'!#REF!</definedName>
    <definedName name="Acct41011BADDEBT" localSheetId="1">'[12]Functional Study'!#REF!</definedName>
    <definedName name="Acct41011BADDEBT">'[12]Functional Study'!#REF!</definedName>
    <definedName name="Acct41011DITEXP" localSheetId="4">'[12]Functional Study'!#REF!</definedName>
    <definedName name="Acct41011DITEXP" localSheetId="5">'[12]Functional Study'!#REF!</definedName>
    <definedName name="Acct41011DITEXP" localSheetId="3">'[12]Functional Study'!#REF!</definedName>
    <definedName name="Acct41011DITEXP" localSheetId="12">'[12]Functional Study'!#REF!</definedName>
    <definedName name="Acct41011DITEXP" localSheetId="2">'[12]Functional Study'!#REF!</definedName>
    <definedName name="Acct41011DITEXP" localSheetId="1">'[12]Functional Study'!#REF!</definedName>
    <definedName name="Acct41011DITEXP">'[12]Functional Study'!#REF!</definedName>
    <definedName name="Acct41011S" localSheetId="4">'[12]Functional Study'!#REF!</definedName>
    <definedName name="Acct41011S" localSheetId="5">'[12]Functional Study'!#REF!</definedName>
    <definedName name="Acct41011S" localSheetId="3">'[12]Functional Study'!#REF!</definedName>
    <definedName name="Acct41011S" localSheetId="12">'[12]Functional Study'!#REF!</definedName>
    <definedName name="Acct41011S" localSheetId="2">'[12]Functional Study'!#REF!</definedName>
    <definedName name="Acct41011S" localSheetId="1">'[12]Functional Study'!#REF!</definedName>
    <definedName name="Acct41011S">'[12]Functional Study'!#REF!</definedName>
    <definedName name="Acct41011SE" localSheetId="4">'[12]Functional Study'!#REF!</definedName>
    <definedName name="Acct41011SE" localSheetId="5">'[12]Functional Study'!#REF!</definedName>
    <definedName name="Acct41011SE" localSheetId="3">'[12]Functional Study'!#REF!</definedName>
    <definedName name="Acct41011SE" localSheetId="12">'[12]Functional Study'!#REF!</definedName>
    <definedName name="Acct41011SE" localSheetId="2">'[12]Functional Study'!#REF!</definedName>
    <definedName name="Acct41011SE" localSheetId="1">'[12]Functional Study'!#REF!</definedName>
    <definedName name="Acct41011SE">'[12]Functional Study'!#REF!</definedName>
    <definedName name="Acct41011SG1" localSheetId="4">'[12]Functional Study'!#REF!</definedName>
    <definedName name="Acct41011SG1" localSheetId="5">'[12]Functional Study'!#REF!</definedName>
    <definedName name="Acct41011SG1" localSheetId="3">'[12]Functional Study'!#REF!</definedName>
    <definedName name="Acct41011SG1" localSheetId="12">'[12]Functional Study'!#REF!</definedName>
    <definedName name="Acct41011SG1" localSheetId="2">'[12]Functional Study'!#REF!</definedName>
    <definedName name="Acct41011SG1" localSheetId="1">'[12]Functional Study'!#REF!</definedName>
    <definedName name="Acct41011SG1">'[12]Functional Study'!#REF!</definedName>
    <definedName name="Acct41011SG2" localSheetId="4">'[12]Functional Study'!#REF!</definedName>
    <definedName name="Acct41011SG2" localSheetId="5">'[12]Functional Study'!#REF!</definedName>
    <definedName name="Acct41011SG2" localSheetId="3">'[12]Functional Study'!#REF!</definedName>
    <definedName name="Acct41011SG2" localSheetId="12">'[12]Functional Study'!#REF!</definedName>
    <definedName name="Acct41011SG2" localSheetId="2">'[12]Functional Study'!#REF!</definedName>
    <definedName name="Acct41011SG2" localSheetId="1">'[12]Functional Study'!#REF!</definedName>
    <definedName name="Acct41011SG2">'[12]Functional Study'!#REF!</definedName>
    <definedName name="ACCT41011SGCT" localSheetId="4">'[12]Functional Study'!#REF!</definedName>
    <definedName name="ACCT41011SGCT" localSheetId="5">'[12]Functional Study'!#REF!</definedName>
    <definedName name="ACCT41011SGCT" localSheetId="3">'[12]Functional Study'!#REF!</definedName>
    <definedName name="ACCT41011SGCT" localSheetId="12">'[12]Functional Study'!#REF!</definedName>
    <definedName name="ACCT41011SGCT" localSheetId="2">'[12]Functional Study'!#REF!</definedName>
    <definedName name="ACCT41011SGCT" localSheetId="1">'[12]Functional Study'!#REF!</definedName>
    <definedName name="ACCT41011SGCT">'[12]Functional Study'!#REF!</definedName>
    <definedName name="Acct41011SGPP" localSheetId="4">'[12]Functional Study'!#REF!</definedName>
    <definedName name="Acct41011SGPP" localSheetId="5">'[12]Functional Study'!#REF!</definedName>
    <definedName name="Acct41011SGPP" localSheetId="3">'[12]Functional Study'!#REF!</definedName>
    <definedName name="Acct41011SGPP" localSheetId="12">'[12]Functional Study'!#REF!</definedName>
    <definedName name="Acct41011SGPP" localSheetId="2">'[12]Functional Study'!#REF!</definedName>
    <definedName name="Acct41011SGPP" localSheetId="1">'[12]Functional Study'!#REF!</definedName>
    <definedName name="Acct41011SGPP">'[12]Functional Study'!#REF!</definedName>
    <definedName name="Acct41011SNP" localSheetId="4">'[12]Functional Study'!#REF!</definedName>
    <definedName name="Acct41011SNP" localSheetId="5">'[12]Functional Study'!#REF!</definedName>
    <definedName name="Acct41011SNP" localSheetId="3">'[12]Functional Study'!#REF!</definedName>
    <definedName name="Acct41011SNP" localSheetId="12">'[12]Functional Study'!#REF!</definedName>
    <definedName name="Acct41011SNP" localSheetId="2">'[12]Functional Study'!#REF!</definedName>
    <definedName name="Acct41011SNP" localSheetId="1">'[12]Functional Study'!#REF!</definedName>
    <definedName name="Acct41011SNP">'[12]Functional Study'!#REF!</definedName>
    <definedName name="ACCT41011SNPD" localSheetId="4">'[12]Functional Study'!#REF!</definedName>
    <definedName name="ACCT41011SNPD" localSheetId="5">'[12]Functional Study'!#REF!</definedName>
    <definedName name="ACCT41011SNPD" localSheetId="3">'[12]Functional Study'!#REF!</definedName>
    <definedName name="ACCT41011SNPD" localSheetId="12">'[12]Functional Study'!#REF!</definedName>
    <definedName name="ACCT41011SNPD" localSheetId="2">'[12]Functional Study'!#REF!</definedName>
    <definedName name="ACCT41011SNPD" localSheetId="1">'[12]Functional Study'!#REF!</definedName>
    <definedName name="ACCT41011SNPD">'[12]Functional Study'!#REF!</definedName>
    <definedName name="Acct41011SO" localSheetId="4">'[12]Functional Study'!#REF!</definedName>
    <definedName name="Acct41011SO" localSheetId="5">'[12]Functional Study'!#REF!</definedName>
    <definedName name="Acct41011SO" localSheetId="3">'[12]Functional Study'!#REF!</definedName>
    <definedName name="Acct41011SO" localSheetId="12">'[12]Functional Study'!#REF!</definedName>
    <definedName name="Acct41011SO" localSheetId="2">'[12]Functional Study'!#REF!</definedName>
    <definedName name="Acct41011SO" localSheetId="1">'[12]Functional Study'!#REF!</definedName>
    <definedName name="Acct41011SO">'[12]Functional Study'!#REF!</definedName>
    <definedName name="Acct41011TROJP" localSheetId="4">'[12]Functional Study'!#REF!</definedName>
    <definedName name="Acct41011TROJP" localSheetId="5">'[12]Functional Study'!#REF!</definedName>
    <definedName name="Acct41011TROJP" localSheetId="3">'[12]Functional Study'!#REF!</definedName>
    <definedName name="Acct41011TROJP" localSheetId="12">'[12]Functional Study'!#REF!</definedName>
    <definedName name="Acct41011TROJP" localSheetId="2">'[12]Functional Study'!#REF!</definedName>
    <definedName name="Acct41011TROJP" localSheetId="1">'[12]Functional Study'!#REF!</definedName>
    <definedName name="Acct41011TROJP">'[12]Functional Study'!#REF!</definedName>
    <definedName name="Acct41111" localSheetId="4">'[12]Functional Study'!#REF!</definedName>
    <definedName name="Acct41111" localSheetId="5">'[12]Functional Study'!#REF!</definedName>
    <definedName name="Acct41111" localSheetId="3">'[12]Functional Study'!#REF!</definedName>
    <definedName name="Acct41111" localSheetId="12">'[12]Functional Study'!#REF!</definedName>
    <definedName name="Acct41111" localSheetId="2">'[12]Functional Study'!#REF!</definedName>
    <definedName name="Acct41111" localSheetId="1">'[12]Functional Study'!#REF!</definedName>
    <definedName name="Acct41111">'[12]Functional Study'!#REF!</definedName>
    <definedName name="Acct41111BADDEBT" localSheetId="4">'[12]Functional Study'!#REF!</definedName>
    <definedName name="Acct41111BADDEBT" localSheetId="5">'[12]Functional Study'!#REF!</definedName>
    <definedName name="Acct41111BADDEBT" localSheetId="3">'[12]Functional Study'!#REF!</definedName>
    <definedName name="Acct41111BADDEBT" localSheetId="12">'[12]Functional Study'!#REF!</definedName>
    <definedName name="Acct41111BADDEBT" localSheetId="2">'[12]Functional Study'!#REF!</definedName>
    <definedName name="Acct41111BADDEBT" localSheetId="1">'[12]Functional Study'!#REF!</definedName>
    <definedName name="Acct41111BADDEBT">'[12]Functional Study'!#REF!</definedName>
    <definedName name="Acct41111DITEXP" localSheetId="4">'[12]Functional Study'!#REF!</definedName>
    <definedName name="Acct41111DITEXP" localSheetId="5">'[12]Functional Study'!#REF!</definedName>
    <definedName name="Acct41111DITEXP" localSheetId="3">'[12]Functional Study'!#REF!</definedName>
    <definedName name="Acct41111DITEXP" localSheetId="12">'[12]Functional Study'!#REF!</definedName>
    <definedName name="Acct41111DITEXP" localSheetId="2">'[12]Functional Study'!#REF!</definedName>
    <definedName name="Acct41111DITEXP" localSheetId="1">'[12]Functional Study'!#REF!</definedName>
    <definedName name="Acct41111DITEXP">'[12]Functional Study'!#REF!</definedName>
    <definedName name="Acct41111S" localSheetId="4">'[12]Functional Study'!#REF!</definedName>
    <definedName name="Acct41111S" localSheetId="5">'[12]Functional Study'!#REF!</definedName>
    <definedName name="Acct41111S" localSheetId="3">'[12]Functional Study'!#REF!</definedName>
    <definedName name="Acct41111S" localSheetId="12">'[12]Functional Study'!#REF!</definedName>
    <definedName name="Acct41111S" localSheetId="2">'[12]Functional Study'!#REF!</definedName>
    <definedName name="Acct41111S" localSheetId="1">'[12]Functional Study'!#REF!</definedName>
    <definedName name="Acct41111S">'[12]Functional Study'!#REF!</definedName>
    <definedName name="Acct41111SE" localSheetId="4">'[12]Functional Study'!#REF!</definedName>
    <definedName name="Acct41111SE" localSheetId="5">'[12]Functional Study'!#REF!</definedName>
    <definedName name="Acct41111SE" localSheetId="3">'[12]Functional Study'!#REF!</definedName>
    <definedName name="Acct41111SE" localSheetId="12">'[12]Functional Study'!#REF!</definedName>
    <definedName name="Acct41111SE" localSheetId="2">'[12]Functional Study'!#REF!</definedName>
    <definedName name="Acct41111SE" localSheetId="1">'[12]Functional Study'!#REF!</definedName>
    <definedName name="Acct41111SE">'[12]Functional Study'!#REF!</definedName>
    <definedName name="Acct41111SG1" localSheetId="4">'[12]Functional Study'!#REF!</definedName>
    <definedName name="Acct41111SG1" localSheetId="5">'[12]Functional Study'!#REF!</definedName>
    <definedName name="Acct41111SG1" localSheetId="3">'[12]Functional Study'!#REF!</definedName>
    <definedName name="Acct41111SG1" localSheetId="12">'[12]Functional Study'!#REF!</definedName>
    <definedName name="Acct41111SG1" localSheetId="2">'[12]Functional Study'!#REF!</definedName>
    <definedName name="Acct41111SG1" localSheetId="1">'[12]Functional Study'!#REF!</definedName>
    <definedName name="Acct41111SG1">'[12]Functional Study'!#REF!</definedName>
    <definedName name="Acct41111SG2" localSheetId="4">'[12]Functional Study'!#REF!</definedName>
    <definedName name="Acct41111SG2" localSheetId="5">'[12]Functional Study'!#REF!</definedName>
    <definedName name="Acct41111SG2" localSheetId="3">'[12]Functional Study'!#REF!</definedName>
    <definedName name="Acct41111SG2" localSheetId="12">'[12]Functional Study'!#REF!</definedName>
    <definedName name="Acct41111SG2" localSheetId="2">'[12]Functional Study'!#REF!</definedName>
    <definedName name="Acct41111SG2" localSheetId="1">'[12]Functional Study'!#REF!</definedName>
    <definedName name="Acct41111SG2">'[12]Functional Study'!#REF!</definedName>
    <definedName name="Acct41111SG3" localSheetId="4">'[12]Functional Study'!#REF!</definedName>
    <definedName name="Acct41111SG3" localSheetId="5">'[12]Functional Study'!#REF!</definedName>
    <definedName name="Acct41111SG3" localSheetId="3">'[12]Functional Study'!#REF!</definedName>
    <definedName name="Acct41111SG3" localSheetId="12">'[12]Functional Study'!#REF!</definedName>
    <definedName name="Acct41111SG3" localSheetId="2">'[12]Functional Study'!#REF!</definedName>
    <definedName name="Acct41111SG3" localSheetId="1">'[12]Functional Study'!#REF!</definedName>
    <definedName name="Acct41111SG3">'[12]Functional Study'!#REF!</definedName>
    <definedName name="Acct41111SGPP" localSheetId="4">'[12]Functional Study'!#REF!</definedName>
    <definedName name="Acct41111SGPP" localSheetId="5">'[12]Functional Study'!#REF!</definedName>
    <definedName name="Acct41111SGPP" localSheetId="3">'[12]Functional Study'!#REF!</definedName>
    <definedName name="Acct41111SGPP" localSheetId="12">'[12]Functional Study'!#REF!</definedName>
    <definedName name="Acct41111SGPP" localSheetId="2">'[12]Functional Study'!#REF!</definedName>
    <definedName name="Acct41111SGPP" localSheetId="1">'[12]Functional Study'!#REF!</definedName>
    <definedName name="Acct41111SGPP">'[12]Functional Study'!#REF!</definedName>
    <definedName name="Acct41111SNP" localSheetId="4">'[12]Functional Study'!#REF!</definedName>
    <definedName name="Acct41111SNP" localSheetId="5">'[12]Functional Study'!#REF!</definedName>
    <definedName name="Acct41111SNP" localSheetId="3">'[12]Functional Study'!#REF!</definedName>
    <definedName name="Acct41111SNP" localSheetId="12">'[12]Functional Study'!#REF!</definedName>
    <definedName name="Acct41111SNP" localSheetId="2">'[12]Functional Study'!#REF!</definedName>
    <definedName name="Acct41111SNP" localSheetId="1">'[12]Functional Study'!#REF!</definedName>
    <definedName name="Acct41111SNP">'[12]Functional Study'!#REF!</definedName>
    <definedName name="Acct41111SNTP" localSheetId="4">'[12]Functional Study'!#REF!</definedName>
    <definedName name="Acct41111SNTP" localSheetId="5">'[12]Functional Study'!#REF!</definedName>
    <definedName name="Acct41111SNTP" localSheetId="3">'[12]Functional Study'!#REF!</definedName>
    <definedName name="Acct41111SNTP" localSheetId="12">'[12]Functional Study'!#REF!</definedName>
    <definedName name="Acct41111SNTP" localSheetId="2">'[12]Functional Study'!#REF!</definedName>
    <definedName name="Acct41111SNTP" localSheetId="1">'[12]Functional Study'!#REF!</definedName>
    <definedName name="Acct41111SNTP">'[12]Functional Study'!#REF!</definedName>
    <definedName name="Acct41111SO" localSheetId="4">'[12]Functional Study'!#REF!</definedName>
    <definedName name="Acct41111SO" localSheetId="5">'[12]Functional Study'!#REF!</definedName>
    <definedName name="Acct41111SO" localSheetId="3">'[12]Functional Study'!#REF!</definedName>
    <definedName name="Acct41111SO" localSheetId="12">'[12]Functional Study'!#REF!</definedName>
    <definedName name="Acct41111SO" localSheetId="2">'[12]Functional Study'!#REF!</definedName>
    <definedName name="Acct41111SO" localSheetId="1">'[12]Functional Study'!#REF!</definedName>
    <definedName name="Acct41111SO">'[12]Functional Study'!#REF!</definedName>
    <definedName name="Acct41111TROJP" localSheetId="4">'[12]Functional Study'!#REF!</definedName>
    <definedName name="Acct41111TROJP" localSheetId="5">'[12]Functional Study'!#REF!</definedName>
    <definedName name="Acct41111TROJP" localSheetId="3">'[12]Functional Study'!#REF!</definedName>
    <definedName name="Acct41111TROJP" localSheetId="12">'[12]Functional Study'!#REF!</definedName>
    <definedName name="Acct41111TROJP" localSheetId="2">'[12]Functional Study'!#REF!</definedName>
    <definedName name="Acct41111TROJP" localSheetId="1">'[12]Functional Study'!#REF!</definedName>
    <definedName name="Acct41111TROJP">'[12]Functional Study'!#REF!</definedName>
    <definedName name="Acct411BADDEBT" localSheetId="4">'[12]Functional Study'!#REF!</definedName>
    <definedName name="Acct411BADDEBT" localSheetId="5">'[12]Functional Study'!#REF!</definedName>
    <definedName name="Acct411BADDEBT" localSheetId="3">'[12]Functional Study'!#REF!</definedName>
    <definedName name="Acct411BADDEBT" localSheetId="12">'[12]Functional Study'!#REF!</definedName>
    <definedName name="Acct411BADDEBT" localSheetId="2">'[12]Functional Study'!#REF!</definedName>
    <definedName name="Acct411BADDEBT" localSheetId="1">'[12]Functional Study'!#REF!</definedName>
    <definedName name="Acct411BADDEBT">'[12]Functional Study'!#REF!</definedName>
    <definedName name="Acct411DGP" localSheetId="4">'[12]Functional Study'!#REF!</definedName>
    <definedName name="Acct411DGP" localSheetId="5">'[12]Functional Study'!#REF!</definedName>
    <definedName name="Acct411DGP" localSheetId="3">'[12]Functional Study'!#REF!</definedName>
    <definedName name="Acct411DGP" localSheetId="12">'[12]Functional Study'!#REF!</definedName>
    <definedName name="Acct411DGP" localSheetId="2">'[12]Functional Study'!#REF!</definedName>
    <definedName name="Acct411DGP" localSheetId="1">'[12]Functional Study'!#REF!</definedName>
    <definedName name="Acct411DGP">'[12]Functional Study'!#REF!</definedName>
    <definedName name="Acct411DGU" localSheetId="4">'[12]Functional Study'!#REF!</definedName>
    <definedName name="Acct411DGU" localSheetId="5">'[12]Functional Study'!#REF!</definedName>
    <definedName name="Acct411DGU" localSheetId="3">'[12]Functional Study'!#REF!</definedName>
    <definedName name="Acct411DGU" localSheetId="12">'[12]Functional Study'!#REF!</definedName>
    <definedName name="Acct411DGU" localSheetId="2">'[12]Functional Study'!#REF!</definedName>
    <definedName name="Acct411DGU" localSheetId="1">'[12]Functional Study'!#REF!</definedName>
    <definedName name="Acct411DGU">'[12]Functional Study'!#REF!</definedName>
    <definedName name="Acct411DITEXP" localSheetId="4">'[12]Functional Study'!#REF!</definedName>
    <definedName name="Acct411DITEXP" localSheetId="5">'[12]Functional Study'!#REF!</definedName>
    <definedName name="Acct411DITEXP" localSheetId="3">'[12]Functional Study'!#REF!</definedName>
    <definedName name="Acct411DITEXP" localSheetId="12">'[12]Functional Study'!#REF!</definedName>
    <definedName name="Acct411DITEXP" localSheetId="2">'[12]Functional Study'!#REF!</definedName>
    <definedName name="Acct411DITEXP" localSheetId="1">'[12]Functional Study'!#REF!</definedName>
    <definedName name="Acct411DITEXP">'[12]Functional Study'!#REF!</definedName>
    <definedName name="Acct411DNPP" localSheetId="4">'[12]Functional Study'!#REF!</definedName>
    <definedName name="Acct411DNPP" localSheetId="5">'[12]Functional Study'!#REF!</definedName>
    <definedName name="Acct411DNPP" localSheetId="3">'[12]Functional Study'!#REF!</definedName>
    <definedName name="Acct411DNPP" localSheetId="12">'[12]Functional Study'!#REF!</definedName>
    <definedName name="Acct411DNPP" localSheetId="2">'[12]Functional Study'!#REF!</definedName>
    <definedName name="Acct411DNPP" localSheetId="1">'[12]Functional Study'!#REF!</definedName>
    <definedName name="Acct411DNPP">'[12]Functional Study'!#REF!</definedName>
    <definedName name="Acct411DNPTP" localSheetId="4">'[12]Functional Study'!#REF!</definedName>
    <definedName name="Acct411DNPTP" localSheetId="5">'[12]Functional Study'!#REF!</definedName>
    <definedName name="Acct411DNPTP" localSheetId="3">'[12]Functional Study'!#REF!</definedName>
    <definedName name="Acct411DNPTP" localSheetId="12">'[12]Functional Study'!#REF!</definedName>
    <definedName name="Acct411DNPTP" localSheetId="2">'[12]Functional Study'!#REF!</definedName>
    <definedName name="Acct411DNPTP" localSheetId="1">'[12]Functional Study'!#REF!</definedName>
    <definedName name="Acct411DNPTP">'[12]Functional Study'!#REF!</definedName>
    <definedName name="Acct411S" localSheetId="4">'[12]Functional Study'!#REF!</definedName>
    <definedName name="Acct411S" localSheetId="5">'[12]Functional Study'!#REF!</definedName>
    <definedName name="Acct411S" localSheetId="3">'[12]Functional Study'!#REF!</definedName>
    <definedName name="Acct411S" localSheetId="12">'[12]Functional Study'!#REF!</definedName>
    <definedName name="Acct411S" localSheetId="2">'[12]Functional Study'!#REF!</definedName>
    <definedName name="Acct411S" localSheetId="1">'[12]Functional Study'!#REF!</definedName>
    <definedName name="Acct411S">'[12]Functional Study'!#REF!</definedName>
    <definedName name="Acct411SE" localSheetId="4">'[12]Functional Study'!#REF!</definedName>
    <definedName name="Acct411SE" localSheetId="5">'[12]Functional Study'!#REF!</definedName>
    <definedName name="Acct411SE" localSheetId="3">'[12]Functional Study'!#REF!</definedName>
    <definedName name="Acct411SE" localSheetId="12">'[12]Functional Study'!#REF!</definedName>
    <definedName name="Acct411SE" localSheetId="2">'[12]Functional Study'!#REF!</definedName>
    <definedName name="Acct411SE" localSheetId="1">'[12]Functional Study'!#REF!</definedName>
    <definedName name="Acct411SE">'[12]Functional Study'!#REF!</definedName>
    <definedName name="Acct411SG" localSheetId="4">'[12]Functional Study'!#REF!</definedName>
    <definedName name="Acct411SG" localSheetId="5">'[12]Functional Study'!#REF!</definedName>
    <definedName name="Acct411SG" localSheetId="3">'[12]Functional Study'!#REF!</definedName>
    <definedName name="Acct411SG" localSheetId="12">'[12]Functional Study'!#REF!</definedName>
    <definedName name="Acct411SG" localSheetId="2">'[12]Functional Study'!#REF!</definedName>
    <definedName name="Acct411SG" localSheetId="1">'[12]Functional Study'!#REF!</definedName>
    <definedName name="Acct411SG">'[12]Functional Study'!#REF!</definedName>
    <definedName name="Acct411SGPP" localSheetId="4">'[12]Functional Study'!#REF!</definedName>
    <definedName name="Acct411SGPP" localSheetId="5">'[12]Functional Study'!#REF!</definedName>
    <definedName name="Acct411SGPP" localSheetId="3">'[12]Functional Study'!#REF!</definedName>
    <definedName name="Acct411SGPP" localSheetId="12">'[12]Functional Study'!#REF!</definedName>
    <definedName name="Acct411SGPP" localSheetId="2">'[12]Functional Study'!#REF!</definedName>
    <definedName name="Acct411SGPP" localSheetId="1">'[12]Functional Study'!#REF!</definedName>
    <definedName name="Acct411SGPP">'[12]Functional Study'!#REF!</definedName>
    <definedName name="Acct411SO" localSheetId="4">'[12]Functional Study'!#REF!</definedName>
    <definedName name="Acct411SO" localSheetId="5">'[12]Functional Study'!#REF!</definedName>
    <definedName name="Acct411SO" localSheetId="3">'[12]Functional Study'!#REF!</definedName>
    <definedName name="Acct411SO" localSheetId="12">'[12]Functional Study'!#REF!</definedName>
    <definedName name="Acct411SO" localSheetId="2">'[12]Functional Study'!#REF!</definedName>
    <definedName name="Acct411SO" localSheetId="1">'[12]Functional Study'!#REF!</definedName>
    <definedName name="Acct411SO">'[12]Functional Study'!#REF!</definedName>
    <definedName name="Acct411TROJP" localSheetId="4">'[12]Functional Study'!#REF!</definedName>
    <definedName name="Acct411TROJP" localSheetId="5">'[12]Functional Study'!#REF!</definedName>
    <definedName name="Acct411TROJP" localSheetId="3">'[12]Functional Study'!#REF!</definedName>
    <definedName name="Acct411TROJP" localSheetId="12">'[12]Functional Study'!#REF!</definedName>
    <definedName name="Acct411TROJP" localSheetId="2">'[12]Functional Study'!#REF!</definedName>
    <definedName name="Acct411TROJP" localSheetId="1">'[12]Functional Study'!#REF!</definedName>
    <definedName name="Acct411TROJP">'[12]Functional Study'!#REF!</definedName>
    <definedName name="Acct447DGU" localSheetId="4">'[10]Func Study'!#REF!</definedName>
    <definedName name="Acct447DGU" localSheetId="5">'[10]Func Study'!#REF!</definedName>
    <definedName name="Acct447DGU" localSheetId="3">'[10]Func Study'!#REF!</definedName>
    <definedName name="Acct447DGU" localSheetId="12">'[10]Func Study'!#REF!</definedName>
    <definedName name="Acct447DGU" localSheetId="2">'[10]Func Study'!#REF!</definedName>
    <definedName name="Acct447DGU" localSheetId="1">'[10]Func Study'!#REF!</definedName>
    <definedName name="Acct447DGU">'[10]Func Study'!#REF!</definedName>
    <definedName name="Acct448S">'[11]Func Study'!$H$274</definedName>
    <definedName name="Acct450S">'[11]Func Study'!$H$302</definedName>
    <definedName name="Acct451S">'[11]Func Study'!$H$307</definedName>
    <definedName name="Acct454S">'[11]Func Study'!$H$318</definedName>
    <definedName name="Acct456S">'[11]Func Study'!$H$325</definedName>
    <definedName name="Acct510" localSheetId="4">'[11]Func Study'!#REF!</definedName>
    <definedName name="Acct510" localSheetId="5">'[11]Func Study'!#REF!</definedName>
    <definedName name="Acct510" localSheetId="3">'[11]Func Study'!#REF!</definedName>
    <definedName name="Acct510" localSheetId="2">'[11]Func Study'!#REF!</definedName>
    <definedName name="Acct510" localSheetId="1">'[11]Func Study'!#REF!</definedName>
    <definedName name="Acct510">'[11]Func Study'!#REF!</definedName>
    <definedName name="Acct510DNPPSU" localSheetId="4">'[11]Func Study'!#REF!</definedName>
    <definedName name="Acct510DNPPSU" localSheetId="5">'[11]Func Study'!#REF!</definedName>
    <definedName name="Acct510DNPPSU" localSheetId="3">'[11]Func Study'!#REF!</definedName>
    <definedName name="Acct510DNPPSU" localSheetId="2">'[11]Func Study'!#REF!</definedName>
    <definedName name="Acct510DNPPSU" localSheetId="1">'[11]Func Study'!#REF!</definedName>
    <definedName name="Acct510DNPPSU">'[11]Func Study'!#REF!</definedName>
    <definedName name="ACCT510JBG" localSheetId="4">'[11]Func Study'!#REF!</definedName>
    <definedName name="ACCT510JBG" localSheetId="5">'[11]Func Study'!#REF!</definedName>
    <definedName name="ACCT510JBG" localSheetId="3">'[11]Func Study'!#REF!</definedName>
    <definedName name="ACCT510JBG" localSheetId="2">'[11]Func Study'!#REF!</definedName>
    <definedName name="ACCT510JBG" localSheetId="1">'[11]Func Study'!#REF!</definedName>
    <definedName name="ACCT510JBG">'[11]Func Study'!#REF!</definedName>
    <definedName name="ACCT510SSGCH" localSheetId="4">'[11]Func Study'!#REF!</definedName>
    <definedName name="ACCT510SSGCH" localSheetId="5">'[11]Func Study'!#REF!</definedName>
    <definedName name="ACCT510SSGCH" localSheetId="3">'[11]Func Study'!#REF!</definedName>
    <definedName name="ACCT510SSGCH" localSheetId="2">'[11]Func Study'!#REF!</definedName>
    <definedName name="ACCT510SSGCH" localSheetId="1">'[11]Func Study'!#REF!</definedName>
    <definedName name="ACCT510SSGCH">'[11]Func Study'!#REF!</definedName>
    <definedName name="ACCT557CAGE">'[11]Func Study'!$H$683</definedName>
    <definedName name="Acct557CT">'[11]Func Study'!$H$681</definedName>
    <definedName name="Acct580">'[11]Func Study'!$H$791</definedName>
    <definedName name="Acct581">'[11]Func Study'!$H$796</definedName>
    <definedName name="Acct582">'[11]Func Study'!$H$801</definedName>
    <definedName name="Acct583">'[11]Func Study'!$H$806</definedName>
    <definedName name="Acct584">'[11]Func Study'!$H$811</definedName>
    <definedName name="Acct585">'[11]Func Study'!$H$816</definedName>
    <definedName name="Acct586">'[11]Func Study'!$H$821</definedName>
    <definedName name="Acct587">'[11]Func Study'!$H$826</definedName>
    <definedName name="Acct588">'[11]Func Study'!$H$831</definedName>
    <definedName name="Acct589">'[11]Func Study'!$H$836</definedName>
    <definedName name="Acct590">'[11]Func Study'!$H$841</definedName>
    <definedName name="Acct591">'[11]Func Study'!$H$846</definedName>
    <definedName name="Acct592">'[11]Func Study'!$H$851</definedName>
    <definedName name="Acct593">'[11]Func Study'!$H$856</definedName>
    <definedName name="Acct594">'[11]Func Study'!$H$861</definedName>
    <definedName name="Acct595">'[11]Func Study'!$H$866</definedName>
    <definedName name="Acct596">'[11]Func Study'!$H$876</definedName>
    <definedName name="Acct597">'[11]Func Study'!$H$881</definedName>
    <definedName name="Acct598">'[11]Func Study'!$H$886</definedName>
    <definedName name="ACCT904SG" localSheetId="4">'[13]Functional Study'!#REF!</definedName>
    <definedName name="ACCT904SG" localSheetId="5">'[13]Functional Study'!#REF!</definedName>
    <definedName name="ACCT904SG" localSheetId="3">'[13]Functional Study'!#REF!</definedName>
    <definedName name="ACCT904SG" localSheetId="12">'[13]Functional Study'!#REF!</definedName>
    <definedName name="ACCT904SG" localSheetId="2">'[13]Functional Study'!#REF!</definedName>
    <definedName name="ACCT904SG" localSheetId="1">'[13]Functional Study'!#REF!</definedName>
    <definedName name="ACCT904SG">'[13]Functional Study'!#REF!</definedName>
    <definedName name="AcctAGA">'[11]Func Study'!$H$296</definedName>
    <definedName name="AcctDFAD" localSheetId="4">'[11]Func Study'!#REF!</definedName>
    <definedName name="AcctDFAD" localSheetId="5">'[11]Func Study'!#REF!</definedName>
    <definedName name="AcctDFAD" localSheetId="3">'[11]Func Study'!#REF!</definedName>
    <definedName name="AcctDFAD" localSheetId="2">'[11]Func Study'!#REF!</definedName>
    <definedName name="AcctDFAD" localSheetId="1">'[11]Func Study'!#REF!</definedName>
    <definedName name="AcctDFAD">'[11]Func Study'!#REF!</definedName>
    <definedName name="AcctDFAP" localSheetId="4">'[11]Func Study'!#REF!</definedName>
    <definedName name="AcctDFAP" localSheetId="5">'[11]Func Study'!#REF!</definedName>
    <definedName name="AcctDFAP" localSheetId="3">'[11]Func Study'!#REF!</definedName>
    <definedName name="AcctDFAP" localSheetId="2">'[11]Func Study'!#REF!</definedName>
    <definedName name="AcctDFAP" localSheetId="1">'[11]Func Study'!#REF!</definedName>
    <definedName name="AcctDFAP">'[11]Func Study'!#REF!</definedName>
    <definedName name="AcctDFAT" localSheetId="4">'[11]Func Study'!#REF!</definedName>
    <definedName name="AcctDFAT" localSheetId="5">'[11]Func Study'!#REF!</definedName>
    <definedName name="AcctDFAT" localSheetId="3">'[11]Func Study'!#REF!</definedName>
    <definedName name="AcctDFAT" localSheetId="2">'[11]Func Study'!#REF!</definedName>
    <definedName name="AcctDFAT" localSheetId="1">'[11]Func Study'!#REF!</definedName>
    <definedName name="AcctDFAT">'[11]Func Study'!#REF!</definedName>
    <definedName name="AcctTable">[14]Variables!$AK$42:$AK$396</definedName>
    <definedName name="AcctTS0">'[11]Func Study'!$H$1686</definedName>
    <definedName name="ActualROR">'[10]G+T+D+R+M'!$H$61</definedName>
    <definedName name="Adjs2avg">[15]Inputs!$L$255:'[15]Inputs'!$T$505</definedName>
    <definedName name="APR" localSheetId="4">[16]Backup!#REF!</definedName>
    <definedName name="APR" localSheetId="5">[16]Backup!#REF!</definedName>
    <definedName name="APR" localSheetId="3">#REF!</definedName>
    <definedName name="APR" localSheetId="12">[16]Backup!#REF!</definedName>
    <definedName name="APR" localSheetId="2">[16]Backup!#REF!</definedName>
    <definedName name="APR" localSheetId="1">[16]Backup!#REF!</definedName>
    <definedName name="APR">[16]Backup!#REF!</definedName>
    <definedName name="APRT" localSheetId="4">#REF!</definedName>
    <definedName name="APRT" localSheetId="5">#REF!</definedName>
    <definedName name="APRT" localSheetId="3">#REF!</definedName>
    <definedName name="APRT" localSheetId="12">#REF!</definedName>
    <definedName name="APRT" localSheetId="2">#REF!</definedName>
    <definedName name="APRT" localSheetId="1">#REF!</definedName>
    <definedName name="APRT">#REF!</definedName>
    <definedName name="AUG" localSheetId="4">[16]Backup!#REF!</definedName>
    <definedName name="AUG" localSheetId="5">[16]Backup!#REF!</definedName>
    <definedName name="AUG" localSheetId="3">#REF!</definedName>
    <definedName name="AUG" localSheetId="12">[16]Backup!#REF!</definedName>
    <definedName name="AUG" localSheetId="2">[16]Backup!#REF!</definedName>
    <definedName name="AUG" localSheetId="1">[16]Backup!#REF!</definedName>
    <definedName name="AUG">[16]Backup!#REF!</definedName>
    <definedName name="AUGT" localSheetId="4">#REF!</definedName>
    <definedName name="AUGT" localSheetId="5">#REF!</definedName>
    <definedName name="AUGT" localSheetId="3">#REF!</definedName>
    <definedName name="AUGT" localSheetId="12">#REF!</definedName>
    <definedName name="AUGT" localSheetId="2">#REF!</definedName>
    <definedName name="AUGT" localSheetId="1">#REF!</definedName>
    <definedName name="AUGT">#REF!</definedName>
    <definedName name="AvgFactors">[14]Factors!$B$3:$P$99</definedName>
    <definedName name="BACK1" localSheetId="4">#REF!</definedName>
    <definedName name="BACK1" localSheetId="5">#REF!</definedName>
    <definedName name="BACK1" localSheetId="3">#REF!</definedName>
    <definedName name="BACK1" localSheetId="12">#REF!</definedName>
    <definedName name="BACK1" localSheetId="2">#REF!</definedName>
    <definedName name="BACK1" localSheetId="1">#REF!</definedName>
    <definedName name="BACK1">#REF!</definedName>
    <definedName name="BACK2" localSheetId="4">#REF!</definedName>
    <definedName name="BACK2" localSheetId="5">#REF!</definedName>
    <definedName name="BACK2" localSheetId="3">#REF!</definedName>
    <definedName name="BACK2" localSheetId="12">#REF!</definedName>
    <definedName name="BACK2" localSheetId="2">#REF!</definedName>
    <definedName name="BACK2" localSheetId="1">#REF!</definedName>
    <definedName name="BACK2">#REF!</definedName>
    <definedName name="BACK3" localSheetId="4">#REF!</definedName>
    <definedName name="BACK3" localSheetId="5">#REF!</definedName>
    <definedName name="BACK3" localSheetId="3">#REF!</definedName>
    <definedName name="BACK3" localSheetId="12">#REF!</definedName>
    <definedName name="BACK3" localSheetId="2">#REF!</definedName>
    <definedName name="BACK3" localSheetId="1">#REF!</definedName>
    <definedName name="BACK3">#REF!</definedName>
    <definedName name="BACKUP1" localSheetId="4">#REF!</definedName>
    <definedName name="BACKUP1" localSheetId="5">#REF!</definedName>
    <definedName name="BACKUP1" localSheetId="3">#REF!</definedName>
    <definedName name="BACKUP1" localSheetId="12">#REF!</definedName>
    <definedName name="BACKUP1" localSheetId="2">#REF!</definedName>
    <definedName name="BACKUP1" localSheetId="1">#REF!</definedName>
    <definedName name="BACKUP1">#REF!</definedName>
    <definedName name="BOOKADJ" localSheetId="4">#REF!</definedName>
    <definedName name="BOOKADJ" localSheetId="5">#REF!</definedName>
    <definedName name="BOOKADJ" localSheetId="3">#REF!</definedName>
    <definedName name="BOOKADJ" localSheetId="12">#REF!</definedName>
    <definedName name="BOOKADJ" localSheetId="2">#REF!</definedName>
    <definedName name="BOOKADJ" localSheetId="1">#REF!</definedName>
    <definedName name="BOOKADJ">#REF!</definedName>
    <definedName name="cap">[17]Readings!$B$2</definedName>
    <definedName name="Check" localSheetId="4">#REF!</definedName>
    <definedName name="Check" localSheetId="5">#REF!</definedName>
    <definedName name="Check" localSheetId="3">#REF!</definedName>
    <definedName name="Check" localSheetId="12">#REF!</definedName>
    <definedName name="Check" localSheetId="2">#REF!</definedName>
    <definedName name="Check" localSheetId="1">#REF!</definedName>
    <definedName name="Check">#REF!</definedName>
    <definedName name="Classification">'[11]Func Study'!$AB$251</definedName>
    <definedName name="COMADJ" localSheetId="4">#REF!</definedName>
    <definedName name="COMADJ" localSheetId="5">#REF!</definedName>
    <definedName name="COMADJ" localSheetId="3">#REF!</definedName>
    <definedName name="COMADJ" localSheetId="12">#REF!</definedName>
    <definedName name="COMADJ" localSheetId="2">#REF!</definedName>
    <definedName name="COMADJ" localSheetId="1">#REF!</definedName>
    <definedName name="COMADJ">#REF!</definedName>
    <definedName name="COMP" localSheetId="4">#REF!</definedName>
    <definedName name="COMP" localSheetId="5">#REF!</definedName>
    <definedName name="COMP" localSheetId="3">#REF!</definedName>
    <definedName name="COMP" localSheetId="12">#REF!</definedName>
    <definedName name="COMP" localSheetId="2">#REF!</definedName>
    <definedName name="COMP" localSheetId="1">#REF!</definedName>
    <definedName name="COMP">#REF!</definedName>
    <definedName name="COMPACTUAL" localSheetId="4">#REF!</definedName>
    <definedName name="COMPACTUAL" localSheetId="5">#REF!</definedName>
    <definedName name="COMPACTUAL" localSheetId="3">#REF!</definedName>
    <definedName name="COMPACTUAL" localSheetId="12">#REF!</definedName>
    <definedName name="COMPACTUAL" localSheetId="2">#REF!</definedName>
    <definedName name="COMPACTUAL" localSheetId="1">#REF!</definedName>
    <definedName name="COMPACTUAL">#REF!</definedName>
    <definedName name="COMPT" localSheetId="4">#REF!</definedName>
    <definedName name="COMPT" localSheetId="5">#REF!</definedName>
    <definedName name="COMPT" localSheetId="3">#REF!</definedName>
    <definedName name="COMPT" localSheetId="12">#REF!</definedName>
    <definedName name="COMPT" localSheetId="2">#REF!</definedName>
    <definedName name="COMPT" localSheetId="1">#REF!</definedName>
    <definedName name="COMPT">#REF!</definedName>
    <definedName name="COMPWEATHER" localSheetId="4">#REF!</definedName>
    <definedName name="COMPWEATHER" localSheetId="5">#REF!</definedName>
    <definedName name="COMPWEATHER" localSheetId="3">#REF!</definedName>
    <definedName name="COMPWEATHER" localSheetId="12">#REF!</definedName>
    <definedName name="COMPWEATHER" localSheetId="2">#REF!</definedName>
    <definedName name="COMPWEATHER" localSheetId="1">#REF!</definedName>
    <definedName name="COMPWEATHER">#REF!</definedName>
    <definedName name="COSFacVal">[11]Inputs!$R$5</definedName>
    <definedName name="_xlnm.Database" localSheetId="4">[18]Invoice!#REF!</definedName>
    <definedName name="_xlnm.Database" localSheetId="5">[18]Invoice!#REF!</definedName>
    <definedName name="_xlnm.Database" localSheetId="3">[18]Invoice!#REF!</definedName>
    <definedName name="_xlnm.Database" localSheetId="12">[18]Invoice!#REF!</definedName>
    <definedName name="_xlnm.Database" localSheetId="2">[18]Invoice!#REF!</definedName>
    <definedName name="_xlnm.Database" localSheetId="1">[18]Invoice!#REF!</definedName>
    <definedName name="_xlnm.Database">[18]Invoice!#REF!</definedName>
    <definedName name="DATE" localSheetId="4">[19]Jan!#REF!</definedName>
    <definedName name="DATE" localSheetId="5">[19]Jan!#REF!</definedName>
    <definedName name="DATE" localSheetId="3">[19]Jan!#REF!</definedName>
    <definedName name="DATE" localSheetId="12">[19]Jan!#REF!</definedName>
    <definedName name="DATE" localSheetId="2">[19]Jan!#REF!</definedName>
    <definedName name="DATE" localSheetId="1">[19]Jan!#REF!</definedName>
    <definedName name="DATE">[19]Jan!#REF!</definedName>
    <definedName name="DEC" localSheetId="4">[16]Backup!#REF!</definedName>
    <definedName name="DEC" localSheetId="5">[16]Backup!#REF!</definedName>
    <definedName name="DEC" localSheetId="3">#REF!</definedName>
    <definedName name="DEC" localSheetId="12">[16]Backup!#REF!</definedName>
    <definedName name="DEC" localSheetId="2">[16]Backup!#REF!</definedName>
    <definedName name="DEC" localSheetId="1">[16]Backup!#REF!</definedName>
    <definedName name="DEC">[16]Backup!#REF!</definedName>
    <definedName name="DECT" localSheetId="4">#REF!</definedName>
    <definedName name="DECT" localSheetId="5">#REF!</definedName>
    <definedName name="DECT" localSheetId="3">#REF!</definedName>
    <definedName name="DECT" localSheetId="12">#REF!</definedName>
    <definedName name="DECT" localSheetId="2">#REF!</definedName>
    <definedName name="DECT" localSheetId="1">#REF!</definedName>
    <definedName name="DECT">#REF!</definedName>
    <definedName name="Demand">[10]Inputs!$D$8</definedName>
    <definedName name="Demand2">[20]Inputs!$D$11</definedName>
    <definedName name="Dis">'[11]Func Study'!$AB$250</definedName>
    <definedName name="DisFac">'[11]Func Dist Factor Table'!$A$11:$G$25</definedName>
    <definedName name="Dist_factor" localSheetId="4">#REF!</definedName>
    <definedName name="Dist_factor" localSheetId="5">#REF!</definedName>
    <definedName name="Dist_factor" localSheetId="3">#REF!</definedName>
    <definedName name="Dist_factor" localSheetId="12">#REF!</definedName>
    <definedName name="Dist_factor" localSheetId="2">#REF!</definedName>
    <definedName name="Dist_factor" localSheetId="1">#REF!</definedName>
    <definedName name="Dist_factor">#REF!</definedName>
    <definedName name="DistPeakMethod" localSheetId="4">[13]Inputs!#REF!</definedName>
    <definedName name="DistPeakMethod" localSheetId="5">[13]Inputs!#REF!</definedName>
    <definedName name="DistPeakMethod" localSheetId="3">[13]Inputs!#REF!</definedName>
    <definedName name="DistPeakMethod" localSheetId="12">[13]Inputs!#REF!</definedName>
    <definedName name="DistPeakMethod" localSheetId="2">[13]Inputs!#REF!</definedName>
    <definedName name="DistPeakMethod" localSheetId="1">[13]Inputs!#REF!</definedName>
    <definedName name="DistPeakMethod">[13]Inputs!#REF!</definedName>
    <definedName name="DUDE" localSheetId="4" hidden="1">#REF!</definedName>
    <definedName name="DUDE" localSheetId="5" hidden="1">#REF!</definedName>
    <definedName name="DUDE" localSheetId="3" hidden="1">#REF!</definedName>
    <definedName name="DUDE" localSheetId="12" hidden="1">#REF!</definedName>
    <definedName name="DUDE" localSheetId="2" hidden="1">#REF!</definedName>
    <definedName name="DUDE" localSheetId="1" hidden="1">#REF!</definedName>
    <definedName name="DUDE" hidden="1">#REF!</definedName>
    <definedName name="energy">[17]Readings!$B$3</definedName>
    <definedName name="Engy">[10]Inputs!$D$9</definedName>
    <definedName name="Engy2">[20]Inputs!$D$12</definedName>
    <definedName name="f101top" localSheetId="4">#REF!</definedName>
    <definedName name="f101top" localSheetId="5">#REF!</definedName>
    <definedName name="f101top" localSheetId="3">#REF!</definedName>
    <definedName name="f101top" localSheetId="12">#REF!</definedName>
    <definedName name="f101top" localSheetId="2">#REF!</definedName>
    <definedName name="f101top" localSheetId="1">#REF!</definedName>
    <definedName name="f101top">#REF!</definedName>
    <definedName name="f104top" localSheetId="4">#REF!</definedName>
    <definedName name="f104top" localSheetId="5">#REF!</definedName>
    <definedName name="f104top" localSheetId="3">#REF!</definedName>
    <definedName name="f104top" localSheetId="12">#REF!</definedName>
    <definedName name="f104top" localSheetId="2">#REF!</definedName>
    <definedName name="f104top" localSheetId="1">#REF!</definedName>
    <definedName name="f104top">#REF!</definedName>
    <definedName name="f138top" localSheetId="4">#REF!</definedName>
    <definedName name="f138top" localSheetId="5">#REF!</definedName>
    <definedName name="f138top" localSheetId="3">#REF!</definedName>
    <definedName name="f138top" localSheetId="12">#REF!</definedName>
    <definedName name="f138top" localSheetId="2">#REF!</definedName>
    <definedName name="f138top" localSheetId="1">#REF!</definedName>
    <definedName name="f138top">#REF!</definedName>
    <definedName name="f140top" localSheetId="4">#REF!</definedName>
    <definedName name="f140top" localSheetId="5">#REF!</definedName>
    <definedName name="f140top" localSheetId="3">#REF!</definedName>
    <definedName name="f140top" localSheetId="12">#REF!</definedName>
    <definedName name="f140top" localSheetId="2">#REF!</definedName>
    <definedName name="f140top" localSheetId="1">#REF!</definedName>
    <definedName name="f140top">#REF!</definedName>
    <definedName name="Factorck">'[11]COS Factor Table'!$O$15:$O$113</definedName>
    <definedName name="FactorType">[14]Variables!$AK$2:$AL$12</definedName>
    <definedName name="FACTP" localSheetId="4">#REF!</definedName>
    <definedName name="FACTP" localSheetId="5">#REF!</definedName>
    <definedName name="FACTP" localSheetId="3">#REF!</definedName>
    <definedName name="FACTP" localSheetId="12">#REF!</definedName>
    <definedName name="FACTP" localSheetId="2">#REF!</definedName>
    <definedName name="FACTP" localSheetId="1">#REF!</definedName>
    <definedName name="FACTP">#REF!</definedName>
    <definedName name="FactSum">'[11]COS Factor Table'!$A$14:$O$113</definedName>
    <definedName name="FEB" localSheetId="4">[16]Backup!#REF!</definedName>
    <definedName name="FEB" localSheetId="5">[16]Backup!#REF!</definedName>
    <definedName name="FEB" localSheetId="3">#REF!</definedName>
    <definedName name="FEB" localSheetId="12">[16]Backup!#REF!</definedName>
    <definedName name="FEB" localSheetId="2">[16]Backup!#REF!</definedName>
    <definedName name="FEB" localSheetId="1">[16]Backup!#REF!</definedName>
    <definedName name="FEB">[16]Backup!#REF!</definedName>
    <definedName name="FEBT" localSheetId="4">#REF!</definedName>
    <definedName name="FEBT" localSheetId="5">#REF!</definedName>
    <definedName name="FEBT" localSheetId="3">#REF!</definedName>
    <definedName name="FEBT" localSheetId="12">#REF!</definedName>
    <definedName name="FEBT" localSheetId="2">#REF!</definedName>
    <definedName name="FEBT" localSheetId="1">#REF!</definedName>
    <definedName name="FEBT">#REF!</definedName>
    <definedName name="FranchiseTax">[15]Variables!$D$26</definedName>
    <definedName name="Func">'[11]Func Factor Table'!$A$10:$H$77</definedName>
    <definedName name="Func_Ftrs" localSheetId="4">#REF!</definedName>
    <definedName name="Func_Ftrs" localSheetId="5">#REF!</definedName>
    <definedName name="Func_Ftrs" localSheetId="3">#REF!</definedName>
    <definedName name="Func_Ftrs" localSheetId="12">#REF!</definedName>
    <definedName name="Func_Ftrs" localSheetId="2">#REF!</definedName>
    <definedName name="Func_Ftrs" localSheetId="1">#REF!</definedName>
    <definedName name="Func_Ftrs">#REF!</definedName>
    <definedName name="Func_GTD_Percents" localSheetId="4">#REF!</definedName>
    <definedName name="Func_GTD_Percents" localSheetId="5">#REF!</definedName>
    <definedName name="Func_GTD_Percents" localSheetId="3">#REF!</definedName>
    <definedName name="Func_GTD_Percents" localSheetId="12">#REF!</definedName>
    <definedName name="Func_GTD_Percents" localSheetId="2">#REF!</definedName>
    <definedName name="Func_GTD_Percents" localSheetId="1">#REF!</definedName>
    <definedName name="Func_GTD_Percents">#REF!</definedName>
    <definedName name="Func_MC" localSheetId="4">#REF!</definedName>
    <definedName name="Func_MC" localSheetId="5">#REF!</definedName>
    <definedName name="Func_MC" localSheetId="3">#REF!</definedName>
    <definedName name="Func_MC" localSheetId="12">#REF!</definedName>
    <definedName name="Func_MC" localSheetId="2">#REF!</definedName>
    <definedName name="Func_MC" localSheetId="1">#REF!</definedName>
    <definedName name="Func_MC">#REF!</definedName>
    <definedName name="Func_Percents" localSheetId="4">#REF!</definedName>
    <definedName name="Func_Percents" localSheetId="5">#REF!</definedName>
    <definedName name="Func_Percents" localSheetId="3">#REF!</definedName>
    <definedName name="Func_Percents" localSheetId="12">#REF!</definedName>
    <definedName name="Func_Percents" localSheetId="2">#REF!</definedName>
    <definedName name="Func_Percents" localSheetId="1">#REF!</definedName>
    <definedName name="Func_Percents">#REF!</definedName>
    <definedName name="Func_Rev_Req1" localSheetId="4">#REF!</definedName>
    <definedName name="Func_Rev_Req1" localSheetId="5">#REF!</definedName>
    <definedName name="Func_Rev_Req1" localSheetId="3">#REF!</definedName>
    <definedName name="Func_Rev_Req1" localSheetId="12">#REF!</definedName>
    <definedName name="Func_Rev_Req1" localSheetId="2">#REF!</definedName>
    <definedName name="Func_Rev_Req1" localSheetId="1">#REF!</definedName>
    <definedName name="Func_Rev_Req1">#REF!</definedName>
    <definedName name="Func_Rev_Req2" localSheetId="4">#REF!</definedName>
    <definedName name="Func_Rev_Req2" localSheetId="5">#REF!</definedName>
    <definedName name="Func_Rev_Req2" localSheetId="3">#REF!</definedName>
    <definedName name="Func_Rev_Req2" localSheetId="12">#REF!</definedName>
    <definedName name="Func_Rev_Req2" localSheetId="2">#REF!</definedName>
    <definedName name="Func_Rev_Req2" localSheetId="1">#REF!</definedName>
    <definedName name="Func_Rev_Req2">#REF!</definedName>
    <definedName name="Func_Revenue" localSheetId="4">#REF!</definedName>
    <definedName name="Func_Revenue" localSheetId="5">#REF!</definedName>
    <definedName name="Func_Revenue" localSheetId="3">#REF!</definedName>
    <definedName name="Func_Revenue" localSheetId="12">#REF!</definedName>
    <definedName name="Func_Revenue" localSheetId="2">#REF!</definedName>
    <definedName name="Func_Revenue" localSheetId="1">#REF!</definedName>
    <definedName name="Func_Revenue">#REF!</definedName>
    <definedName name="Function">'[11]Func Study'!$AB$250</definedName>
    <definedName name="GREATER10MW" localSheetId="4">#REF!</definedName>
    <definedName name="GREATER10MW" localSheetId="5">#REF!</definedName>
    <definedName name="GREATER10MW" localSheetId="3">#REF!</definedName>
    <definedName name="GREATER10MW" localSheetId="12">#REF!</definedName>
    <definedName name="GREATER10MW" localSheetId="2">#REF!</definedName>
    <definedName name="GREATER10MW" localSheetId="1">#REF!</definedName>
    <definedName name="GREATER10MW">#REF!</definedName>
    <definedName name="GTD_Percents" localSheetId="4">#REF!</definedName>
    <definedName name="GTD_Percents" localSheetId="5">#REF!</definedName>
    <definedName name="GTD_Percents" localSheetId="3">#REF!</definedName>
    <definedName name="GTD_Percents" localSheetId="12">#REF!</definedName>
    <definedName name="GTD_Percents" localSheetId="2">#REF!</definedName>
    <definedName name="GTD_Percents" localSheetId="1">#REF!</definedName>
    <definedName name="GTD_Percents">#REF!</definedName>
    <definedName name="HEIGHT" localSheetId="4">#REF!</definedName>
    <definedName name="HEIGHT" localSheetId="5">#REF!</definedName>
    <definedName name="HEIGHT" localSheetId="3">#REF!</definedName>
    <definedName name="HEIGHT" localSheetId="12">#REF!</definedName>
    <definedName name="HEIGHT" localSheetId="2">#REF!</definedName>
    <definedName name="HEIGHT" localSheetId="1">#REF!</definedName>
    <definedName name="HEIGHT">#REF!</definedName>
    <definedName name="ID_0303_RVN_data" localSheetId="4">#REF!</definedName>
    <definedName name="ID_0303_RVN_data" localSheetId="5">#REF!</definedName>
    <definedName name="ID_0303_RVN_data" localSheetId="3">#REF!</definedName>
    <definedName name="ID_0303_RVN_data" localSheetId="12">#REF!</definedName>
    <definedName name="ID_0303_RVN_data" localSheetId="2">#REF!</definedName>
    <definedName name="ID_0303_RVN_data" localSheetId="1">#REF!</definedName>
    <definedName name="ID_0303_RVN_data">#REF!</definedName>
    <definedName name="IDcontractsRVN" localSheetId="4">#REF!</definedName>
    <definedName name="IDcontractsRVN" localSheetId="5">#REF!</definedName>
    <definedName name="IDcontractsRVN" localSheetId="3">#REF!</definedName>
    <definedName name="IDcontractsRVN" localSheetId="12">#REF!</definedName>
    <definedName name="IDcontractsRVN" localSheetId="2">#REF!</definedName>
    <definedName name="IDcontractsRVN" localSheetId="1">#REF!</definedName>
    <definedName name="IDcontractsRVN">#REF!</definedName>
    <definedName name="INDADJ" localSheetId="4">#REF!</definedName>
    <definedName name="INDADJ" localSheetId="5">#REF!</definedName>
    <definedName name="INDADJ" localSheetId="3">#REF!</definedName>
    <definedName name="INDADJ" localSheetId="12">#REF!</definedName>
    <definedName name="INDADJ" localSheetId="2">#REF!</definedName>
    <definedName name="INDADJ" localSheetId="1">#REF!</definedName>
    <definedName name="INDADJ">#REF!</definedName>
    <definedName name="INPUT" localSheetId="4">[21]Summary!#REF!</definedName>
    <definedName name="INPUT" localSheetId="5">[21]Summary!#REF!</definedName>
    <definedName name="INPUT" localSheetId="3">[21]Summary!#REF!</definedName>
    <definedName name="INPUT" localSheetId="12">[21]Summary!#REF!</definedName>
    <definedName name="INPUT" localSheetId="2">[21]Summary!#REF!</definedName>
    <definedName name="INPUT" localSheetId="1">[21]Summary!#REF!</definedName>
    <definedName name="INPUT">[21]Summary!#REF!</definedName>
    <definedName name="Instructions" localSheetId="4">#REF!</definedName>
    <definedName name="Instructions" localSheetId="5">#REF!</definedName>
    <definedName name="Instructions" localSheetId="3">#REF!</definedName>
    <definedName name="Instructions" localSheetId="12">#REF!</definedName>
    <definedName name="Instructions" localSheetId="2">#REF!</definedName>
    <definedName name="Instructions" localSheetId="1">#REF!</definedName>
    <definedName name="Instructions">#REF!</definedName>
    <definedName name="JAN" localSheetId="4">[16]Backup!#REF!</definedName>
    <definedName name="JAN" localSheetId="5">[16]Backup!#REF!</definedName>
    <definedName name="JAN" localSheetId="3">#REF!</definedName>
    <definedName name="JAN" localSheetId="12">[16]Backup!#REF!</definedName>
    <definedName name="JAN" localSheetId="2">[16]Backup!#REF!</definedName>
    <definedName name="JAN" localSheetId="1">[16]Backup!#REF!</definedName>
    <definedName name="JAN">[16]Backup!#REF!</definedName>
    <definedName name="JANT" localSheetId="4">#REF!</definedName>
    <definedName name="JANT" localSheetId="5">#REF!</definedName>
    <definedName name="JANT" localSheetId="3">#REF!</definedName>
    <definedName name="JANT" localSheetId="12">#REF!</definedName>
    <definedName name="JANT" localSheetId="2">#REF!</definedName>
    <definedName name="JANT" localSheetId="1">#REF!</definedName>
    <definedName name="JANT">#REF!</definedName>
    <definedName name="jjj" localSheetId="12">[22]Inputs!$N$18</definedName>
    <definedName name="jjj">[22]Inputs!$N$18</definedName>
    <definedName name="JUL" localSheetId="4">[16]Backup!#REF!</definedName>
    <definedName name="JUL" localSheetId="5">[16]Backup!#REF!</definedName>
    <definedName name="JUL" localSheetId="3">#REF!</definedName>
    <definedName name="JUL" localSheetId="12">[16]Backup!#REF!</definedName>
    <definedName name="JUL" localSheetId="2">[16]Backup!#REF!</definedName>
    <definedName name="JUL" localSheetId="1">[16]Backup!#REF!</definedName>
    <definedName name="JUL">[16]Backup!#REF!</definedName>
    <definedName name="JULT" localSheetId="4">#REF!</definedName>
    <definedName name="JULT" localSheetId="5">#REF!</definedName>
    <definedName name="JULT" localSheetId="3">#REF!</definedName>
    <definedName name="JULT" localSheetId="12">#REF!</definedName>
    <definedName name="JULT" localSheetId="2">#REF!</definedName>
    <definedName name="JULT" localSheetId="1">#REF!</definedName>
    <definedName name="JULT">#REF!</definedName>
    <definedName name="JUN" localSheetId="4">[16]Backup!#REF!</definedName>
    <definedName name="JUN" localSheetId="5">[16]Backup!#REF!</definedName>
    <definedName name="JUN" localSheetId="3">#REF!</definedName>
    <definedName name="JUN" localSheetId="12">[16]Backup!#REF!</definedName>
    <definedName name="JUN" localSheetId="2">[16]Backup!#REF!</definedName>
    <definedName name="JUN" localSheetId="1">[16]Backup!#REF!</definedName>
    <definedName name="JUN">[16]Backup!#REF!</definedName>
    <definedName name="JUNT" localSheetId="4">#REF!</definedName>
    <definedName name="JUNT" localSheetId="5">#REF!</definedName>
    <definedName name="JUNT" localSheetId="3">#REF!</definedName>
    <definedName name="JUNT" localSheetId="12">#REF!</definedName>
    <definedName name="JUNT" localSheetId="2">#REF!</definedName>
    <definedName name="JUNT" localSheetId="1">#REF!</definedName>
    <definedName name="JUNT">#REF!</definedName>
    <definedName name="Jurisdiction">[14]Variables!$AK$15</definedName>
    <definedName name="JurisNumber">[14]Variables!$AL$15</definedName>
    <definedName name="LABORMOD" localSheetId="4">#REF!</definedName>
    <definedName name="LABORMOD" localSheetId="5">#REF!</definedName>
    <definedName name="LABORMOD" localSheetId="3">#REF!</definedName>
    <definedName name="LABORMOD" localSheetId="12">#REF!</definedName>
    <definedName name="LABORMOD" localSheetId="2">#REF!</definedName>
    <definedName name="LABORMOD" localSheetId="1">#REF!</definedName>
    <definedName name="LABORMOD">#REF!</definedName>
    <definedName name="LABORROLL" localSheetId="4">#REF!</definedName>
    <definedName name="LABORROLL" localSheetId="5">#REF!</definedName>
    <definedName name="LABORROLL" localSheetId="3">#REF!</definedName>
    <definedName name="LABORROLL" localSheetId="12">#REF!</definedName>
    <definedName name="LABORROLL" localSheetId="2">#REF!</definedName>
    <definedName name="LABORROLL" localSheetId="1">#REF!</definedName>
    <definedName name="LABORROLL">#REF!</definedName>
    <definedName name="limcount" hidden="1">1</definedName>
    <definedName name="Line_Ext_Credit" localSheetId="4">#REF!</definedName>
    <definedName name="Line_Ext_Credit" localSheetId="5">#REF!</definedName>
    <definedName name="Line_Ext_Credit" localSheetId="3">#REF!</definedName>
    <definedName name="Line_Ext_Credit" localSheetId="12">#REF!</definedName>
    <definedName name="Line_Ext_Credit" localSheetId="2">#REF!</definedName>
    <definedName name="Line_Ext_Credit" localSheetId="1">#REF!</definedName>
    <definedName name="Line_Ext_Credit">#REF!</definedName>
    <definedName name="LinkCos">'[11]JAM Download'!$K$4</definedName>
    <definedName name="LOG" localSheetId="4">[16]Backup!#REF!</definedName>
    <definedName name="LOG" localSheetId="5">[16]Backup!#REF!</definedName>
    <definedName name="LOG" localSheetId="3">[16]Backup!#REF!</definedName>
    <definedName name="LOG" localSheetId="12">[16]Backup!#REF!</definedName>
    <definedName name="LOG" localSheetId="2">[16]Backup!#REF!</definedName>
    <definedName name="LOG" localSheetId="1">[16]Backup!#REF!</definedName>
    <definedName name="LOG">[16]Backup!#REF!</definedName>
    <definedName name="LOSS" localSheetId="4">[16]Backup!#REF!</definedName>
    <definedName name="LOSS" localSheetId="5">[16]Backup!#REF!</definedName>
    <definedName name="LOSS" localSheetId="3">[16]Backup!#REF!</definedName>
    <definedName name="LOSS" localSheetId="12">[16]Backup!#REF!</definedName>
    <definedName name="LOSS" localSheetId="2">[16]Backup!#REF!</definedName>
    <definedName name="LOSS" localSheetId="1">[16]Backup!#REF!</definedName>
    <definedName name="LOSS">[16]Backup!#REF!</definedName>
    <definedName name="MACTIT" localSheetId="4">#REF!</definedName>
    <definedName name="MACTIT" localSheetId="5">#REF!</definedName>
    <definedName name="MACTIT" localSheetId="3">#REF!</definedName>
    <definedName name="MACTIT" localSheetId="12">#REF!</definedName>
    <definedName name="MACTIT" localSheetId="2">#REF!</definedName>
    <definedName name="MACTIT" localSheetId="1">#REF!</definedName>
    <definedName name="MACTIT">#REF!</definedName>
    <definedName name="MAR" localSheetId="4">[16]Backup!#REF!</definedName>
    <definedName name="MAR" localSheetId="5">[16]Backup!#REF!</definedName>
    <definedName name="MAR" localSheetId="3">#REF!</definedName>
    <definedName name="MAR" localSheetId="12">[16]Backup!#REF!</definedName>
    <definedName name="MAR" localSheetId="2">[16]Backup!#REF!</definedName>
    <definedName name="MAR" localSheetId="1">[16]Backup!#REF!</definedName>
    <definedName name="MAR">[16]Backup!#REF!</definedName>
    <definedName name="MART" localSheetId="4">#REF!</definedName>
    <definedName name="MART" localSheetId="5">#REF!</definedName>
    <definedName name="MART" localSheetId="3">#REF!</definedName>
    <definedName name="MART" localSheetId="12">#REF!</definedName>
    <definedName name="MART" localSheetId="2">#REF!</definedName>
    <definedName name="MART" localSheetId="1">#REF!</definedName>
    <definedName name="MART">#REF!</definedName>
    <definedName name="MAY" localSheetId="4">[16]Backup!#REF!</definedName>
    <definedName name="MAY" localSheetId="5">[16]Backup!#REF!</definedName>
    <definedName name="MAY" localSheetId="3">#REF!</definedName>
    <definedName name="MAY" localSheetId="12">[16]Backup!#REF!</definedName>
    <definedName name="MAY" localSheetId="2">[16]Backup!#REF!</definedName>
    <definedName name="MAY" localSheetId="1">[16]Backup!#REF!</definedName>
    <definedName name="MAY">[16]Backup!#REF!</definedName>
    <definedName name="MAYT" localSheetId="4">#REF!</definedName>
    <definedName name="MAYT" localSheetId="5">#REF!</definedName>
    <definedName name="MAYT" localSheetId="3">#REF!</definedName>
    <definedName name="MAYT" localSheetId="12">#REF!</definedName>
    <definedName name="MAYT" localSheetId="2">#REF!</definedName>
    <definedName name="MAYT" localSheetId="1">#REF!</definedName>
    <definedName name="MAYT">#REF!</definedName>
    <definedName name="MCtoREV" localSheetId="4">#REF!</definedName>
    <definedName name="MCtoREV" localSheetId="5">#REF!</definedName>
    <definedName name="MCtoREV" localSheetId="3">#REF!</definedName>
    <definedName name="MCtoREV" localSheetId="12">#REF!</definedName>
    <definedName name="MCtoREV" localSheetId="2">#REF!</definedName>
    <definedName name="MCtoREV" localSheetId="1">#REF!</definedName>
    <definedName name="MCtoREV">#REF!</definedName>
    <definedName name="MEN" localSheetId="4">[1]Jan!#REF!</definedName>
    <definedName name="MEN" localSheetId="5">[1]Jan!#REF!</definedName>
    <definedName name="MEN" localSheetId="3">[1]Jan!#REF!</definedName>
    <definedName name="MEN" localSheetId="12">[1]Jan!#REF!</definedName>
    <definedName name="MEN" localSheetId="2">[1]Jan!#REF!</definedName>
    <definedName name="MEN" localSheetId="1">[1]Jan!#REF!</definedName>
    <definedName name="MEN">[1]Jan!#REF!</definedName>
    <definedName name="Menu_Begin" localSheetId="4">#REF!</definedName>
    <definedName name="Menu_Begin" localSheetId="5">#REF!</definedName>
    <definedName name="Menu_Begin" localSheetId="3">#REF!</definedName>
    <definedName name="Menu_Begin" localSheetId="12">#REF!</definedName>
    <definedName name="Menu_Begin" localSheetId="2">#REF!</definedName>
    <definedName name="Menu_Begin" localSheetId="1">#REF!</definedName>
    <definedName name="Menu_Begin">#REF!</definedName>
    <definedName name="Menu_Caption" localSheetId="4">#REF!</definedName>
    <definedName name="Menu_Caption" localSheetId="5">#REF!</definedName>
    <definedName name="Menu_Caption" localSheetId="3">#REF!</definedName>
    <definedName name="Menu_Caption" localSheetId="12">#REF!</definedName>
    <definedName name="Menu_Caption" localSheetId="2">#REF!</definedName>
    <definedName name="Menu_Caption" localSheetId="1">#REF!</definedName>
    <definedName name="Menu_Caption">#REF!</definedName>
    <definedName name="Menu_Large" localSheetId="4">#REF!</definedName>
    <definedName name="Menu_Large" localSheetId="5">#REF!</definedName>
    <definedName name="Menu_Large" localSheetId="3">#REF!</definedName>
    <definedName name="Menu_Large" localSheetId="12">#REF!</definedName>
    <definedName name="Menu_Large" localSheetId="2">#REF!</definedName>
    <definedName name="Menu_Large" localSheetId="1">#REF!</definedName>
    <definedName name="Menu_Large">#REF!</definedName>
    <definedName name="Menu_Name" localSheetId="4">#REF!</definedName>
    <definedName name="Menu_Name" localSheetId="5">#REF!</definedName>
    <definedName name="Menu_Name" localSheetId="3">#REF!</definedName>
    <definedName name="Menu_Name" localSheetId="12">#REF!</definedName>
    <definedName name="Menu_Name" localSheetId="2">#REF!</definedName>
    <definedName name="Menu_Name" localSheetId="1">#REF!</definedName>
    <definedName name="Menu_Name">#REF!</definedName>
    <definedName name="Menu_OnAction" localSheetId="4">#REF!</definedName>
    <definedName name="Menu_OnAction" localSheetId="5">#REF!</definedName>
    <definedName name="Menu_OnAction" localSheetId="3">#REF!</definedName>
    <definedName name="Menu_OnAction" localSheetId="12">#REF!</definedName>
    <definedName name="Menu_OnAction" localSheetId="2">#REF!</definedName>
    <definedName name="Menu_OnAction" localSheetId="1">#REF!</definedName>
    <definedName name="Menu_OnAction">#REF!</definedName>
    <definedName name="Menu_Parent" localSheetId="4">#REF!</definedName>
    <definedName name="Menu_Parent" localSheetId="5">#REF!</definedName>
    <definedName name="Menu_Parent" localSheetId="3">#REF!</definedName>
    <definedName name="Menu_Parent" localSheetId="12">#REF!</definedName>
    <definedName name="Menu_Parent" localSheetId="2">#REF!</definedName>
    <definedName name="Menu_Parent" localSheetId="1">#REF!</definedName>
    <definedName name="Menu_Parent">#REF!</definedName>
    <definedName name="Menu_Small" localSheetId="4">#REF!</definedName>
    <definedName name="Menu_Small" localSheetId="5">#REF!</definedName>
    <definedName name="Menu_Small" localSheetId="3">#REF!</definedName>
    <definedName name="Menu_Small" localSheetId="12">#REF!</definedName>
    <definedName name="Menu_Small" localSheetId="2">#REF!</definedName>
    <definedName name="Menu_Small" localSheetId="1">#REF!</definedName>
    <definedName name="Menu_Small">#REF!</definedName>
    <definedName name="Method">[10]Inputs!$C$6</definedName>
    <definedName name="MONTH" localSheetId="4">[16]Backup!#REF!</definedName>
    <definedName name="MONTH" localSheetId="5">[16]Backup!#REF!</definedName>
    <definedName name="MONTH" localSheetId="3">[16]Backup!#REF!</definedName>
    <definedName name="MONTH" localSheetId="12">[16]Backup!#REF!</definedName>
    <definedName name="MONTH" localSheetId="2">[16]Backup!#REF!</definedName>
    <definedName name="MONTH" localSheetId="1">[16]Backup!#REF!</definedName>
    <definedName name="MONTH">[16]Backup!#REF!</definedName>
    <definedName name="monthlist">[23]Table!$R$2:$S$13</definedName>
    <definedName name="monthtotals">'[23]WA SBC'!$D$40:$O$40</definedName>
    <definedName name="MTKWH" localSheetId="4">#REF!</definedName>
    <definedName name="MTKWH" localSheetId="5">#REF!</definedName>
    <definedName name="MTKWH" localSheetId="3">#REF!</definedName>
    <definedName name="MTKWH" localSheetId="12">#REF!</definedName>
    <definedName name="MTKWH" localSheetId="2">#REF!</definedName>
    <definedName name="MTKWH" localSheetId="1">#REF!</definedName>
    <definedName name="MTKWH">#REF!</definedName>
    <definedName name="MTR_YR3">[24]Variables!$E$14</definedName>
    <definedName name="MTREV" localSheetId="4">#REF!</definedName>
    <definedName name="MTREV" localSheetId="5">#REF!</definedName>
    <definedName name="MTREV" localSheetId="3">#REF!</definedName>
    <definedName name="MTREV" localSheetId="12">#REF!</definedName>
    <definedName name="MTREV" localSheetId="2">#REF!</definedName>
    <definedName name="MTREV" localSheetId="1">#REF!</definedName>
    <definedName name="MTREV">#REF!</definedName>
    <definedName name="MULT" localSheetId="4">#REF!</definedName>
    <definedName name="MULT" localSheetId="5">#REF!</definedName>
    <definedName name="MULT" localSheetId="3">#REF!</definedName>
    <definedName name="MULT" localSheetId="12">#REF!</definedName>
    <definedName name="MULT" localSheetId="2">#REF!</definedName>
    <definedName name="MULT" localSheetId="1">#REF!</definedName>
    <definedName name="MULT">#REF!</definedName>
    <definedName name="Net_to_Gross_Factor">[11]Inputs!$G$8</definedName>
    <definedName name="NetToGross">[15]Variables!$D$23</definedName>
    <definedName name="NEWMO1" localSheetId="4">[1]Jan!#REF!</definedName>
    <definedName name="NEWMO1" localSheetId="5">[1]Jan!#REF!</definedName>
    <definedName name="NEWMO1" localSheetId="3">[1]Jan!#REF!</definedName>
    <definedName name="NEWMO1" localSheetId="12">[1]Jan!#REF!</definedName>
    <definedName name="NEWMO1" localSheetId="2">[1]Jan!#REF!</definedName>
    <definedName name="NEWMO1" localSheetId="1">[1]Jan!#REF!</definedName>
    <definedName name="NEWMO1">[1]Jan!#REF!</definedName>
    <definedName name="NEWMO2" localSheetId="4">[1]Jan!#REF!</definedName>
    <definedName name="NEWMO2" localSheetId="5">[1]Jan!#REF!</definedName>
    <definedName name="NEWMO2" localSheetId="3">[1]Jan!#REF!</definedName>
    <definedName name="NEWMO2" localSheetId="12">[1]Jan!#REF!</definedName>
    <definedName name="NEWMO2" localSheetId="2">[1]Jan!#REF!</definedName>
    <definedName name="NEWMO2" localSheetId="1">[1]Jan!#REF!</definedName>
    <definedName name="NEWMO2">[1]Jan!#REF!</definedName>
    <definedName name="NEWMONTH" localSheetId="4">[1]Jan!#REF!</definedName>
    <definedName name="NEWMONTH" localSheetId="5">[1]Jan!#REF!</definedName>
    <definedName name="NEWMONTH" localSheetId="3">[1]Jan!#REF!</definedName>
    <definedName name="NEWMONTH" localSheetId="12">[1]Jan!#REF!</definedName>
    <definedName name="NEWMONTH" localSheetId="2">[1]Jan!#REF!</definedName>
    <definedName name="NEWMONTH" localSheetId="1">[1]Jan!#REF!</definedName>
    <definedName name="NEWMONTH">[1]Jan!#REF!</definedName>
    <definedName name="NORMALIZE" localSheetId="4">#REF!</definedName>
    <definedName name="NORMALIZE" localSheetId="5">#REF!</definedName>
    <definedName name="NORMALIZE" localSheetId="3">#REF!</definedName>
    <definedName name="NORMALIZE" localSheetId="12">#REF!</definedName>
    <definedName name="NORMALIZE" localSheetId="2">#REF!</definedName>
    <definedName name="NORMALIZE" localSheetId="1">#REF!</definedName>
    <definedName name="NORMALIZE">#REF!</definedName>
    <definedName name="NOV" localSheetId="4">[16]Backup!#REF!</definedName>
    <definedName name="NOV" localSheetId="5">[16]Backup!#REF!</definedName>
    <definedName name="NOV" localSheetId="3">#REF!</definedName>
    <definedName name="NOV" localSheetId="12">[16]Backup!#REF!</definedName>
    <definedName name="NOV" localSheetId="2">[16]Backup!#REF!</definedName>
    <definedName name="NOV" localSheetId="1">[16]Backup!#REF!</definedName>
    <definedName name="NOV">[16]Backup!#REF!</definedName>
    <definedName name="NOVT" localSheetId="4">#REF!</definedName>
    <definedName name="NOVT" localSheetId="5">#REF!</definedName>
    <definedName name="NOVT" localSheetId="3">#REF!</definedName>
    <definedName name="NOVT" localSheetId="12">#REF!</definedName>
    <definedName name="NOVT" localSheetId="2">#REF!</definedName>
    <definedName name="NOVT" localSheetId="1">#REF!</definedName>
    <definedName name="NOVT">#REF!</definedName>
    <definedName name="NPC" localSheetId="12">[13]Inputs!$N$18</definedName>
    <definedName name="NPC">[13]Inputs!$N$18</definedName>
    <definedName name="NUM" localSheetId="4">#REF!</definedName>
    <definedName name="NUM" localSheetId="5">#REF!</definedName>
    <definedName name="NUM" localSheetId="3">#REF!</definedName>
    <definedName name="NUM" localSheetId="12">#REF!</definedName>
    <definedName name="NUM" localSheetId="2">#REF!</definedName>
    <definedName name="NUM" localSheetId="1">#REF!</definedName>
    <definedName name="NUM">#REF!</definedName>
    <definedName name="OCT" localSheetId="4">[16]Backup!#REF!</definedName>
    <definedName name="OCT" localSheetId="5">[16]Backup!#REF!</definedName>
    <definedName name="OCT" localSheetId="3">#REF!</definedName>
    <definedName name="OCT" localSheetId="12">[16]Backup!#REF!</definedName>
    <definedName name="OCT" localSheetId="2">[16]Backup!#REF!</definedName>
    <definedName name="OCT" localSheetId="1">[16]Backup!#REF!</definedName>
    <definedName name="OCT">[16]Backup!#REF!</definedName>
    <definedName name="OCTT" localSheetId="4">#REF!</definedName>
    <definedName name="OCTT" localSheetId="5">#REF!</definedName>
    <definedName name="OCTT" localSheetId="3">#REF!</definedName>
    <definedName name="OCTT" localSheetId="12">#REF!</definedName>
    <definedName name="OCTT" localSheetId="2">#REF!</definedName>
    <definedName name="OCTT" localSheetId="1">#REF!</definedName>
    <definedName name="OCTT">#REF!</definedName>
    <definedName name="ONE" localSheetId="4">[1]Jan!#REF!</definedName>
    <definedName name="ONE" localSheetId="5">[1]Jan!#REF!</definedName>
    <definedName name="ONE" localSheetId="3">[1]Jan!#REF!</definedName>
    <definedName name="ONE" localSheetId="12">[1]Jan!#REF!</definedName>
    <definedName name="ONE" localSheetId="2">[1]Jan!#REF!</definedName>
    <definedName name="ONE" localSheetId="1">[1]Jan!#REF!</definedName>
    <definedName name="ONE">[1]Jan!#REF!</definedName>
    <definedName name="option">'[25]Dist Misc'!$F$120</definedName>
    <definedName name="Page1" localSheetId="4">#REF!</definedName>
    <definedName name="Page1" localSheetId="5">#REF!</definedName>
    <definedName name="Page1" localSheetId="3">#REF!</definedName>
    <definedName name="Page1" localSheetId="12">#REF!</definedName>
    <definedName name="Page1" localSheetId="2">#REF!</definedName>
    <definedName name="Page1" localSheetId="1">#REF!</definedName>
    <definedName name="Page1">#REF!</definedName>
    <definedName name="Page110" localSheetId="4">#REF!</definedName>
    <definedName name="Page110" localSheetId="5">#REF!</definedName>
    <definedName name="Page110" localSheetId="3">#REF!</definedName>
    <definedName name="Page110" localSheetId="12">#REF!</definedName>
    <definedName name="Page110" localSheetId="2">#REF!</definedName>
    <definedName name="Page110" localSheetId="1">#REF!</definedName>
    <definedName name="Page110">#REF!</definedName>
    <definedName name="Page120" localSheetId="4">#REF!</definedName>
    <definedName name="Page120" localSheetId="5">#REF!</definedName>
    <definedName name="Page120" localSheetId="3">#REF!</definedName>
    <definedName name="Page120" localSheetId="12">#REF!</definedName>
    <definedName name="Page120" localSheetId="2">#REF!</definedName>
    <definedName name="Page120" localSheetId="1">#REF!</definedName>
    <definedName name="Page120">#REF!</definedName>
    <definedName name="Page2" localSheetId="4">#REF!</definedName>
    <definedName name="Page2" localSheetId="5">#REF!</definedName>
    <definedName name="Page2" localSheetId="3">#REF!</definedName>
    <definedName name="Page2" localSheetId="12">#REF!</definedName>
    <definedName name="Page2" localSheetId="2">#REF!</definedName>
    <definedName name="Page2" localSheetId="1">#REF!</definedName>
    <definedName name="Page2">#REF!</definedName>
    <definedName name="PAGE3" localSheetId="4">#REF!</definedName>
    <definedName name="PAGE3" localSheetId="5">#REF!</definedName>
    <definedName name="PAGE3" localSheetId="3">#REF!</definedName>
    <definedName name="PAGE3" localSheetId="12">#REF!</definedName>
    <definedName name="PAGE3" localSheetId="2">#REF!</definedName>
    <definedName name="PAGE3" localSheetId="1">#REF!</definedName>
    <definedName name="PAGE3">#REF!</definedName>
    <definedName name="Page4" localSheetId="4">#REF!</definedName>
    <definedName name="Page4" localSheetId="5">#REF!</definedName>
    <definedName name="Page4" localSheetId="3">#REF!</definedName>
    <definedName name="Page4" localSheetId="12">#REF!</definedName>
    <definedName name="Page4" localSheetId="2">#REF!</definedName>
    <definedName name="Page4" localSheetId="1">#REF!</definedName>
    <definedName name="Page4">#REF!</definedName>
    <definedName name="Page5" localSheetId="4">#REF!</definedName>
    <definedName name="Page5" localSheetId="5">#REF!</definedName>
    <definedName name="Page5" localSheetId="3">#REF!</definedName>
    <definedName name="Page5" localSheetId="12">#REF!</definedName>
    <definedName name="Page5" localSheetId="2">#REF!</definedName>
    <definedName name="Page5" localSheetId="1">#REF!</definedName>
    <definedName name="Page5">#REF!</definedName>
    <definedName name="Page6" localSheetId="4">#REF!</definedName>
    <definedName name="Page6" localSheetId="5">#REF!</definedName>
    <definedName name="Page6" localSheetId="3">#REF!</definedName>
    <definedName name="Page6" localSheetId="12">#REF!</definedName>
    <definedName name="Page6" localSheetId="2">#REF!</definedName>
    <definedName name="Page6" localSheetId="1">#REF!</definedName>
    <definedName name="Page6">#REF!</definedName>
    <definedName name="Page62" localSheetId="4">[26]TransInvest!#REF!</definedName>
    <definedName name="Page62" localSheetId="5">[26]TransInvest!#REF!</definedName>
    <definedName name="Page62" localSheetId="3">[26]TransInvest!#REF!</definedName>
    <definedName name="Page62" localSheetId="12">[26]TransInvest!#REF!</definedName>
    <definedName name="Page62" localSheetId="2">[26]TransInvest!#REF!</definedName>
    <definedName name="Page62" localSheetId="1">[26]TransInvest!#REF!</definedName>
    <definedName name="Page62">[26]TransInvest!#REF!</definedName>
    <definedName name="page65" localSheetId="4">#REF!</definedName>
    <definedName name="page65" localSheetId="5">#REF!</definedName>
    <definedName name="page65" localSheetId="3">#REF!</definedName>
    <definedName name="page65" localSheetId="12">#REF!</definedName>
    <definedName name="page65" localSheetId="2">#REF!</definedName>
    <definedName name="page65" localSheetId="1">#REF!</definedName>
    <definedName name="page65">#REF!</definedName>
    <definedName name="page66" localSheetId="4">#REF!</definedName>
    <definedName name="page66" localSheetId="5">#REF!</definedName>
    <definedName name="page66" localSheetId="3">#REF!</definedName>
    <definedName name="page66" localSheetId="12">#REF!</definedName>
    <definedName name="page66" localSheetId="2">#REF!</definedName>
    <definedName name="page66" localSheetId="1">#REF!</definedName>
    <definedName name="page66">#REF!</definedName>
    <definedName name="page67" localSheetId="4">#REF!</definedName>
    <definedName name="page67" localSheetId="5">#REF!</definedName>
    <definedName name="page67" localSheetId="3">#REF!</definedName>
    <definedName name="page67" localSheetId="12">#REF!</definedName>
    <definedName name="page67" localSheetId="2">#REF!</definedName>
    <definedName name="page67" localSheetId="1">#REF!</definedName>
    <definedName name="page67">#REF!</definedName>
    <definedName name="page68" localSheetId="4">#REF!</definedName>
    <definedName name="page68" localSheetId="5">#REF!</definedName>
    <definedName name="page68" localSheetId="3">#REF!</definedName>
    <definedName name="page68" localSheetId="12">#REF!</definedName>
    <definedName name="page68" localSheetId="2">#REF!</definedName>
    <definedName name="page68" localSheetId="1">#REF!</definedName>
    <definedName name="page68">#REF!</definedName>
    <definedName name="page69" localSheetId="4">#REF!</definedName>
    <definedName name="page69" localSheetId="5">#REF!</definedName>
    <definedName name="page69" localSheetId="3">#REF!</definedName>
    <definedName name="page69" localSheetId="12">#REF!</definedName>
    <definedName name="page69" localSheetId="2">#REF!</definedName>
    <definedName name="page69" localSheetId="1">#REF!</definedName>
    <definedName name="page69">#REF!</definedName>
    <definedName name="Page7" localSheetId="4">#REF!</definedName>
    <definedName name="Page7" localSheetId="5">#REF!</definedName>
    <definedName name="Page7" localSheetId="3">#REF!</definedName>
    <definedName name="Page7" localSheetId="12">#REF!</definedName>
    <definedName name="Page7" localSheetId="2">#REF!</definedName>
    <definedName name="Page7" localSheetId="1">#REF!</definedName>
    <definedName name="Page7">#REF!</definedName>
    <definedName name="page8" localSheetId="4">#REF!</definedName>
    <definedName name="page8" localSheetId="5">#REF!</definedName>
    <definedName name="page8" localSheetId="3">#REF!</definedName>
    <definedName name="page8" localSheetId="12">#REF!</definedName>
    <definedName name="page8" localSheetId="2">#REF!</definedName>
    <definedName name="page8" localSheetId="1">#REF!</definedName>
    <definedName name="page8">#REF!</definedName>
    <definedName name="PALL" localSheetId="4">#REF!</definedName>
    <definedName name="PALL" localSheetId="5">#REF!</definedName>
    <definedName name="PALL" localSheetId="3">#REF!</definedName>
    <definedName name="PALL" localSheetId="12">#REF!</definedName>
    <definedName name="PALL" localSheetId="2">#REF!</definedName>
    <definedName name="PALL" localSheetId="1">#REF!</definedName>
    <definedName name="PALL">#REF!</definedName>
    <definedName name="PBLOCK" localSheetId="4">#REF!</definedName>
    <definedName name="PBLOCK" localSheetId="5">#REF!</definedName>
    <definedName name="PBLOCK" localSheetId="3">#REF!</definedName>
    <definedName name="PBLOCK" localSheetId="12">#REF!</definedName>
    <definedName name="PBLOCK" localSheetId="2">#REF!</definedName>
    <definedName name="PBLOCK" localSheetId="1">#REF!</definedName>
    <definedName name="PBLOCK">#REF!</definedName>
    <definedName name="PBLOCKWZ" localSheetId="4">#REF!</definedName>
    <definedName name="PBLOCKWZ" localSheetId="5">#REF!</definedName>
    <definedName name="PBLOCKWZ" localSheetId="3">#REF!</definedName>
    <definedName name="PBLOCKWZ" localSheetId="12">#REF!</definedName>
    <definedName name="PBLOCKWZ" localSheetId="2">#REF!</definedName>
    <definedName name="PBLOCKWZ" localSheetId="1">#REF!</definedName>
    <definedName name="PBLOCKWZ">#REF!</definedName>
    <definedName name="PCOMP" localSheetId="4">#REF!</definedName>
    <definedName name="PCOMP" localSheetId="5">#REF!</definedName>
    <definedName name="PCOMP" localSheetId="3">#REF!</definedName>
    <definedName name="PCOMP" localSheetId="12">#REF!</definedName>
    <definedName name="PCOMP" localSheetId="2">#REF!</definedName>
    <definedName name="PCOMP" localSheetId="1">#REF!</definedName>
    <definedName name="PCOMP">#REF!</definedName>
    <definedName name="PCOMPOSITES" localSheetId="4">#REF!</definedName>
    <definedName name="PCOMPOSITES" localSheetId="5">#REF!</definedName>
    <definedName name="PCOMPOSITES" localSheetId="3">#REF!</definedName>
    <definedName name="PCOMPOSITES" localSheetId="12">#REF!</definedName>
    <definedName name="PCOMPOSITES" localSheetId="2">#REF!</definedName>
    <definedName name="PCOMPOSITES" localSheetId="1">#REF!</definedName>
    <definedName name="PCOMPOSITES">#REF!</definedName>
    <definedName name="PCOMPWZ" localSheetId="4">#REF!</definedName>
    <definedName name="PCOMPWZ" localSheetId="5">#REF!</definedName>
    <definedName name="PCOMPWZ" localSheetId="3">#REF!</definedName>
    <definedName name="PCOMPWZ" localSheetId="12">#REF!</definedName>
    <definedName name="PCOMPWZ" localSheetId="2">#REF!</definedName>
    <definedName name="PCOMPWZ" localSheetId="1">#REF!</definedName>
    <definedName name="PCOMPWZ">#REF!</definedName>
    <definedName name="PeakMethod">[10]Inputs!$T$5</definedName>
    <definedName name="PMAC" localSheetId="4">[16]Backup!#REF!</definedName>
    <definedName name="PMAC" localSheetId="5">[16]Backup!#REF!</definedName>
    <definedName name="PMAC" localSheetId="3">[16]Backup!#REF!</definedName>
    <definedName name="PMAC" localSheetId="12">[16]Backup!#REF!</definedName>
    <definedName name="PMAC" localSheetId="2">[16]Backup!#REF!</definedName>
    <definedName name="PMAC" localSheetId="1">[16]Backup!#REF!</definedName>
    <definedName name="PMAC">[16]Backup!#REF!</definedName>
    <definedName name="PRESENT" localSheetId="4">#REF!</definedName>
    <definedName name="PRESENT" localSheetId="5">#REF!</definedName>
    <definedName name="PRESENT" localSheetId="3">#REF!</definedName>
    <definedName name="PRESENT" localSheetId="12">#REF!</definedName>
    <definedName name="PRESENT" localSheetId="2">#REF!</definedName>
    <definedName name="PRESENT" localSheetId="1">#REF!</definedName>
    <definedName name="PRESENT">#REF!</definedName>
    <definedName name="PRICCHNG" localSheetId="4">#REF!</definedName>
    <definedName name="PRICCHNG" localSheetId="5">#REF!</definedName>
    <definedName name="PRICCHNG" localSheetId="3">#REF!</definedName>
    <definedName name="PRICCHNG" localSheetId="12">#REF!</definedName>
    <definedName name="PRICCHNG" localSheetId="2">#REF!</definedName>
    <definedName name="PRICCHNG" localSheetId="1">#REF!</definedName>
    <definedName name="PRICCHNG">#REF!</definedName>
    <definedName name="_xlnm.Print_Area" localSheetId="9">'Bill Comp Sch 48 Sec'!$B$2:$K$34</definedName>
    <definedName name="_xlnm.Print_Area" localSheetId="11">'Bill Comparison Ded'!$B$2:$K$34</definedName>
    <definedName name="_xlnm.Print_Area" localSheetId="4">'Bill Comparison Sch 16'!$B$1:$T$38</definedName>
    <definedName name="_xlnm.Print_Area" localSheetId="5">'Bill Comparison Sch 17'!$A$1:$T$39</definedName>
    <definedName name="_xlnm.Print_Area" localSheetId="6">'Bill Comparison Sch 24'!$B$3:$U$35</definedName>
    <definedName name="_xlnm.Print_Area" localSheetId="7">'Bill Comparison Sch 36'!$B$3:$K$44</definedName>
    <definedName name="_xlnm.Print_Area" localSheetId="8">'Bill Comparison Sch 40'!$B$2:$Q$39</definedName>
    <definedName name="_xlnm.Print_Area" localSheetId="10">'Bill Comparison Sch 48 Pri'!$B$2:$K$34</definedName>
    <definedName name="_xlnm.Print_Area" localSheetId="3">'Billing Determinants'!$A$1:$X$1281</definedName>
    <definedName name="_xlnm.Print_Area" localSheetId="12">'Rate Design Low Inc Surcharge'!$A$1:$J$48</definedName>
    <definedName name="_xlnm.Print_Area" localSheetId="13">'Rate Design Low Income Credit'!$A$1:$F$11</definedName>
    <definedName name="_xlnm.Print_Area" localSheetId="2">'Rate Spread combined'!$B$1:$V$49</definedName>
    <definedName name="_xlnm.Print_Area" localSheetId="0">'Rate Spread GRC'!$B$1:$V$49</definedName>
    <definedName name="_xlnm.Print_Area" localSheetId="1">'Rate Spread Sch 92'!$B$1:$AB$49</definedName>
    <definedName name="_xlnm.Print_Titles" localSheetId="3">'Billing Determinants'!$1:$10</definedName>
    <definedName name="PTABLES" localSheetId="4">#REF!</definedName>
    <definedName name="PTABLES" localSheetId="5">#REF!</definedName>
    <definedName name="PTABLES" localSheetId="3">#REF!</definedName>
    <definedName name="PTABLES" localSheetId="12">#REF!</definedName>
    <definedName name="PTABLES" localSheetId="2">#REF!</definedName>
    <definedName name="PTABLES" localSheetId="1">#REF!</definedName>
    <definedName name="PTABLES">#REF!</definedName>
    <definedName name="PTDMOD" localSheetId="4">#REF!</definedName>
    <definedName name="PTDMOD" localSheetId="5">#REF!</definedName>
    <definedName name="PTDMOD" localSheetId="3">#REF!</definedName>
    <definedName name="PTDMOD" localSheetId="12">#REF!</definedName>
    <definedName name="PTDMOD" localSheetId="2">#REF!</definedName>
    <definedName name="PTDMOD" localSheetId="1">#REF!</definedName>
    <definedName name="PTDMOD">#REF!</definedName>
    <definedName name="PTDROLL" localSheetId="4">#REF!</definedName>
    <definedName name="PTDROLL" localSheetId="5">#REF!</definedName>
    <definedName name="PTDROLL" localSheetId="3">#REF!</definedName>
    <definedName name="PTDROLL" localSheetId="12">#REF!</definedName>
    <definedName name="PTDROLL" localSheetId="2">#REF!</definedName>
    <definedName name="PTDROLL" localSheetId="1">#REF!</definedName>
    <definedName name="PTDROLL">#REF!</definedName>
    <definedName name="PTMOD" localSheetId="4">#REF!</definedName>
    <definedName name="PTMOD" localSheetId="5">#REF!</definedName>
    <definedName name="PTMOD" localSheetId="3">#REF!</definedName>
    <definedName name="PTMOD" localSheetId="12">#REF!</definedName>
    <definedName name="PTMOD" localSheetId="2">#REF!</definedName>
    <definedName name="PTMOD" localSheetId="1">#REF!</definedName>
    <definedName name="PTMOD">#REF!</definedName>
    <definedName name="PTROLL" localSheetId="4">#REF!</definedName>
    <definedName name="PTROLL" localSheetId="5">#REF!</definedName>
    <definedName name="PTROLL" localSheetId="3">#REF!</definedName>
    <definedName name="PTROLL" localSheetId="12">#REF!</definedName>
    <definedName name="PTROLL" localSheetId="2">#REF!</definedName>
    <definedName name="PTROLL" localSheetId="1">#REF!</definedName>
    <definedName name="PTROLL">#REF!</definedName>
    <definedName name="PWORKBACK" localSheetId="4">#REF!</definedName>
    <definedName name="PWORKBACK" localSheetId="5">#REF!</definedName>
    <definedName name="PWORKBACK" localSheetId="3">#REF!</definedName>
    <definedName name="PWORKBACK" localSheetId="12">#REF!</definedName>
    <definedName name="PWORKBACK" localSheetId="2">#REF!</definedName>
    <definedName name="PWORKBACK" localSheetId="1">#REF!</definedName>
    <definedName name="PWORKBACK">#REF!</definedName>
    <definedName name="Query1" localSheetId="4">#REF!</definedName>
    <definedName name="Query1" localSheetId="5">#REF!</definedName>
    <definedName name="Query1" localSheetId="3">#REF!</definedName>
    <definedName name="Query1" localSheetId="12">#REF!</definedName>
    <definedName name="Query1" localSheetId="2">#REF!</definedName>
    <definedName name="Query1" localSheetId="1">#REF!</definedName>
    <definedName name="Query1">#REF!</definedName>
    <definedName name="Rates">[27]Codes!$A$1:$C$500</definedName>
    <definedName name="RC_ADJ" localSheetId="4">#REF!</definedName>
    <definedName name="RC_ADJ" localSheetId="5">#REF!</definedName>
    <definedName name="RC_ADJ" localSheetId="3">#REF!</definedName>
    <definedName name="RC_ADJ" localSheetId="12">#REF!</definedName>
    <definedName name="RC_ADJ" localSheetId="2">#REF!</definedName>
    <definedName name="RC_ADJ" localSheetId="1">#REF!</definedName>
    <definedName name="RC_ADJ">#REF!</definedName>
    <definedName name="RESADJ" localSheetId="4">#REF!</definedName>
    <definedName name="RESADJ" localSheetId="5">#REF!</definedName>
    <definedName name="RESADJ" localSheetId="3">#REF!</definedName>
    <definedName name="RESADJ" localSheetId="12">#REF!</definedName>
    <definedName name="RESADJ" localSheetId="2">#REF!</definedName>
    <definedName name="RESADJ" localSheetId="1">#REF!</definedName>
    <definedName name="RESADJ">#REF!</definedName>
    <definedName name="ResourceSupplier">[15]Variables!$D$28</definedName>
    <definedName name="retail_CC" localSheetId="11" hidden="1">{#N/A,#N/A,FALSE,"Loans";#N/A,#N/A,FALSE,"Program Costs";#N/A,#N/A,FALSE,"Measures";#N/A,#N/A,FALSE,"Net Lost Rev";#N/A,#N/A,FALSE,"Incentive"}</definedName>
    <definedName name="retail_CC" localSheetId="5" hidden="1">{#N/A,#N/A,FALSE,"Loans";#N/A,#N/A,FALSE,"Program Costs";#N/A,#N/A,FALSE,"Measures";#N/A,#N/A,FALSE,"Net Lost Rev";#N/A,#N/A,FALSE,"Incentive"}</definedName>
    <definedName name="retail_CC" localSheetId="12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1" hidden="1">{#N/A,#N/A,FALSE,"Loans";#N/A,#N/A,FALSE,"Program Costs";#N/A,#N/A,FALSE,"Measures";#N/A,#N/A,FALSE,"Net Lost Rev";#N/A,#N/A,FALSE,"Incentive"}</definedName>
    <definedName name="retail_CC1" localSheetId="5" hidden="1">{#N/A,#N/A,FALSE,"Loans";#N/A,#N/A,FALSE,"Program Costs";#N/A,#N/A,FALSE,"Measures";#N/A,#N/A,FALSE,"Net Lost Rev";#N/A,#N/A,FALSE,"Incentive"}</definedName>
    <definedName name="retail_CC1" localSheetId="12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4">#REF!</definedName>
    <definedName name="REV_SCHD" localSheetId="5">#REF!</definedName>
    <definedName name="REV_SCHD" localSheetId="3">#REF!</definedName>
    <definedName name="REV_SCHD" localSheetId="12">#REF!</definedName>
    <definedName name="REV_SCHD" localSheetId="2">#REF!</definedName>
    <definedName name="REV_SCHD" localSheetId="1">#REF!</definedName>
    <definedName name="REV_SCHD">#REF!</definedName>
    <definedName name="RevClass">[27]Codes!$F$2:$G$10</definedName>
    <definedName name="Revenue_by_month_take_2" localSheetId="4">#REF!</definedName>
    <definedName name="Revenue_by_month_take_2" localSheetId="5">#REF!</definedName>
    <definedName name="Revenue_by_month_take_2" localSheetId="3">#REF!</definedName>
    <definedName name="Revenue_by_month_take_2" localSheetId="12">#REF!</definedName>
    <definedName name="Revenue_by_month_take_2" localSheetId="2">#REF!</definedName>
    <definedName name="Revenue_by_month_take_2" localSheetId="1">#REF!</definedName>
    <definedName name="Revenue_by_month_take_2">#REF!</definedName>
    <definedName name="RevenueCheck" localSheetId="4">#REF!</definedName>
    <definedName name="RevenueCheck" localSheetId="5">#REF!</definedName>
    <definedName name="RevenueCheck" localSheetId="3">#REF!</definedName>
    <definedName name="RevenueCheck" localSheetId="12">#REF!</definedName>
    <definedName name="RevenueCheck" localSheetId="2">#REF!</definedName>
    <definedName name="RevenueCheck" localSheetId="1">#REF!</definedName>
    <definedName name="RevenueCheck">#REF!</definedName>
    <definedName name="RevReqSettle" localSheetId="4">#REF!</definedName>
    <definedName name="RevReqSettle" localSheetId="5">#REF!</definedName>
    <definedName name="RevReqSettle" localSheetId="3">#REF!</definedName>
    <definedName name="RevReqSettle" localSheetId="12">#REF!</definedName>
    <definedName name="RevReqSettle" localSheetId="2">#REF!</definedName>
    <definedName name="RevReqSettle" localSheetId="1">#REF!</definedName>
    <definedName name="RevReqSettle">#REF!</definedName>
    <definedName name="REVVSTRS" localSheetId="4">#REF!</definedName>
    <definedName name="REVVSTRS" localSheetId="5">#REF!</definedName>
    <definedName name="REVVSTRS" localSheetId="3">#REF!</definedName>
    <definedName name="REVVSTRS" localSheetId="12">#REF!</definedName>
    <definedName name="REVVSTRS" localSheetId="2">#REF!</definedName>
    <definedName name="REVVSTRS" localSheetId="1">#REF!</definedName>
    <definedName name="REVVSTRS">#REF!</definedName>
    <definedName name="RISFORM" localSheetId="4">#REF!</definedName>
    <definedName name="RISFORM" localSheetId="5">#REF!</definedName>
    <definedName name="RISFORM" localSheetId="3">#REF!</definedName>
    <definedName name="RISFORM" localSheetId="12">#REF!</definedName>
    <definedName name="RISFORM" localSheetId="2">#REF!</definedName>
    <definedName name="RISFORM" localSheetId="1">#REF!</definedName>
    <definedName name="RISFORM">#REF!</definedName>
    <definedName name="SCH33CUSTS" localSheetId="4">#REF!</definedName>
    <definedName name="SCH33CUSTS" localSheetId="5">#REF!</definedName>
    <definedName name="SCH33CUSTS" localSheetId="3">#REF!</definedName>
    <definedName name="SCH33CUSTS" localSheetId="12">#REF!</definedName>
    <definedName name="SCH33CUSTS" localSheetId="2">#REF!</definedName>
    <definedName name="SCH33CUSTS" localSheetId="1">#REF!</definedName>
    <definedName name="SCH33CUSTS">#REF!</definedName>
    <definedName name="SCH48ADJ" localSheetId="4">#REF!</definedName>
    <definedName name="SCH48ADJ" localSheetId="5">#REF!</definedName>
    <definedName name="SCH48ADJ" localSheetId="3">#REF!</definedName>
    <definedName name="SCH48ADJ" localSheetId="12">#REF!</definedName>
    <definedName name="SCH48ADJ" localSheetId="2">#REF!</definedName>
    <definedName name="SCH48ADJ" localSheetId="1">#REF!</definedName>
    <definedName name="SCH48ADJ">#REF!</definedName>
    <definedName name="SCH98NOR" localSheetId="4">#REF!</definedName>
    <definedName name="SCH98NOR" localSheetId="5">#REF!</definedName>
    <definedName name="SCH98NOR" localSheetId="3">#REF!</definedName>
    <definedName name="SCH98NOR" localSheetId="12">#REF!</definedName>
    <definedName name="SCH98NOR" localSheetId="2">#REF!</definedName>
    <definedName name="SCH98NOR" localSheetId="1">#REF!</definedName>
    <definedName name="SCH98NOR">#REF!</definedName>
    <definedName name="SCHED47" localSheetId="4">#REF!</definedName>
    <definedName name="SCHED47" localSheetId="5">#REF!</definedName>
    <definedName name="SCHED47" localSheetId="3">#REF!</definedName>
    <definedName name="SCHED47" localSheetId="12">#REF!</definedName>
    <definedName name="SCHED47" localSheetId="2">#REF!</definedName>
    <definedName name="SCHED47" localSheetId="1">#REF!</definedName>
    <definedName name="SCHED47">#REF!</definedName>
    <definedName name="Schedule" localSheetId="12">[13]Inputs!$N$14</definedName>
    <definedName name="Schedule">[13]Inputs!$N$14</definedName>
    <definedName name="se" localSheetId="4">#REF!</definedName>
    <definedName name="se" localSheetId="5">#REF!</definedName>
    <definedName name="se" localSheetId="3">#REF!</definedName>
    <definedName name="se" localSheetId="12">#REF!</definedName>
    <definedName name="se" localSheetId="2">#REF!</definedName>
    <definedName name="se" localSheetId="1">#REF!</definedName>
    <definedName name="se">#REF!</definedName>
    <definedName name="SECOND" localSheetId="4">[1]Jan!#REF!</definedName>
    <definedName name="SECOND" localSheetId="5">[1]Jan!#REF!</definedName>
    <definedName name="SECOND" localSheetId="3">[1]Jan!#REF!</definedName>
    <definedName name="SECOND" localSheetId="12">[1]Jan!#REF!</definedName>
    <definedName name="SECOND" localSheetId="2">[1]Jan!#REF!</definedName>
    <definedName name="SECOND" localSheetId="1">[1]Jan!#REF!</definedName>
    <definedName name="SECOND">[1]Jan!#REF!</definedName>
    <definedName name="SEP" localSheetId="4">[16]Backup!#REF!</definedName>
    <definedName name="SEP" localSheetId="5">[16]Backup!#REF!</definedName>
    <definedName name="SEP" localSheetId="3">#REF!</definedName>
    <definedName name="SEP" localSheetId="12">[16]Backup!#REF!</definedName>
    <definedName name="SEP" localSheetId="2">[16]Backup!#REF!</definedName>
    <definedName name="SEP" localSheetId="1">[16]Backup!#REF!</definedName>
    <definedName name="SEP">[16]Backup!#REF!</definedName>
    <definedName name="SEPT" localSheetId="4">#REF!</definedName>
    <definedName name="SEPT" localSheetId="5">#REF!</definedName>
    <definedName name="SEPT" localSheetId="3">#REF!</definedName>
    <definedName name="SEPT" localSheetId="12">#REF!</definedName>
    <definedName name="SEPT" localSheetId="2">#REF!</definedName>
    <definedName name="SEPT" localSheetId="1">#REF!</definedName>
    <definedName name="SEPT">#REF!</definedName>
    <definedName name="SERVICES_3" localSheetId="4">#REF!</definedName>
    <definedName name="SERVICES_3" localSheetId="5">#REF!</definedName>
    <definedName name="SERVICES_3" localSheetId="3">#REF!</definedName>
    <definedName name="SERVICES_3" localSheetId="12">#REF!</definedName>
    <definedName name="SERVICES_3" localSheetId="2">#REF!</definedName>
    <definedName name="SERVICES_3" localSheetId="1">#REF!</definedName>
    <definedName name="SERVICES_3">#REF!</definedName>
    <definedName name="sg" localSheetId="4">#REF!</definedName>
    <definedName name="sg" localSheetId="5">#REF!</definedName>
    <definedName name="sg" localSheetId="3">#REF!</definedName>
    <definedName name="sg" localSheetId="12">#REF!</definedName>
    <definedName name="sg" localSheetId="2">#REF!</definedName>
    <definedName name="sg" localSheetId="1">#REF!</definedName>
    <definedName name="sg">#REF!</definedName>
    <definedName name="START" localSheetId="4">[1]Jan!#REF!</definedName>
    <definedName name="START" localSheetId="5">[1]Jan!#REF!</definedName>
    <definedName name="START" localSheetId="3">[1]Jan!#REF!</definedName>
    <definedName name="START" localSheetId="12">[1]Jan!#REF!</definedName>
    <definedName name="START" localSheetId="2">[1]Jan!#REF!</definedName>
    <definedName name="START" localSheetId="1">[1]Jan!#REF!</definedName>
    <definedName name="START">[1]Jan!#REF!</definedName>
    <definedName name="SUM_TAB1" localSheetId="4">#REF!</definedName>
    <definedName name="SUM_TAB1" localSheetId="5">#REF!</definedName>
    <definedName name="SUM_TAB1" localSheetId="3">#REF!</definedName>
    <definedName name="SUM_TAB1" localSheetId="12">#REF!</definedName>
    <definedName name="SUM_TAB1" localSheetId="2">#REF!</definedName>
    <definedName name="SUM_TAB1" localSheetId="1">#REF!</definedName>
    <definedName name="SUM_TAB1">#REF!</definedName>
    <definedName name="SUM_TAB2" localSheetId="4">#REF!</definedName>
    <definedName name="SUM_TAB2" localSheetId="5">#REF!</definedName>
    <definedName name="SUM_TAB2" localSheetId="3">#REF!</definedName>
    <definedName name="SUM_TAB2" localSheetId="12">#REF!</definedName>
    <definedName name="SUM_TAB2" localSheetId="2">#REF!</definedName>
    <definedName name="SUM_TAB2" localSheetId="1">#REF!</definedName>
    <definedName name="SUM_TAB2">#REF!</definedName>
    <definedName name="SUM_TAB3" localSheetId="4">#REF!</definedName>
    <definedName name="SUM_TAB3" localSheetId="5">#REF!</definedName>
    <definedName name="SUM_TAB3" localSheetId="3">#REF!</definedName>
    <definedName name="SUM_TAB3" localSheetId="12">#REF!</definedName>
    <definedName name="SUM_TAB3" localSheetId="2">#REF!</definedName>
    <definedName name="SUM_TAB3" localSheetId="1">#REF!</definedName>
    <definedName name="SUM_TAB3">#REF!</definedName>
    <definedName name="TABLE_1" localSheetId="4">#REF!</definedName>
    <definedName name="TABLE_1" localSheetId="5">#REF!</definedName>
    <definedName name="TABLE_1" localSheetId="3">#REF!</definedName>
    <definedName name="TABLE_1" localSheetId="12">#REF!</definedName>
    <definedName name="TABLE_1" localSheetId="2">#REF!</definedName>
    <definedName name="TABLE_1" localSheetId="1">#REF!</definedName>
    <definedName name="TABLE_1">#REF!</definedName>
    <definedName name="TABLE_2" localSheetId="4">#REF!</definedName>
    <definedName name="TABLE_2" localSheetId="5">#REF!</definedName>
    <definedName name="TABLE_2" localSheetId="3">#REF!</definedName>
    <definedName name="TABLE_2" localSheetId="12">#REF!</definedName>
    <definedName name="TABLE_2" localSheetId="2">#REF!</definedName>
    <definedName name="TABLE_2" localSheetId="1">#REF!</definedName>
    <definedName name="TABLE_2">#REF!</definedName>
    <definedName name="TABLE_3" localSheetId="4">#REF!</definedName>
    <definedName name="TABLE_3" localSheetId="5">#REF!</definedName>
    <definedName name="TABLE_3" localSheetId="3">#REF!</definedName>
    <definedName name="TABLE_3" localSheetId="12">#REF!</definedName>
    <definedName name="TABLE_3" localSheetId="2">#REF!</definedName>
    <definedName name="TABLE_3" localSheetId="1">#REF!</definedName>
    <definedName name="TABLE_3">#REF!</definedName>
    <definedName name="TABLE_4" localSheetId="4">#REF!</definedName>
    <definedName name="TABLE_4" localSheetId="5">#REF!</definedName>
    <definedName name="TABLE_4" localSheetId="3">#REF!</definedName>
    <definedName name="TABLE_4" localSheetId="12">#REF!</definedName>
    <definedName name="TABLE_4" localSheetId="2">#REF!</definedName>
    <definedName name="TABLE_4" localSheetId="1">#REF!</definedName>
    <definedName name="TABLE_4">#REF!</definedName>
    <definedName name="TABLE_4_A" localSheetId="4">#REF!</definedName>
    <definedName name="TABLE_4_A" localSheetId="5">#REF!</definedName>
    <definedName name="TABLE_4_A" localSheetId="3">#REF!</definedName>
    <definedName name="TABLE_4_A" localSheetId="12">#REF!</definedName>
    <definedName name="TABLE_4_A" localSheetId="2">#REF!</definedName>
    <definedName name="TABLE_4_A" localSheetId="1">#REF!</definedName>
    <definedName name="TABLE_4_A">#REF!</definedName>
    <definedName name="TABLE_5" localSheetId="4">#REF!</definedName>
    <definedName name="TABLE_5" localSheetId="5">#REF!</definedName>
    <definedName name="TABLE_5" localSheetId="3">#REF!</definedName>
    <definedName name="TABLE_5" localSheetId="12">#REF!</definedName>
    <definedName name="TABLE_5" localSheetId="2">#REF!</definedName>
    <definedName name="TABLE_5" localSheetId="1">#REF!</definedName>
    <definedName name="TABLE_5">#REF!</definedName>
    <definedName name="TABLE_6" localSheetId="4">#REF!</definedName>
    <definedName name="TABLE_6" localSheetId="5">#REF!</definedName>
    <definedName name="TABLE_6" localSheetId="3">#REF!</definedName>
    <definedName name="TABLE_6" localSheetId="12">#REF!</definedName>
    <definedName name="TABLE_6" localSheetId="2">#REF!</definedName>
    <definedName name="TABLE_6" localSheetId="1">#REF!</definedName>
    <definedName name="TABLE_6">#REF!</definedName>
    <definedName name="TABLE_7" localSheetId="4">#REF!</definedName>
    <definedName name="TABLE_7" localSheetId="5">#REF!</definedName>
    <definedName name="TABLE_7" localSheetId="3">#REF!</definedName>
    <definedName name="TABLE_7" localSheetId="12">#REF!</definedName>
    <definedName name="TABLE_7" localSheetId="2">#REF!</definedName>
    <definedName name="TABLE_7" localSheetId="1">#REF!</definedName>
    <definedName name="TABLE_7">#REF!</definedName>
    <definedName name="TABLE1" localSheetId="4">#REF!</definedName>
    <definedName name="TABLE1" localSheetId="5">#REF!</definedName>
    <definedName name="TABLE1" localSheetId="3">#REF!</definedName>
    <definedName name="TABLE1" localSheetId="12">#REF!</definedName>
    <definedName name="TABLE1" localSheetId="2">#REF!</definedName>
    <definedName name="TABLE1" localSheetId="1">#REF!</definedName>
    <definedName name="TABLE1">#REF!</definedName>
    <definedName name="TABLE2" localSheetId="4">#REF!</definedName>
    <definedName name="TABLE2" localSheetId="5">#REF!</definedName>
    <definedName name="TABLE2" localSheetId="3">#REF!</definedName>
    <definedName name="TABLE2" localSheetId="12">#REF!</definedName>
    <definedName name="TABLE2" localSheetId="2">#REF!</definedName>
    <definedName name="TABLE2" localSheetId="1">#REF!</definedName>
    <definedName name="TABLE2">#REF!</definedName>
    <definedName name="TABLEA" localSheetId="4">#REF!</definedName>
    <definedName name="TABLEA" localSheetId="5">#REF!</definedName>
    <definedName name="TABLEA" localSheetId="3">#REF!</definedName>
    <definedName name="TABLEA" localSheetId="12">#REF!</definedName>
    <definedName name="TABLEA" localSheetId="2">'Rate Spread combined'!$B$3:$AI$46</definedName>
    <definedName name="TABLEA" localSheetId="0">'Rate Spread GRC'!$B$3:$AH$46</definedName>
    <definedName name="TABLEA" localSheetId="1">'Rate Spread Sch 92'!$B$3:$AG$46</definedName>
    <definedName name="TABLEA">#REF!</definedName>
    <definedName name="TABLEONE" localSheetId="4">#REF!</definedName>
    <definedName name="TABLEONE" localSheetId="5">#REF!</definedName>
    <definedName name="TABLEONE" localSheetId="3">#REF!</definedName>
    <definedName name="TABLEONE" localSheetId="12">#REF!</definedName>
    <definedName name="TABLEONE" localSheetId="2">#REF!</definedName>
    <definedName name="TABLEONE" localSheetId="1">#REF!</definedName>
    <definedName name="TABLEONE">#REF!</definedName>
    <definedName name="TargetROR">[10]Inputs!$G$29</definedName>
    <definedName name="TDMOD" localSheetId="4">#REF!</definedName>
    <definedName name="TDMOD" localSheetId="5">#REF!</definedName>
    <definedName name="TDMOD" localSheetId="3">#REF!</definedName>
    <definedName name="TDMOD" localSheetId="12">#REF!</definedName>
    <definedName name="TDMOD" localSheetId="2">#REF!</definedName>
    <definedName name="TDMOD" localSheetId="1">#REF!</definedName>
    <definedName name="TDMOD">#REF!</definedName>
    <definedName name="TDROLL" localSheetId="4">#REF!</definedName>
    <definedName name="TDROLL" localSheetId="5">#REF!</definedName>
    <definedName name="TDROLL" localSheetId="3">#REF!</definedName>
    <definedName name="TDROLL" localSheetId="12">#REF!</definedName>
    <definedName name="TDROLL" localSheetId="2">#REF!</definedName>
    <definedName name="TDROLL" localSheetId="1">#REF!</definedName>
    <definedName name="TDROLL">#REF!</definedName>
    <definedName name="TEMPADJ" localSheetId="4">#REF!</definedName>
    <definedName name="TEMPADJ" localSheetId="5">#REF!</definedName>
    <definedName name="TEMPADJ" localSheetId="3">#REF!</definedName>
    <definedName name="TEMPADJ" localSheetId="12">#REF!</definedName>
    <definedName name="TEMPADJ" localSheetId="2">#REF!</definedName>
    <definedName name="TEMPADJ" localSheetId="1">#REF!</definedName>
    <definedName name="TEMPADJ">#REF!</definedName>
    <definedName name="Test" localSheetId="4">#REF!</definedName>
    <definedName name="Test" localSheetId="5">#REF!</definedName>
    <definedName name="Test" localSheetId="3">#REF!</definedName>
    <definedName name="Test" localSheetId="12">#REF!</definedName>
    <definedName name="Test" localSheetId="2">#REF!</definedName>
    <definedName name="Test" localSheetId="1">#REF!</definedName>
    <definedName name="Test">#REF!</definedName>
    <definedName name="Test1" localSheetId="4">#REF!</definedName>
    <definedName name="Test1" localSheetId="5">#REF!</definedName>
    <definedName name="Test1" localSheetId="3">#REF!</definedName>
    <definedName name="Test1" localSheetId="12">#REF!</definedName>
    <definedName name="Test1" localSheetId="2">#REF!</definedName>
    <definedName name="Test1" localSheetId="1">#REF!</definedName>
    <definedName name="Test1">#REF!</definedName>
    <definedName name="Test2" localSheetId="4">#REF!</definedName>
    <definedName name="Test2" localSheetId="5">#REF!</definedName>
    <definedName name="Test2" localSheetId="3">#REF!</definedName>
    <definedName name="Test2" localSheetId="12">#REF!</definedName>
    <definedName name="Test2" localSheetId="2">#REF!</definedName>
    <definedName name="Test2" localSheetId="1">#REF!</definedName>
    <definedName name="Test2">#REF!</definedName>
    <definedName name="Test3" localSheetId="4">#REF!</definedName>
    <definedName name="Test3" localSheetId="5">#REF!</definedName>
    <definedName name="Test3" localSheetId="3">#REF!</definedName>
    <definedName name="Test3" localSheetId="12">#REF!</definedName>
    <definedName name="Test3" localSheetId="2">#REF!</definedName>
    <definedName name="Test3" localSheetId="1">#REF!</definedName>
    <definedName name="Test3">#REF!</definedName>
    <definedName name="Test4" localSheetId="4">#REF!</definedName>
    <definedName name="Test4" localSheetId="5">#REF!</definedName>
    <definedName name="Test4" localSheetId="3">#REF!</definedName>
    <definedName name="Test4" localSheetId="12">#REF!</definedName>
    <definedName name="Test4" localSheetId="2">#REF!</definedName>
    <definedName name="Test4" localSheetId="1">#REF!</definedName>
    <definedName name="Test4">#REF!</definedName>
    <definedName name="Test5" localSheetId="4">#REF!</definedName>
    <definedName name="Test5" localSheetId="5">#REF!</definedName>
    <definedName name="Test5" localSheetId="3">#REF!</definedName>
    <definedName name="Test5" localSheetId="12">#REF!</definedName>
    <definedName name="Test5" localSheetId="2">#REF!</definedName>
    <definedName name="Test5" localSheetId="1">#REF!</definedName>
    <definedName name="Test5">#REF!</definedName>
    <definedName name="TestPeriod">[11]Inputs!$C$5</definedName>
    <definedName name="TotalRateBase">'[11]G+T+D+R+M'!$H$58</definedName>
    <definedName name="TRANSM_2">[28]Transm2!$A$1:$M$461:'[28]10 Yr FC'!$M$47</definedName>
    <definedName name="UAACT115S" localSheetId="4">'[13]Functional Study'!#REF!</definedName>
    <definedName name="UAACT115S" localSheetId="5">'[13]Functional Study'!#REF!</definedName>
    <definedName name="UAACT115S" localSheetId="3">'[13]Functional Study'!#REF!</definedName>
    <definedName name="UAACT115S" localSheetId="12">'[13]Functional Study'!#REF!</definedName>
    <definedName name="UAACT115S" localSheetId="2">'[13]Functional Study'!#REF!</definedName>
    <definedName name="UAACT115S" localSheetId="1">'[13]Functional Study'!#REF!</definedName>
    <definedName name="UAACT115S">'[13]Functional Study'!#REF!</definedName>
    <definedName name="UAcct103">'[11]Func Study'!$AB$1613</definedName>
    <definedName name="UAcct105Dnpg">'[11]Func Study'!$AB$2010</definedName>
    <definedName name="UAcct105S">'[11]Func Study'!$AB$2005</definedName>
    <definedName name="UAcct105Seu">'[11]Func Study'!$AB$2009</definedName>
    <definedName name="UAcct105Snppo">'[11]Func Study'!$AB$2008</definedName>
    <definedName name="UAcct105Snpps">'[11]Func Study'!$AB$2006</definedName>
    <definedName name="UAcct105Snpt">'[11]Func Study'!$AB$2007</definedName>
    <definedName name="UAcct1081390">'[11]Func Study'!$AB$2451</definedName>
    <definedName name="UAcct1081390Rcl">'[11]Func Study'!$AB$2450</definedName>
    <definedName name="UAcct1081399">'[11]Func Study'!$AB$2459</definedName>
    <definedName name="UAcct1081399Rcl">'[11]Func Study'!$AB$2458</definedName>
    <definedName name="UAcct108360">'[11]Func Study'!$AB$2355</definedName>
    <definedName name="UAcct108361">'[11]Func Study'!$AB$2359</definedName>
    <definedName name="UAcct108362">'[11]Func Study'!$AB$2363</definedName>
    <definedName name="UAcct108364">'[11]Func Study'!$AB$2367</definedName>
    <definedName name="UAcct108365">'[11]Func Study'!$AB$2371</definedName>
    <definedName name="UAcct108366">'[11]Func Study'!$AB$2375</definedName>
    <definedName name="UAcct108367">'[11]Func Study'!$AB$2379</definedName>
    <definedName name="UAcct108368">'[11]Func Study'!$AB$2383</definedName>
    <definedName name="UAcct108369">'[11]Func Study'!$AB$2387</definedName>
    <definedName name="UAcct108370">'[11]Func Study'!$AB$2391</definedName>
    <definedName name="UAcct108371">'[11]Func Study'!$AB$2395</definedName>
    <definedName name="UAcct108372">'[11]Func Study'!$AB$2399</definedName>
    <definedName name="UAcct108373">'[11]Func Study'!$AB$2403</definedName>
    <definedName name="UAcct108D">'[11]Func Study'!$AB$2415</definedName>
    <definedName name="UAcct108D00">'[11]Func Study'!$AB$2407</definedName>
    <definedName name="UAcct108Ds">'[11]Func Study'!$AB$2411</definedName>
    <definedName name="UAcct108Ep">'[11]Func Study'!$AB$2327</definedName>
    <definedName name="UAcct108Gpcn">'[11]Func Study'!$AB$2429</definedName>
    <definedName name="UAcct108Gps">'[11]Func Study'!$AB$2425</definedName>
    <definedName name="UAcct108Gpse">'[11]Func Study'!$AB$2431</definedName>
    <definedName name="UAcct108Gpsg">'[11]Func Study'!$AB$2428</definedName>
    <definedName name="UAcct108Gpsgp">'[11]Func Study'!$AB$2426</definedName>
    <definedName name="UAcct108Gpsgu">'[11]Func Study'!$AB$2427</definedName>
    <definedName name="UAcct108Gpso">'[11]Func Study'!$AB$2430</definedName>
    <definedName name="UACCT108GPSSGCH">'[11]Func Study'!$AB$2434</definedName>
    <definedName name="UACCT108GPSSGCT">'[11]Func Study'!$AB$2433</definedName>
    <definedName name="UAcct108Hp">'[11]Func Study'!$AB$2313</definedName>
    <definedName name="UAcct108Mp">'[11]Func Study'!$AB$2444</definedName>
    <definedName name="UAcct108Np">'[11]Func Study'!$AB$2305</definedName>
    <definedName name="UAcct108Op">'[11]Func Study'!$AB$2322</definedName>
    <definedName name="UACCT108OPSSCCT">'[11]Func Study'!$AB$2321</definedName>
    <definedName name="UAcct108Sp">'[11]Func Study'!$AB$2299</definedName>
    <definedName name="UACCT108SPSSGCH">'[11]Func Study'!$AB$2298</definedName>
    <definedName name="UAcct108Tp">'[11]Func Study'!$AB$2346</definedName>
    <definedName name="UAcct111Clg">'[11]Func Study'!$AB$2487</definedName>
    <definedName name="UAcct111Clgsou">'[11]Func Study'!$AB$2485</definedName>
    <definedName name="UAcct111Clh">'[11]Func Study'!$AB$2493</definedName>
    <definedName name="UAcct111Cls">'[11]Func Study'!$AB$2478</definedName>
    <definedName name="UAcct111Ipcn">'[11]Func Study'!$AB$2502</definedName>
    <definedName name="UAcct111Ips">'[11]Func Study'!$AB$2497</definedName>
    <definedName name="UAcct111Ipse">'[11]Func Study'!$AB$2500</definedName>
    <definedName name="UAcct111Ipsg">'[11]Func Study'!$AB$2501</definedName>
    <definedName name="UAcct111Ipsgp">'[11]Func Study'!$AB$2498</definedName>
    <definedName name="UAcct111Ipsgu">'[11]Func Study'!$AB$2499</definedName>
    <definedName name="UAcct111Ipso">'[11]Func Study'!$AB$2506</definedName>
    <definedName name="UACCT111IPSSGCH">'[11]Func Study'!$AB$2505</definedName>
    <definedName name="UACCT111IPSSGCT">'[11]Func Study'!$AB$2504</definedName>
    <definedName name="UAcct114">'[11]Func Study'!$AB$2017</definedName>
    <definedName name="UACCT115" localSheetId="4">'[13]Functional Study'!#REF!</definedName>
    <definedName name="UACCT115" localSheetId="5">'[13]Functional Study'!#REF!</definedName>
    <definedName name="UACCT115" localSheetId="3">'[13]Functional Study'!#REF!</definedName>
    <definedName name="UACCT115" localSheetId="12">'[13]Functional Study'!#REF!</definedName>
    <definedName name="UACCT115" localSheetId="2">'[13]Functional Study'!#REF!</definedName>
    <definedName name="UACCT115" localSheetId="1">'[13]Functional Study'!#REF!</definedName>
    <definedName name="UACCT115">'[13]Functional Study'!#REF!</definedName>
    <definedName name="UACCT115DGP" localSheetId="4">'[13]Functional Study'!#REF!</definedName>
    <definedName name="UACCT115DGP" localSheetId="5">'[13]Functional Study'!#REF!</definedName>
    <definedName name="UACCT115DGP" localSheetId="3">'[13]Functional Study'!#REF!</definedName>
    <definedName name="UACCT115DGP" localSheetId="12">'[13]Functional Study'!#REF!</definedName>
    <definedName name="UACCT115DGP" localSheetId="2">'[13]Functional Study'!#REF!</definedName>
    <definedName name="UACCT115DGP" localSheetId="1">'[13]Functional Study'!#REF!</definedName>
    <definedName name="UACCT115DGP">'[13]Functional Study'!#REF!</definedName>
    <definedName name="UACCT115SG" localSheetId="4">'[13]Functional Study'!#REF!</definedName>
    <definedName name="UACCT115SG" localSheetId="5">'[13]Functional Study'!#REF!</definedName>
    <definedName name="UACCT115SG" localSheetId="3">'[13]Functional Study'!#REF!</definedName>
    <definedName name="UACCT115SG" localSheetId="12">'[13]Functional Study'!#REF!</definedName>
    <definedName name="UACCT115SG" localSheetId="2">'[13]Functional Study'!#REF!</definedName>
    <definedName name="UACCT115SG" localSheetId="1">'[13]Functional Study'!#REF!</definedName>
    <definedName name="UACCT115SG">'[13]Functional Study'!#REF!</definedName>
    <definedName name="UAcct120">'[11]Func Study'!$AB$2021</definedName>
    <definedName name="UAcct124">'[11]Func Study'!$AB$2026</definedName>
    <definedName name="UAcct141">'[11]Func Study'!$AB$2173</definedName>
    <definedName name="UAcct151">'[11]Func Study'!$AB$2049</definedName>
    <definedName name="Uacct151SSECT">'[11]Func Study'!$AB$2047</definedName>
    <definedName name="UAcct154">'[11]Func Study'!$AB$2083</definedName>
    <definedName name="Uacct154SSGCT">'[11]Func Study'!$AB$2080</definedName>
    <definedName name="UAcct163">'[11]Func Study'!$AB$2093</definedName>
    <definedName name="UAcct165">'[11]Func Study'!$AB$2108</definedName>
    <definedName name="UAcct165Gps">'[11]Func Study'!$AB$2104</definedName>
    <definedName name="UAcct182">'[11]Func Study'!$AB$2033</definedName>
    <definedName name="UAcct18222">'[11]Func Study'!$AB$2163</definedName>
    <definedName name="UAcct182M">'[11]Func Study'!$AB$2118</definedName>
    <definedName name="UAcct182MSSGCH">'[11]Func Study'!$AB$2113</definedName>
    <definedName name="UAcct186">'[11]Func Study'!$AB$2041</definedName>
    <definedName name="UAcct1869">'[11]Func Study'!$AB$2168</definedName>
    <definedName name="UAcct186M">'[11]Func Study'!$AB$2129</definedName>
    <definedName name="UAcct190">'[11]Func Study'!$AB$2243</definedName>
    <definedName name="UAcct190Baddebt">'[11]Func Study'!$AB$2237</definedName>
    <definedName name="UAcct190Dop">'[11]Func Study'!$AB$2235</definedName>
    <definedName name="UAcct2281">'[11]Func Study'!$AB$2191</definedName>
    <definedName name="UAcct2282">'[11]Func Study'!$AB$2195</definedName>
    <definedName name="UAcct2283">'[11]Func Study'!$AB$2200</definedName>
    <definedName name="UACCT22841SG">'[11]Func Study'!$AB$2205</definedName>
    <definedName name="UAcct22842">'[11]Func Study'!$AB$2211</definedName>
    <definedName name="UAcct22842Trojd" localSheetId="4">'[10]Func Study'!#REF!</definedName>
    <definedName name="UAcct22842Trojd" localSheetId="5">'[10]Func Study'!#REF!</definedName>
    <definedName name="UAcct22842Trojd" localSheetId="3">'[10]Func Study'!#REF!</definedName>
    <definedName name="UAcct22842Trojd" localSheetId="12">'[10]Func Study'!#REF!</definedName>
    <definedName name="UAcct22842Trojd" localSheetId="2">'[10]Func Study'!#REF!</definedName>
    <definedName name="UAcct22842Trojd" localSheetId="1">'[10]Func Study'!#REF!</definedName>
    <definedName name="UAcct22842Trojd">'[10]Func Study'!#REF!</definedName>
    <definedName name="UAcct235">'[11]Func Study'!$AB$2187</definedName>
    <definedName name="UACCT235CN">'[11]Func Study'!$AB$2186</definedName>
    <definedName name="UAcct252">'[11]Func Study'!$AB$2219</definedName>
    <definedName name="UAcct25316">'[11]Func Study'!$AB$2057</definedName>
    <definedName name="UAcct25317">'[11]Func Study'!$AB$2061</definedName>
    <definedName name="UAcct25318">'[11]Func Study'!$AB$2098</definedName>
    <definedName name="UAcct25319">'[11]Func Study'!$AB$2065</definedName>
    <definedName name="uacct25398">'[11]Func Study'!$AB$2222</definedName>
    <definedName name="UAcct25399">'[11]Func Study'!$AB$2230</definedName>
    <definedName name="UACCT254SO">'[11]Func Study'!$AB$2202</definedName>
    <definedName name="UAcct255">'[11]Func Study'!$AB$2284</definedName>
    <definedName name="UAcct281">'[11]Func Study'!$AB$2249</definedName>
    <definedName name="UAcct282">'[11]Func Study'!$AB$2259</definedName>
    <definedName name="UAcct282Cn">'[11]Func Study'!$AB$2256</definedName>
    <definedName name="UAcct282So">'[11]Func Study'!$AB$2255</definedName>
    <definedName name="UAcct283">'[11]Func Study'!$AB$2271</definedName>
    <definedName name="UAcct283So">'[11]Func Study'!$AB$2265</definedName>
    <definedName name="UAcct301S">'[11]Func Study'!$AB$1964</definedName>
    <definedName name="UAcct301Sg">'[11]Func Study'!$AB$1966</definedName>
    <definedName name="UAcct301So">'[11]Func Study'!$AB$1965</definedName>
    <definedName name="UAcct302S">'[11]Func Study'!$AB$1969</definedName>
    <definedName name="UAcct302Sg">'[11]Func Study'!$AB$1970</definedName>
    <definedName name="UAcct302Sgp">'[11]Func Study'!$AB$1971</definedName>
    <definedName name="UAcct302Sgu">'[11]Func Study'!$AB$1972</definedName>
    <definedName name="UAcct303Cn">'[11]Func Study'!$AB$1980</definedName>
    <definedName name="UAcct303S">'[11]Func Study'!$AB$1976</definedName>
    <definedName name="UAcct303Se">'[11]Func Study'!$AB$1979</definedName>
    <definedName name="UAcct303Sg">'[11]Func Study'!$AB$1977</definedName>
    <definedName name="UAcct303Sgu">'[11]Func Study'!$AB$1981</definedName>
    <definedName name="UAcct303So">'[11]Func Study'!$AB$1978</definedName>
    <definedName name="UACCT303SSGCH">'[11]Func Study'!$AB$1983</definedName>
    <definedName name="UAcct310">'[11]Func Study'!$AB$1414</definedName>
    <definedName name="UAcct310JBG">'[11]Func Study'!$AB$1413</definedName>
    <definedName name="UAcct311">'[11]Func Study'!$AB$1421</definedName>
    <definedName name="UAcct311JBG">'[11]Func Study'!$AB$1420</definedName>
    <definedName name="UAcct312">'[11]Func Study'!$AB$1428</definedName>
    <definedName name="UAcct312JBG">'[11]Func Study'!$AB$1427</definedName>
    <definedName name="UAcct314">'[11]Func Study'!$AB$1435</definedName>
    <definedName name="UAcct314JBG">'[11]Func Study'!$AB$1434</definedName>
    <definedName name="UAcct315">'[11]Func Study'!$AB$1442</definedName>
    <definedName name="UAcct315JBG">'[11]Func Study'!$AB$1441</definedName>
    <definedName name="UAcct316">'[11]Func Study'!$AB$1450</definedName>
    <definedName name="UAcct316JBG">'[11]Func Study'!$AB$1449</definedName>
    <definedName name="UAcct320">'[11]Func Study'!$AB$1466</definedName>
    <definedName name="UAcct321">'[11]Func Study'!$AB$1471</definedName>
    <definedName name="UAcct322">'[11]Func Study'!$AB$1476</definedName>
    <definedName name="UAcct323">'[11]Func Study'!$AB$1481</definedName>
    <definedName name="UAcct324">'[11]Func Study'!$AB$1486</definedName>
    <definedName name="UAcct325">'[11]Func Study'!$AB$1491</definedName>
    <definedName name="UAcct33">'[11]Func Study'!$AB$295</definedName>
    <definedName name="UAcct330">'[11]Func Study'!$AB$1508</definedName>
    <definedName name="UAcct331">'[11]Func Study'!$AB$1513</definedName>
    <definedName name="UAcct332">'[11]Func Study'!$AB$1518</definedName>
    <definedName name="UAcct333">'[11]Func Study'!$AB$1523</definedName>
    <definedName name="UAcct334">'[11]Func Study'!$AB$1528</definedName>
    <definedName name="UAcct335">'[11]Func Study'!$AB$1533</definedName>
    <definedName name="UAcct336">'[11]Func Study'!$AB$1539</definedName>
    <definedName name="UAcct340Dgu">'[11]Func Study'!$AB$1564</definedName>
    <definedName name="UAcct340Sgu">'[11]Func Study'!$AB$1565</definedName>
    <definedName name="UAcct341Dgu">'[11]Func Study'!$AB$1569</definedName>
    <definedName name="UAcct341Sgu">'[11]Func Study'!$AB$1570</definedName>
    <definedName name="UAcct342Dgu">'[11]Func Study'!$AB$1574</definedName>
    <definedName name="UAcct342Sgu">'[11]Func Study'!$AB$1575</definedName>
    <definedName name="UAcct343">'[11]Func Study'!$AB$1584</definedName>
    <definedName name="UAcct344S">'[11]Func Study'!$AB$1587</definedName>
    <definedName name="UAcct344Sgp">'[11]Func Study'!$AB$1588</definedName>
    <definedName name="UAcct345Dgu">'[11]Func Study'!$AB$1594</definedName>
    <definedName name="UAcct345Sgu">'[11]Func Study'!$AB$1595</definedName>
    <definedName name="UAcct346">'[11]Func Study'!$AB$1601</definedName>
    <definedName name="UAcct350">'[11]Func Study'!$AB$1628</definedName>
    <definedName name="UAcct352">'[11]Func Study'!$AB$1635</definedName>
    <definedName name="UAcct353">'[11]Func Study'!$AB$1641</definedName>
    <definedName name="UAcct354">'[11]Func Study'!$AB$1647</definedName>
    <definedName name="UAcct355">'[11]Func Study'!$AB$1654</definedName>
    <definedName name="UAcct356">'[11]Func Study'!$AB$1660</definedName>
    <definedName name="UAcct357">'[11]Func Study'!$AB$1666</definedName>
    <definedName name="UAcct358">'[11]Func Study'!$AB$1672</definedName>
    <definedName name="UAcct359">'[11]Func Study'!$AB$1678</definedName>
    <definedName name="UAcct360">'[11]Func Study'!$AB$1698</definedName>
    <definedName name="UAcct361">'[11]Func Study'!$AB$1704</definedName>
    <definedName name="UAcct362">'[11]Func Study'!$AB$1710</definedName>
    <definedName name="UAcct368">'[11]Func Study'!$AB$1744</definedName>
    <definedName name="UAcct369">'[11]Func Study'!$AB$1751</definedName>
    <definedName name="UAcct370">'[11]Func Study'!$AB$1762</definedName>
    <definedName name="UAcct372A">'[11]Func Study'!$AB$1775</definedName>
    <definedName name="UAcct372Dp">'[11]Func Study'!$AB$1773</definedName>
    <definedName name="UAcct372Ds">'[11]Func Study'!$AB$1774</definedName>
    <definedName name="UAcct373">'[11]Func Study'!$AB$1782</definedName>
    <definedName name="UAcct389Cn">'[11]Func Study'!$AB$1800</definedName>
    <definedName name="UAcct389S">'[11]Func Study'!$AB$1799</definedName>
    <definedName name="UAcct389Sg">'[11]Func Study'!$AB$1802</definedName>
    <definedName name="UAcct389Sgu">'[11]Func Study'!$AB$1801</definedName>
    <definedName name="UAcct389So">'[11]Func Study'!$AB$1803</definedName>
    <definedName name="UAcct390Cn">'[11]Func Study'!$AB$1810</definedName>
    <definedName name="UAcct390JBG">'[11]Func Study'!$AB$1812</definedName>
    <definedName name="UAcct390L">'[11]Func Study'!$AB$1927</definedName>
    <definedName name="UACCT390LRCL">'[11]Func Study'!$AB$1929</definedName>
    <definedName name="UAcct390S">'[11]Func Study'!$AB$1807</definedName>
    <definedName name="UAcct390Sgp">'[11]Func Study'!$AB$1808</definedName>
    <definedName name="UAcct390Sgu">'[11]Func Study'!$AB$1809</definedName>
    <definedName name="UAcct390Sop">'[11]Func Study'!$AB$1811</definedName>
    <definedName name="UAcct390Sou">'[11]Func Study'!$AB$1813</definedName>
    <definedName name="UAcct391Cn">'[11]Func Study'!$AB$1820</definedName>
    <definedName name="UACCT391JBE">'[11]Func Study'!$AB$1825</definedName>
    <definedName name="UAcct391S">'[11]Func Study'!$AB$1817</definedName>
    <definedName name="UAcct391Sg">'[11]Func Study'!$AB$1821</definedName>
    <definedName name="UAcct391Sgp">'[11]Func Study'!$AB$1818</definedName>
    <definedName name="UAcct391Sgu">'[11]Func Study'!$AB$1819</definedName>
    <definedName name="UAcct391So">'[11]Func Study'!$AB$1823</definedName>
    <definedName name="UACCT391SSGCH">'[11]Func Study'!$AB$1824</definedName>
    <definedName name="UAcct392Cn">'[11]Func Study'!$AB$1832</definedName>
    <definedName name="UAcct392L">'[11]Func Study'!$AB$1935</definedName>
    <definedName name="UAcct392Lrcl">'[11]Func Study'!$AB$1937</definedName>
    <definedName name="UAcct392S">'[11]Func Study'!$AB$1829</definedName>
    <definedName name="UAcct392Se">'[11]Func Study'!$AB$1834</definedName>
    <definedName name="UAcct392Sg">'[11]Func Study'!$AB$1831</definedName>
    <definedName name="UAcct392Sgp">'[11]Func Study'!$AB$1835</definedName>
    <definedName name="UAcct392Sgu">'[11]Func Study'!$AB$1833</definedName>
    <definedName name="UAcct392So">'[11]Func Study'!$AB$1830</definedName>
    <definedName name="UACCT392SSGCH">'[11]Func Study'!$AB$1836</definedName>
    <definedName name="UAcct393S">'[11]Func Study'!$AB$1841</definedName>
    <definedName name="UAcct393Sg">'[11]Func Study'!$AB$1845</definedName>
    <definedName name="UAcct393Sgp">'[11]Func Study'!$AB$1842</definedName>
    <definedName name="UAcct393Sgu">'[11]Func Study'!$AB$1843</definedName>
    <definedName name="UAcct393So">'[11]Func Study'!$AB$1844</definedName>
    <definedName name="UACCT393SSGCT">'[11]Func Study'!$AB$1846</definedName>
    <definedName name="UAcct394S">'[11]Func Study'!$AB$1850</definedName>
    <definedName name="UAcct394Se">'[11]Func Study'!$AB$1854</definedName>
    <definedName name="UAcct394Sg">'[11]Func Study'!$AB$1855</definedName>
    <definedName name="UAcct394Sgp">'[11]Func Study'!$AB$1851</definedName>
    <definedName name="UAcct394Sgu">'[11]Func Study'!$AB$1852</definedName>
    <definedName name="UAcct394So">'[11]Func Study'!$AB$1853</definedName>
    <definedName name="UACCT394SSGCH">'[11]Func Study'!$AB$1856</definedName>
    <definedName name="UAcct395S">'[11]Func Study'!$AB$1861</definedName>
    <definedName name="UAcct395Se">'[11]Func Study'!$AB$1865</definedName>
    <definedName name="UAcct395Sg">'[11]Func Study'!$AB$1866</definedName>
    <definedName name="UAcct395Sgp">'[11]Func Study'!$AB$1862</definedName>
    <definedName name="UAcct395Sgu">'[11]Func Study'!$AB$1863</definedName>
    <definedName name="UAcct395So">'[11]Func Study'!$AB$1864</definedName>
    <definedName name="UACCT395SSGCH">'[11]Func Study'!$AB$1867</definedName>
    <definedName name="UAcct396S">'[11]Func Study'!$AB$1872</definedName>
    <definedName name="UAcct396Se">'[11]Func Study'!$AB$1877</definedName>
    <definedName name="UAcct396Sg">'[11]Func Study'!$AB$1874</definedName>
    <definedName name="UAcct396Sgp">'[11]Func Study'!$AB$1873</definedName>
    <definedName name="UAcct396Sgu">'[11]Func Study'!$AB$1876</definedName>
    <definedName name="UAcct396So">'[11]Func Study'!$AB$1875</definedName>
    <definedName name="UACCT396SSGCH">'[11]Func Study'!$AB$1879</definedName>
    <definedName name="UACCT396SSGCT">'[11]Func Study'!$AB$1878</definedName>
    <definedName name="UAcct397Cn">'[11]Func Study'!$AB$1890</definedName>
    <definedName name="UAcct397JBG">'[11]Func Study'!$AB$1893</definedName>
    <definedName name="UAcct397S">'[11]Func Study'!$AB$1886</definedName>
    <definedName name="UAcct397Se">'[11]Func Study'!$AB$1892</definedName>
    <definedName name="UAcct397Sg">'[11]Func Study'!$AB$1891</definedName>
    <definedName name="UAcct397Sgp">'[11]Func Study'!$AB$1887</definedName>
    <definedName name="UAcct397Sgu">'[11]Func Study'!$AB$1888</definedName>
    <definedName name="UAcct397So">'[11]Func Study'!$AB$1889</definedName>
    <definedName name="UAcct398Cn">'[11]Func Study'!$AB$1902</definedName>
    <definedName name="UAcct398S">'[11]Func Study'!$AB$1899</definedName>
    <definedName name="UAcct398Se">'[11]Func Study'!$AB$1904</definedName>
    <definedName name="UAcct398Sg">'[11]Func Study'!$AB$1905</definedName>
    <definedName name="UAcct398Sgp">'[11]Func Study'!$AB$1900</definedName>
    <definedName name="UAcct398Sgu">'[11]Func Study'!$AB$1901</definedName>
    <definedName name="UAcct398So">'[11]Func Study'!$AB$1903</definedName>
    <definedName name="UACCT398SSGCT">'[11]Func Study'!$AB$1906</definedName>
    <definedName name="UAcct399">'[11]Func Study'!$AB$1913</definedName>
    <definedName name="UAcct399G">'[11]Func Study'!$AB$1955</definedName>
    <definedName name="UAcct399L">'[11]Func Study'!$AB$1917</definedName>
    <definedName name="UAcct399Lrcl">'[11]Func Study'!$AB$1919</definedName>
    <definedName name="UAcct403360">'[11]Func Study'!$AB$1090</definedName>
    <definedName name="UAcct403361">'[11]Func Study'!$AB$1091</definedName>
    <definedName name="UAcct403362">'[11]Func Study'!$AB$1092</definedName>
    <definedName name="UAcct403364">'[11]Func Study'!$AB$1094</definedName>
    <definedName name="UAcct403365">'[11]Func Study'!$AB$1095</definedName>
    <definedName name="UAcct403366">'[11]Func Study'!$AB$1096</definedName>
    <definedName name="UAcct403367">'[11]Func Study'!$AB$1097</definedName>
    <definedName name="UAcct403368">'[11]Func Study'!$AB$1098</definedName>
    <definedName name="UAcct403369">'[11]Func Study'!$AB$1099</definedName>
    <definedName name="UAcct403370">'[11]Func Study'!$AB$1100</definedName>
    <definedName name="UAcct403371">'[11]Func Study'!$AB$1101</definedName>
    <definedName name="UAcct403372">'[11]Func Study'!$AB$1102</definedName>
    <definedName name="UAcct403373">'[11]Func Study'!$AB$1103</definedName>
    <definedName name="UAcct403Ep">'[11]Func Study'!$AB$1130</definedName>
    <definedName name="UAcct403Gpcn">'[11]Func Study'!$AB$1111</definedName>
    <definedName name="UAcct403GPDGP">'[11]Func Study'!$AB$1108</definedName>
    <definedName name="UAcct403GPDGU">'[11]Func Study'!$AB$1109</definedName>
    <definedName name="UAcct403GPJBG">'[11]Func Study'!$AB$1115</definedName>
    <definedName name="UAcct403Gps">'[11]Func Study'!$AB$1107</definedName>
    <definedName name="UAcct403Gpsg">'[11]Func Study'!$AB$1112</definedName>
    <definedName name="UAcct403Gpso">'[11]Func Study'!$AB$1113</definedName>
    <definedName name="UAcct403Gv0">'[11]Func Study'!$AB$1121</definedName>
    <definedName name="UAcct403Hp">'[11]Func Study'!$AB$1072</definedName>
    <definedName name="UACCT403JBE">'[11]Func Study'!$AB$1116</definedName>
    <definedName name="UAcct403Mp">'[11]Func Study'!$AB$1125</definedName>
    <definedName name="UAcct403Np">'[11]Func Study'!$AB$1065</definedName>
    <definedName name="UAcct403Op">'[11]Func Study'!$AB$1080</definedName>
    <definedName name="UAcct403OPCAGE">'[11]Func Study'!$AB$1078</definedName>
    <definedName name="UAcct403Sp">'[11]Func Study'!$AB$1061</definedName>
    <definedName name="UAcct403SPJBG">'[11]Func Study'!$AB$1058</definedName>
    <definedName name="UAcct403Tp">'[11]Func Study'!$AB$1087</definedName>
    <definedName name="UAcct404330">'[11]Func Study'!$AB$1177</definedName>
    <definedName name="UACCT404GP">'[11]Func Study'!$AB$1146</definedName>
    <definedName name="UACCT404GPCN">'[11]Func Study'!$AB$1143</definedName>
    <definedName name="UACCT404GPSO">'[11]Func Study'!$AB$1141</definedName>
    <definedName name="UAcct404Ipcn">'[11]Func Study'!$AB$1158</definedName>
    <definedName name="UAcct404IPJBG">'[11]Func Study'!$AB$1163</definedName>
    <definedName name="UAcct404Ips">'[11]Func Study'!$AB$1154</definedName>
    <definedName name="UAcct404Ipse">'[11]Func Study'!$AB$1155</definedName>
    <definedName name="UAcct404Ipsg">'[11]Func Study'!$AB$1156</definedName>
    <definedName name="UAcct404Ipsg1">'[11]Func Study'!$AB$1159</definedName>
    <definedName name="UAcct404Ipsg2">'[11]Func Study'!$AB$1160</definedName>
    <definedName name="UAcct404Ipso">'[11]Func Study'!$AB$1157</definedName>
    <definedName name="UAcct404M">'[11]Func Study'!$AB$1168</definedName>
    <definedName name="UACCT404OP">'[11]Func Study'!$AB$1172</definedName>
    <definedName name="UACCT404SP">'[11]Func Study'!$AB$1151</definedName>
    <definedName name="UAcct405">'[11]Func Study'!$AB$1185</definedName>
    <definedName name="UAcct406">'[11]Func Study'!$AB$1193</definedName>
    <definedName name="UAcct407">'[11]Func Study'!$AB$1202</definedName>
    <definedName name="UAcct408">'[11]Func Study'!$AB$1221</definedName>
    <definedName name="UAcct408S">'[11]Func Study'!$AB$1213</definedName>
    <definedName name="UAcct41010">'[11]Func Study'!$AB$1294</definedName>
    <definedName name="UAcct41011">'[11]Func Study'!$AB$1309</definedName>
    <definedName name="UACCT41020" localSheetId="4">'[12]Functional Study'!#REF!</definedName>
    <definedName name="UACCT41020" localSheetId="5">'[12]Functional Study'!#REF!</definedName>
    <definedName name="UACCT41020" localSheetId="3">'[12]Functional Study'!#REF!</definedName>
    <definedName name="UACCT41020" localSheetId="12">'[12]Functional Study'!#REF!</definedName>
    <definedName name="UACCT41020" localSheetId="2">'[12]Functional Study'!#REF!</definedName>
    <definedName name="UACCT41020" localSheetId="1">'[12]Functional Study'!#REF!</definedName>
    <definedName name="UACCT41020">'[12]Functional Study'!#REF!</definedName>
    <definedName name="UACCT41020BADDEBT" localSheetId="4">'[12]Functional Study'!#REF!</definedName>
    <definedName name="UACCT41020BADDEBT" localSheetId="5">'[12]Functional Study'!#REF!</definedName>
    <definedName name="UACCT41020BADDEBT" localSheetId="3">'[12]Functional Study'!#REF!</definedName>
    <definedName name="UACCT41020BADDEBT" localSheetId="12">'[12]Functional Study'!#REF!</definedName>
    <definedName name="UACCT41020BADDEBT" localSheetId="2">'[12]Functional Study'!#REF!</definedName>
    <definedName name="UACCT41020BADDEBT" localSheetId="1">'[12]Functional Study'!#REF!</definedName>
    <definedName name="UACCT41020BADDEBT">'[12]Functional Study'!#REF!</definedName>
    <definedName name="UACCT41020DITEXP" localSheetId="4">'[12]Functional Study'!#REF!</definedName>
    <definedName name="UACCT41020DITEXP" localSheetId="5">'[12]Functional Study'!#REF!</definedName>
    <definedName name="UACCT41020DITEXP" localSheetId="3">'[12]Functional Study'!#REF!</definedName>
    <definedName name="UACCT41020DITEXP" localSheetId="12">'[12]Functional Study'!#REF!</definedName>
    <definedName name="UACCT41020DITEXP" localSheetId="2">'[12]Functional Study'!#REF!</definedName>
    <definedName name="UACCT41020DITEXP" localSheetId="1">'[12]Functional Study'!#REF!</definedName>
    <definedName name="UACCT41020DITEXP">'[12]Functional Study'!#REF!</definedName>
    <definedName name="UACCT41020DNPU" localSheetId="4">'[12]Functional Study'!#REF!</definedName>
    <definedName name="UACCT41020DNPU" localSheetId="5">'[12]Functional Study'!#REF!</definedName>
    <definedName name="UACCT41020DNPU" localSheetId="3">'[12]Functional Study'!#REF!</definedName>
    <definedName name="UACCT41020DNPU" localSheetId="12">'[12]Functional Study'!#REF!</definedName>
    <definedName name="UACCT41020DNPU" localSheetId="2">'[12]Functional Study'!#REF!</definedName>
    <definedName name="UACCT41020DNPU" localSheetId="1">'[12]Functional Study'!#REF!</definedName>
    <definedName name="UACCT41020DNPU">'[12]Functional Study'!#REF!</definedName>
    <definedName name="UACCT41020S" localSheetId="4">'[12]Functional Study'!#REF!</definedName>
    <definedName name="UACCT41020S" localSheetId="5">'[12]Functional Study'!#REF!</definedName>
    <definedName name="UACCT41020S" localSheetId="3">'[12]Functional Study'!#REF!</definedName>
    <definedName name="UACCT41020S" localSheetId="12">'[12]Functional Study'!#REF!</definedName>
    <definedName name="UACCT41020S" localSheetId="2">'[12]Functional Study'!#REF!</definedName>
    <definedName name="UACCT41020S" localSheetId="1">'[12]Functional Study'!#REF!</definedName>
    <definedName name="UACCT41020S">'[12]Functional Study'!#REF!</definedName>
    <definedName name="UACCT41020SE" localSheetId="4">'[12]Functional Study'!#REF!</definedName>
    <definedName name="UACCT41020SE" localSheetId="5">'[12]Functional Study'!#REF!</definedName>
    <definedName name="UACCT41020SE" localSheetId="3">'[12]Functional Study'!#REF!</definedName>
    <definedName name="UACCT41020SE" localSheetId="12">'[12]Functional Study'!#REF!</definedName>
    <definedName name="UACCT41020SE" localSheetId="2">'[12]Functional Study'!#REF!</definedName>
    <definedName name="UACCT41020SE" localSheetId="1">'[12]Functional Study'!#REF!</definedName>
    <definedName name="UACCT41020SE">'[12]Functional Study'!#REF!</definedName>
    <definedName name="UACCT41020SG" localSheetId="4">'[12]Functional Study'!#REF!</definedName>
    <definedName name="UACCT41020SG" localSheetId="5">'[12]Functional Study'!#REF!</definedName>
    <definedName name="UACCT41020SG" localSheetId="3">'[12]Functional Study'!#REF!</definedName>
    <definedName name="UACCT41020SG" localSheetId="12">'[12]Functional Study'!#REF!</definedName>
    <definedName name="UACCT41020SG" localSheetId="2">'[12]Functional Study'!#REF!</definedName>
    <definedName name="UACCT41020SG" localSheetId="1">'[12]Functional Study'!#REF!</definedName>
    <definedName name="UACCT41020SG">'[12]Functional Study'!#REF!</definedName>
    <definedName name="UACCT41020SGCT" localSheetId="4">'[12]Functional Study'!#REF!</definedName>
    <definedName name="UACCT41020SGCT" localSheetId="5">'[12]Functional Study'!#REF!</definedName>
    <definedName name="UACCT41020SGCT" localSheetId="3">'[12]Functional Study'!#REF!</definedName>
    <definedName name="UACCT41020SGCT" localSheetId="12">'[12]Functional Study'!#REF!</definedName>
    <definedName name="UACCT41020SGCT" localSheetId="2">'[12]Functional Study'!#REF!</definedName>
    <definedName name="UACCT41020SGCT" localSheetId="1">'[12]Functional Study'!#REF!</definedName>
    <definedName name="UACCT41020SGCT">'[12]Functional Study'!#REF!</definedName>
    <definedName name="UACCT41020SGPP" localSheetId="4">'[12]Functional Study'!#REF!</definedName>
    <definedName name="UACCT41020SGPP" localSheetId="5">'[12]Functional Study'!#REF!</definedName>
    <definedName name="UACCT41020SGPP" localSheetId="3">'[12]Functional Study'!#REF!</definedName>
    <definedName name="UACCT41020SGPP" localSheetId="12">'[12]Functional Study'!#REF!</definedName>
    <definedName name="UACCT41020SGPP" localSheetId="2">'[12]Functional Study'!#REF!</definedName>
    <definedName name="UACCT41020SGPP" localSheetId="1">'[12]Functional Study'!#REF!</definedName>
    <definedName name="UACCT41020SGPP">'[12]Functional Study'!#REF!</definedName>
    <definedName name="UACCT41020SO" localSheetId="4">'[12]Functional Study'!#REF!</definedName>
    <definedName name="UACCT41020SO" localSheetId="5">'[12]Functional Study'!#REF!</definedName>
    <definedName name="UACCT41020SO" localSheetId="3">'[12]Functional Study'!#REF!</definedName>
    <definedName name="UACCT41020SO" localSheetId="12">'[12]Functional Study'!#REF!</definedName>
    <definedName name="UACCT41020SO" localSheetId="2">'[12]Functional Study'!#REF!</definedName>
    <definedName name="UACCT41020SO" localSheetId="1">'[12]Functional Study'!#REF!</definedName>
    <definedName name="UACCT41020SO">'[12]Functional Study'!#REF!</definedName>
    <definedName name="UACCT41020TROJP" localSheetId="4">'[12]Functional Study'!#REF!</definedName>
    <definedName name="UACCT41020TROJP" localSheetId="5">'[12]Functional Study'!#REF!</definedName>
    <definedName name="UACCT41020TROJP" localSheetId="3">'[12]Functional Study'!#REF!</definedName>
    <definedName name="UACCT41020TROJP" localSheetId="12">'[12]Functional Study'!#REF!</definedName>
    <definedName name="UACCT41020TROJP" localSheetId="2">'[12]Functional Study'!#REF!</definedName>
    <definedName name="UACCT41020TROJP" localSheetId="1">'[12]Functional Study'!#REF!</definedName>
    <definedName name="UACCT41020TROJP">'[12]Functional Study'!#REF!</definedName>
    <definedName name="UACCT4102SNPD" localSheetId="4">'[12]Functional Study'!#REF!</definedName>
    <definedName name="UACCT4102SNPD" localSheetId="5">'[12]Functional Study'!#REF!</definedName>
    <definedName name="UACCT4102SNPD" localSheetId="3">'[12]Functional Study'!#REF!</definedName>
    <definedName name="UACCT4102SNPD" localSheetId="12">'[12]Functional Study'!#REF!</definedName>
    <definedName name="UACCT4102SNPD" localSheetId="2">'[12]Functional Study'!#REF!</definedName>
    <definedName name="UACCT4102SNPD" localSheetId="1">'[12]Functional Study'!#REF!</definedName>
    <definedName name="UACCT4102SNPD">'[12]Functional Study'!#REF!</definedName>
    <definedName name="UAcct41110">'[11]Func Study'!$AB$1325</definedName>
    <definedName name="UAcct41111" localSheetId="4">'[12]Functional Study'!#REF!</definedName>
    <definedName name="UAcct41111" localSheetId="5">'[12]Functional Study'!#REF!</definedName>
    <definedName name="UAcct41111" localSheetId="3">'[12]Functional Study'!#REF!</definedName>
    <definedName name="UAcct41111" localSheetId="12">'[12]Functional Study'!#REF!</definedName>
    <definedName name="UAcct41111" localSheetId="2">'[12]Functional Study'!#REF!</definedName>
    <definedName name="UAcct41111" localSheetId="1">'[12]Functional Study'!#REF!</definedName>
    <definedName name="UAcct41111">'[12]Functional Study'!#REF!</definedName>
    <definedName name="UAcct41111Baddebt" localSheetId="4">'[12]Functional Study'!#REF!</definedName>
    <definedName name="UAcct41111Baddebt" localSheetId="5">'[12]Functional Study'!#REF!</definedName>
    <definedName name="UAcct41111Baddebt" localSheetId="3">'[12]Functional Study'!#REF!</definedName>
    <definedName name="UAcct41111Baddebt" localSheetId="12">'[12]Functional Study'!#REF!</definedName>
    <definedName name="UAcct41111Baddebt" localSheetId="2">'[12]Functional Study'!#REF!</definedName>
    <definedName name="UAcct41111Baddebt" localSheetId="1">'[12]Functional Study'!#REF!</definedName>
    <definedName name="UAcct41111Baddebt">'[12]Functional Study'!#REF!</definedName>
    <definedName name="UAcct41111Dgp" localSheetId="4">'[12]Functional Study'!#REF!</definedName>
    <definedName name="UAcct41111Dgp" localSheetId="5">'[12]Functional Study'!#REF!</definedName>
    <definedName name="UAcct41111Dgp" localSheetId="3">'[12]Functional Study'!#REF!</definedName>
    <definedName name="UAcct41111Dgp" localSheetId="12">'[12]Functional Study'!#REF!</definedName>
    <definedName name="UAcct41111Dgp" localSheetId="2">'[12]Functional Study'!#REF!</definedName>
    <definedName name="UAcct41111Dgp" localSheetId="1">'[12]Functional Study'!#REF!</definedName>
    <definedName name="UAcct41111Dgp">'[12]Functional Study'!#REF!</definedName>
    <definedName name="UAcct41111Dgu" localSheetId="4">'[12]Functional Study'!#REF!</definedName>
    <definedName name="UAcct41111Dgu" localSheetId="5">'[12]Functional Study'!#REF!</definedName>
    <definedName name="UAcct41111Dgu" localSheetId="3">'[12]Functional Study'!#REF!</definedName>
    <definedName name="UAcct41111Dgu" localSheetId="12">'[12]Functional Study'!#REF!</definedName>
    <definedName name="UAcct41111Dgu" localSheetId="2">'[12]Functional Study'!#REF!</definedName>
    <definedName name="UAcct41111Dgu" localSheetId="1">'[12]Functional Study'!#REF!</definedName>
    <definedName name="UAcct41111Dgu">'[12]Functional Study'!#REF!</definedName>
    <definedName name="UAcct41111Ditexp" localSheetId="4">'[12]Functional Study'!#REF!</definedName>
    <definedName name="UAcct41111Ditexp" localSheetId="5">'[12]Functional Study'!#REF!</definedName>
    <definedName name="UAcct41111Ditexp" localSheetId="3">'[12]Functional Study'!#REF!</definedName>
    <definedName name="UAcct41111Ditexp" localSheetId="12">'[12]Functional Study'!#REF!</definedName>
    <definedName name="UAcct41111Ditexp" localSheetId="2">'[12]Functional Study'!#REF!</definedName>
    <definedName name="UAcct41111Ditexp" localSheetId="1">'[12]Functional Study'!#REF!</definedName>
    <definedName name="UAcct41111Ditexp">'[12]Functional Study'!#REF!</definedName>
    <definedName name="UAcct41111Dnpp" localSheetId="4">'[12]Functional Study'!#REF!</definedName>
    <definedName name="UAcct41111Dnpp" localSheetId="5">'[12]Functional Study'!#REF!</definedName>
    <definedName name="UAcct41111Dnpp" localSheetId="3">'[12]Functional Study'!#REF!</definedName>
    <definedName name="UAcct41111Dnpp" localSheetId="12">'[12]Functional Study'!#REF!</definedName>
    <definedName name="UAcct41111Dnpp" localSheetId="2">'[12]Functional Study'!#REF!</definedName>
    <definedName name="UAcct41111Dnpp" localSheetId="1">'[12]Functional Study'!#REF!</definedName>
    <definedName name="UAcct41111Dnpp">'[12]Functional Study'!#REF!</definedName>
    <definedName name="UAcct41111Dnptp" localSheetId="4">'[12]Functional Study'!#REF!</definedName>
    <definedName name="UAcct41111Dnptp" localSheetId="5">'[12]Functional Study'!#REF!</definedName>
    <definedName name="UAcct41111Dnptp" localSheetId="3">'[12]Functional Study'!#REF!</definedName>
    <definedName name="UAcct41111Dnptp" localSheetId="12">'[12]Functional Study'!#REF!</definedName>
    <definedName name="UAcct41111Dnptp" localSheetId="2">'[12]Functional Study'!#REF!</definedName>
    <definedName name="UAcct41111Dnptp" localSheetId="1">'[12]Functional Study'!#REF!</definedName>
    <definedName name="UAcct41111Dnptp">'[12]Functional Study'!#REF!</definedName>
    <definedName name="UAcct41111S" localSheetId="4">'[12]Functional Study'!#REF!</definedName>
    <definedName name="UAcct41111S" localSheetId="5">'[12]Functional Study'!#REF!</definedName>
    <definedName name="UAcct41111S" localSheetId="3">'[12]Functional Study'!#REF!</definedName>
    <definedName name="UAcct41111S" localSheetId="12">'[12]Functional Study'!#REF!</definedName>
    <definedName name="UAcct41111S" localSheetId="2">'[12]Functional Study'!#REF!</definedName>
    <definedName name="UAcct41111S" localSheetId="1">'[12]Functional Study'!#REF!</definedName>
    <definedName name="UAcct41111S">'[12]Functional Study'!#REF!</definedName>
    <definedName name="UAcct41111Se" localSheetId="4">'[12]Functional Study'!#REF!</definedName>
    <definedName name="UAcct41111Se" localSheetId="5">'[12]Functional Study'!#REF!</definedName>
    <definedName name="UAcct41111Se" localSheetId="3">'[12]Functional Study'!#REF!</definedName>
    <definedName name="UAcct41111Se" localSheetId="12">'[12]Functional Study'!#REF!</definedName>
    <definedName name="UAcct41111Se" localSheetId="2">'[12]Functional Study'!#REF!</definedName>
    <definedName name="UAcct41111Se" localSheetId="1">'[12]Functional Study'!#REF!</definedName>
    <definedName name="UAcct41111Se">'[12]Functional Study'!#REF!</definedName>
    <definedName name="UAcct41111Sg" localSheetId="4">'[12]Functional Study'!#REF!</definedName>
    <definedName name="UAcct41111Sg" localSheetId="5">'[12]Functional Study'!#REF!</definedName>
    <definedName name="UAcct41111Sg" localSheetId="3">'[12]Functional Study'!#REF!</definedName>
    <definedName name="UAcct41111Sg" localSheetId="12">'[12]Functional Study'!#REF!</definedName>
    <definedName name="UAcct41111Sg" localSheetId="2">'[12]Functional Study'!#REF!</definedName>
    <definedName name="UAcct41111Sg" localSheetId="1">'[12]Functional Study'!#REF!</definedName>
    <definedName name="UAcct41111Sg">'[12]Functional Study'!#REF!</definedName>
    <definedName name="UAcct41111Sgpp" localSheetId="4">'[12]Functional Study'!#REF!</definedName>
    <definedName name="UAcct41111Sgpp" localSheetId="5">'[12]Functional Study'!#REF!</definedName>
    <definedName name="UAcct41111Sgpp" localSheetId="3">'[12]Functional Study'!#REF!</definedName>
    <definedName name="UAcct41111Sgpp" localSheetId="12">'[12]Functional Study'!#REF!</definedName>
    <definedName name="UAcct41111Sgpp" localSheetId="2">'[12]Functional Study'!#REF!</definedName>
    <definedName name="UAcct41111Sgpp" localSheetId="1">'[12]Functional Study'!#REF!</definedName>
    <definedName name="UAcct41111Sgpp">'[12]Functional Study'!#REF!</definedName>
    <definedName name="UAcct41111So" localSheetId="4">'[12]Functional Study'!#REF!</definedName>
    <definedName name="UAcct41111So" localSheetId="5">'[12]Functional Study'!#REF!</definedName>
    <definedName name="UAcct41111So" localSheetId="3">'[12]Functional Study'!#REF!</definedName>
    <definedName name="UAcct41111So" localSheetId="12">'[12]Functional Study'!#REF!</definedName>
    <definedName name="UAcct41111So" localSheetId="2">'[12]Functional Study'!#REF!</definedName>
    <definedName name="UAcct41111So" localSheetId="1">'[12]Functional Study'!#REF!</definedName>
    <definedName name="UAcct41111So">'[12]Functional Study'!#REF!</definedName>
    <definedName name="UAcct41111Trojp" localSheetId="4">'[12]Functional Study'!#REF!</definedName>
    <definedName name="UAcct41111Trojp" localSheetId="5">'[12]Functional Study'!#REF!</definedName>
    <definedName name="UAcct41111Trojp" localSheetId="3">'[12]Functional Study'!#REF!</definedName>
    <definedName name="UAcct41111Trojp" localSheetId="12">'[12]Functional Study'!#REF!</definedName>
    <definedName name="UAcct41111Trojp" localSheetId="2">'[12]Functional Study'!#REF!</definedName>
    <definedName name="UAcct41111Trojp" localSheetId="1">'[12]Functional Study'!#REF!</definedName>
    <definedName name="UAcct41111Trojp">'[12]Functional Study'!#REF!</definedName>
    <definedName name="UAcct41140">'[11]Func Study'!$AB$1232</definedName>
    <definedName name="UAcct41141">'[11]Func Study'!$AB$1237</definedName>
    <definedName name="UAcct41160">'[11]Func Study'!$AB$369</definedName>
    <definedName name="UAcct41170">'[11]Func Study'!$AB$374</definedName>
    <definedName name="UAcct4118">'[11]Func Study'!$AB$378</definedName>
    <definedName name="UAcct41181">'[11]Func Study'!$AB$381</definedName>
    <definedName name="UAcct4194">'[11]Func Study'!$AB$385</definedName>
    <definedName name="UAcct421">'[11]Func Study'!$AB$394</definedName>
    <definedName name="UAcct4311">'[11]Func Study'!$AB$401</definedName>
    <definedName name="UAcct442Se">'[11]Func Study'!$AB$259</definedName>
    <definedName name="UAcct442Sg">'[11]Func Study'!$AB$260</definedName>
    <definedName name="UAcct447">'[11]Func Study'!$AB$281</definedName>
    <definedName name="UAcct447CAEE" localSheetId="4">'[9]Func Study'!#REF!</definedName>
    <definedName name="UAcct447CAEE" localSheetId="5">'[9]Func Study'!#REF!</definedName>
    <definedName name="UAcct447CAEE" localSheetId="3">'[9]Func Study'!#REF!</definedName>
    <definedName name="UAcct447CAEE" localSheetId="12">'[9]Func Study'!#REF!</definedName>
    <definedName name="UAcct447CAEE" localSheetId="2">'[9]Func Study'!#REF!</definedName>
    <definedName name="UAcct447CAEE" localSheetId="1">'[9]Func Study'!#REF!</definedName>
    <definedName name="UAcct447CAEE">'[9]Func Study'!#REF!</definedName>
    <definedName name="UAcct447CAGE" localSheetId="4">'[9]Func Study'!#REF!</definedName>
    <definedName name="UAcct447CAGE" localSheetId="5">'[9]Func Study'!#REF!</definedName>
    <definedName name="UAcct447CAGE" localSheetId="3">'[9]Func Study'!#REF!</definedName>
    <definedName name="UAcct447CAGE" localSheetId="12">'[9]Func Study'!#REF!</definedName>
    <definedName name="UAcct447CAGE" localSheetId="2">'[9]Func Study'!#REF!</definedName>
    <definedName name="UAcct447CAGE" localSheetId="1">'[9]Func Study'!#REF!</definedName>
    <definedName name="UAcct447CAGE">'[9]Func Study'!#REF!</definedName>
    <definedName name="UAcct447Dgu" localSheetId="4">'[10]Func Study'!#REF!</definedName>
    <definedName name="UAcct447Dgu" localSheetId="5">'[10]Func Study'!#REF!</definedName>
    <definedName name="UAcct447Dgu" localSheetId="3">'[10]Func Study'!#REF!</definedName>
    <definedName name="UAcct447Dgu" localSheetId="12">'[10]Func Study'!#REF!</definedName>
    <definedName name="UAcct447Dgu" localSheetId="2">'[10]Func Study'!#REF!</definedName>
    <definedName name="UAcct447Dgu" localSheetId="1">'[10]Func Study'!#REF!</definedName>
    <definedName name="UAcct447Dgu">'[10]Func Study'!#REF!</definedName>
    <definedName name="UACCT447NPC">'[11]Func Study'!$AB$289</definedName>
    <definedName name="UACCT447NPCCAEW">'[11]Func Study'!$AB$286</definedName>
    <definedName name="UACCT447NPCCAGW">'[11]Func Study'!$AB$287</definedName>
    <definedName name="UACCT447NPCDGP">'[11]Func Study'!$AB$288</definedName>
    <definedName name="UAcct447S">'[11]Func Study'!$AB$280</definedName>
    <definedName name="UAcct448S">'[11]Func Study'!$AB$274</definedName>
    <definedName name="UAcct448So">'[11]Func Study'!$AB$275</definedName>
    <definedName name="UAcct449">'[11]Func Study'!$AB$294</definedName>
    <definedName name="UAcct450">'[11]Func Study'!$AB$304</definedName>
    <definedName name="UAcct450S">'[11]Func Study'!$AB$302</definedName>
    <definedName name="UAcct450So">'[11]Func Study'!$AB$303</definedName>
    <definedName name="UAcct451S">'[11]Func Study'!$AB$307</definedName>
    <definedName name="UAcct451Sg">'[11]Func Study'!$AB$308</definedName>
    <definedName name="UAcct451So">'[11]Func Study'!$AB$309</definedName>
    <definedName name="UAcct453">'[11]Func Study'!$AB$315</definedName>
    <definedName name="UAcct453CAGE" localSheetId="4">'[9]Func Study'!#REF!</definedName>
    <definedName name="UAcct453CAGE" localSheetId="5">'[9]Func Study'!#REF!</definedName>
    <definedName name="UAcct453CAGE" localSheetId="3">'[9]Func Study'!#REF!</definedName>
    <definedName name="UAcct453CAGE" localSheetId="12">'[9]Func Study'!#REF!</definedName>
    <definedName name="UAcct453CAGE" localSheetId="2">'[9]Func Study'!#REF!</definedName>
    <definedName name="UAcct453CAGE" localSheetId="1">'[9]Func Study'!#REF!</definedName>
    <definedName name="UAcct453CAGE">'[9]Func Study'!#REF!</definedName>
    <definedName name="UAcct453CAGW" localSheetId="4">'[9]Func Study'!#REF!</definedName>
    <definedName name="UAcct453CAGW" localSheetId="5">'[9]Func Study'!#REF!</definedName>
    <definedName name="UAcct453CAGW" localSheetId="3">'[9]Func Study'!#REF!</definedName>
    <definedName name="UAcct453CAGW" localSheetId="12">'[9]Func Study'!#REF!</definedName>
    <definedName name="UAcct453CAGW" localSheetId="2">'[9]Func Study'!#REF!</definedName>
    <definedName name="UAcct453CAGW" localSheetId="1">'[9]Func Study'!#REF!</definedName>
    <definedName name="UAcct453CAGW">'[9]Func Study'!#REF!</definedName>
    <definedName name="UAcct454">'[11]Func Study'!$AB$322</definedName>
    <definedName name="UAcct454JBG">'[11]Func Study'!$AB$319</definedName>
    <definedName name="UAcct454S">'[11]Func Study'!$AB$318</definedName>
    <definedName name="UAcct454Sg">'[11]Func Study'!$AB$320</definedName>
    <definedName name="UAcct454So">'[11]Func Study'!$AB$321</definedName>
    <definedName name="UAcct456">'[11]Func Study'!$AB$332</definedName>
    <definedName name="UAcct456CAEW">'[11]Func Study'!$AB$331</definedName>
    <definedName name="UAcct456S">'[11]Func Study'!$AB$325</definedName>
    <definedName name="UAcct456So">'[11]Func Study'!$AB$329</definedName>
    <definedName name="UAcct500">'[11]Func Study'!$AB$416</definedName>
    <definedName name="UAcct500JBG">'[11]Func Study'!$AB$414</definedName>
    <definedName name="UAcct501">'[11]Func Study'!$AB$423</definedName>
    <definedName name="UAcct501CAEW">'[11]Func Study'!$AB$420</definedName>
    <definedName name="UAcct501JBE">'[11]Func Study'!$AB$421</definedName>
    <definedName name="UACCT501NPCCAEW">'[11]Func Study'!$AB$426</definedName>
    <definedName name="UAcct502">'[11]Func Study'!$AB$433</definedName>
    <definedName name="UAcct502CAGE">'[11]Func Study'!$AB$431</definedName>
    <definedName name="UAcct502JBG" localSheetId="4">'[9]Func Study'!#REF!</definedName>
    <definedName name="UAcct502JBG" localSheetId="5">'[9]Func Study'!#REF!</definedName>
    <definedName name="UAcct502JBG" localSheetId="3">'[9]Func Study'!#REF!</definedName>
    <definedName name="UAcct502JBG" localSheetId="12">'[9]Func Study'!#REF!</definedName>
    <definedName name="UAcct502JBG" localSheetId="2">'[9]Func Study'!#REF!</definedName>
    <definedName name="UAcct502JBG" localSheetId="1">'[9]Func Study'!#REF!</definedName>
    <definedName name="UAcct502JBG">'[9]Func Study'!#REF!</definedName>
    <definedName name="UAcct503">'[11]Func Study'!$AB$437</definedName>
    <definedName name="UACCT503NPC">'[11]Func Study'!$AB$443</definedName>
    <definedName name="UAcct505">'[11]Func Study'!$AB$449</definedName>
    <definedName name="UAcct505CAGE">'[11]Func Study'!$AB$447</definedName>
    <definedName name="UAcct505JBG" localSheetId="4">'[9]Func Study'!#REF!</definedName>
    <definedName name="UAcct505JBG" localSheetId="5">'[9]Func Study'!#REF!</definedName>
    <definedName name="UAcct505JBG" localSheetId="3">'[9]Func Study'!#REF!</definedName>
    <definedName name="UAcct505JBG" localSheetId="12">'[9]Func Study'!#REF!</definedName>
    <definedName name="UAcct505JBG" localSheetId="2">'[9]Func Study'!#REF!</definedName>
    <definedName name="UAcct505JBG" localSheetId="1">'[9]Func Study'!#REF!</definedName>
    <definedName name="UAcct505JBG">'[9]Func Study'!#REF!</definedName>
    <definedName name="UAcct506">'[11]Func Study'!$AB$455</definedName>
    <definedName name="UAcct506CAGE">'[11]Func Study'!$AB$452</definedName>
    <definedName name="UAcct506JBG" localSheetId="4">'[9]Func Study'!#REF!</definedName>
    <definedName name="UAcct506JBG" localSheetId="5">'[9]Func Study'!#REF!</definedName>
    <definedName name="UAcct506JBG" localSheetId="3">'[9]Func Study'!#REF!</definedName>
    <definedName name="UAcct506JBG" localSheetId="12">'[9]Func Study'!#REF!</definedName>
    <definedName name="UAcct506JBG" localSheetId="2">'[9]Func Study'!#REF!</definedName>
    <definedName name="UAcct506JBG" localSheetId="1">'[9]Func Study'!#REF!</definedName>
    <definedName name="UAcct506JBG">'[9]Func Study'!#REF!</definedName>
    <definedName name="UAcct507">'[11]Func Study'!$AB$464</definedName>
    <definedName name="UAcct507CAGE">'[11]Func Study'!$AB$462</definedName>
    <definedName name="UAcct507JBG" localSheetId="4">'[9]Func Study'!#REF!</definedName>
    <definedName name="UAcct507JBG" localSheetId="5">'[9]Func Study'!#REF!</definedName>
    <definedName name="UAcct507JBG" localSheetId="3">'[9]Func Study'!#REF!</definedName>
    <definedName name="UAcct507JBG" localSheetId="12">'[9]Func Study'!#REF!</definedName>
    <definedName name="UAcct507JBG" localSheetId="2">'[9]Func Study'!#REF!</definedName>
    <definedName name="UAcct507JBG" localSheetId="1">'[9]Func Study'!#REF!</definedName>
    <definedName name="UAcct507JBG">'[9]Func Study'!#REF!</definedName>
    <definedName name="UAcct510">'[11]Func Study'!$AB$469</definedName>
    <definedName name="UAcct510CAGE">'[11]Func Study'!$AB$467</definedName>
    <definedName name="UAcct510JBG" localSheetId="4">'[9]Func Study'!#REF!</definedName>
    <definedName name="UAcct510JBG" localSheetId="5">'[9]Func Study'!#REF!</definedName>
    <definedName name="UAcct510JBG" localSheetId="3">'[9]Func Study'!#REF!</definedName>
    <definedName name="UAcct510JBG" localSheetId="12">'[9]Func Study'!#REF!</definedName>
    <definedName name="UAcct510JBG" localSheetId="2">'[9]Func Study'!#REF!</definedName>
    <definedName name="UAcct510JBG" localSheetId="1">'[9]Func Study'!#REF!</definedName>
    <definedName name="UAcct510JBG">'[9]Func Study'!#REF!</definedName>
    <definedName name="UAcct511">'[11]Func Study'!$AB$474</definedName>
    <definedName name="UAcct511CAGE">'[11]Func Study'!$AB$472</definedName>
    <definedName name="UAcct511JBG" localSheetId="4">'[9]Func Study'!#REF!</definedName>
    <definedName name="UAcct511JBG" localSheetId="5">'[9]Func Study'!#REF!</definedName>
    <definedName name="UAcct511JBG" localSheetId="3">'[9]Func Study'!#REF!</definedName>
    <definedName name="UAcct511JBG" localSheetId="12">'[9]Func Study'!#REF!</definedName>
    <definedName name="UAcct511JBG" localSheetId="2">'[9]Func Study'!#REF!</definedName>
    <definedName name="UAcct511JBG" localSheetId="1">'[9]Func Study'!#REF!</definedName>
    <definedName name="UAcct511JBG">'[9]Func Study'!#REF!</definedName>
    <definedName name="UAcct512">'[11]Func Study'!$AB$479</definedName>
    <definedName name="UAcct512CAGE">'[11]Func Study'!$AB$477</definedName>
    <definedName name="UAcct512JBG" localSheetId="4">'[9]Func Study'!#REF!</definedName>
    <definedName name="UAcct512JBG" localSheetId="5">'[9]Func Study'!#REF!</definedName>
    <definedName name="UAcct512JBG" localSheetId="3">'[9]Func Study'!#REF!</definedName>
    <definedName name="UAcct512JBG" localSheetId="12">'[9]Func Study'!#REF!</definedName>
    <definedName name="UAcct512JBG" localSheetId="2">'[9]Func Study'!#REF!</definedName>
    <definedName name="UAcct512JBG" localSheetId="1">'[9]Func Study'!#REF!</definedName>
    <definedName name="UAcct512JBG">'[9]Func Study'!#REF!</definedName>
    <definedName name="UAcct513">'[11]Func Study'!$AB$484</definedName>
    <definedName name="UAcct513CAGE">'[11]Func Study'!$AB$482</definedName>
    <definedName name="UAcct513JBG" localSheetId="4">'[9]Func Study'!#REF!</definedName>
    <definedName name="UAcct513JBG" localSheetId="5">'[9]Func Study'!#REF!</definedName>
    <definedName name="UAcct513JBG" localSheetId="3">'[9]Func Study'!#REF!</definedName>
    <definedName name="UAcct513JBG" localSheetId="12">'[9]Func Study'!#REF!</definedName>
    <definedName name="UAcct513JBG" localSheetId="2">'[9]Func Study'!#REF!</definedName>
    <definedName name="UAcct513JBG" localSheetId="1">'[9]Func Study'!#REF!</definedName>
    <definedName name="UAcct513JBG">'[9]Func Study'!#REF!</definedName>
    <definedName name="UAcct514">'[11]Func Study'!$AB$489</definedName>
    <definedName name="UAcct514CAGE">'[11]Func Study'!$AB$487</definedName>
    <definedName name="UAcct514JBG" localSheetId="4">'[9]Func Study'!#REF!</definedName>
    <definedName name="UAcct514JBG" localSheetId="5">'[9]Func Study'!#REF!</definedName>
    <definedName name="UAcct514JBG" localSheetId="3">'[9]Func Study'!#REF!</definedName>
    <definedName name="UAcct514JBG" localSheetId="12">'[9]Func Study'!#REF!</definedName>
    <definedName name="UAcct514JBG" localSheetId="2">'[9]Func Study'!#REF!</definedName>
    <definedName name="UAcct514JBG" localSheetId="1">'[9]Func Study'!#REF!</definedName>
    <definedName name="UAcct514JBG">'[9]Func Study'!#REF!</definedName>
    <definedName name="UAcct517">'[11]Func Study'!$AB$498</definedName>
    <definedName name="UAcct518">'[11]Func Study'!$AB$502</definedName>
    <definedName name="UAcct519">'[11]Func Study'!$AB$507</definedName>
    <definedName name="UAcct520">'[11]Func Study'!$AB$511</definedName>
    <definedName name="UAcct523">'[11]Func Study'!$AB$515</definedName>
    <definedName name="UAcct524">'[11]Func Study'!$AB$519</definedName>
    <definedName name="UAcct528">'[11]Func Study'!$AB$523</definedName>
    <definedName name="UAcct529">'[11]Func Study'!$AB$527</definedName>
    <definedName name="UAcct530">'[11]Func Study'!$AB$531</definedName>
    <definedName name="UAcct531">'[11]Func Study'!$AB$535</definedName>
    <definedName name="UAcct532">'[11]Func Study'!$AB$539</definedName>
    <definedName name="UAcct535">'[11]Func Study'!$AB$551</definedName>
    <definedName name="UAcct536">'[11]Func Study'!$AB$555</definedName>
    <definedName name="UAcct537">'[11]Func Study'!$AB$559</definedName>
    <definedName name="UAcct538">'[11]Func Study'!$AB$563</definedName>
    <definedName name="UAcct539">'[11]Func Study'!$AB$568</definedName>
    <definedName name="UAcct540">'[11]Func Study'!$AB$572</definedName>
    <definedName name="UAcct541">'[11]Func Study'!$AB$576</definedName>
    <definedName name="UAcct542">'[11]Func Study'!$AB$580</definedName>
    <definedName name="UAcct543">'[11]Func Study'!$AB$584</definedName>
    <definedName name="UAcct544">'[11]Func Study'!$AB$588</definedName>
    <definedName name="UAcct545">'[11]Func Study'!$AB$592</definedName>
    <definedName name="UAcct546">'[11]Func Study'!$AB$606</definedName>
    <definedName name="UAcct546CAGE">'[11]Func Study'!$AB$605</definedName>
    <definedName name="UAcct547CAEW">'[11]Func Study'!$AB$610</definedName>
    <definedName name="UACCT547NPCCAEW">'[11]Func Study'!$AB$613</definedName>
    <definedName name="UAcct547Se">'[11]Func Study'!$AB$609</definedName>
    <definedName name="UAcct548">'[11]Func Study'!$AB$621</definedName>
    <definedName name="UACCT548CAGE">'[11]Func Study'!$AB$620</definedName>
    <definedName name="UAcct549">'[11]Func Study'!$AB$626</definedName>
    <definedName name="Uacct549CAGE">'[11]Func Study'!$AB$625</definedName>
    <definedName name="UAcct5506SE" localSheetId="4">'[9]Func Study'!#REF!</definedName>
    <definedName name="UAcct5506SE" localSheetId="5">'[9]Func Study'!#REF!</definedName>
    <definedName name="UAcct5506SE" localSheetId="3">'[9]Func Study'!#REF!</definedName>
    <definedName name="UAcct5506SE" localSheetId="12">'[9]Func Study'!#REF!</definedName>
    <definedName name="UAcct5506SE" localSheetId="2">'[9]Func Study'!#REF!</definedName>
    <definedName name="UAcct5506SE" localSheetId="1">'[9]Func Study'!#REF!</definedName>
    <definedName name="UAcct5506SE">'[9]Func Study'!#REF!</definedName>
    <definedName name="UAcct551CAGE">'[11]Func Study'!$AB$634</definedName>
    <definedName name="UACCT551SG">'[11]Func Study'!$AB$635</definedName>
    <definedName name="UACCT552CAGE">'[11]Func Study'!$AB$640</definedName>
    <definedName name="UAcct552SG">'[11]Func Study'!$AB$639</definedName>
    <definedName name="UACCT553CAGE">'[11]Func Study'!$AB$646</definedName>
    <definedName name="UAcct553SG">'[11]Func Study'!$AB$645</definedName>
    <definedName name="UACCT554CAGE">'[11]Func Study'!$AB$651</definedName>
    <definedName name="UAcct554SG">'[11]Func Study'!$AB$650</definedName>
    <definedName name="UAcct555CAEE" localSheetId="4">'[9]Func Study'!#REF!</definedName>
    <definedName name="UAcct555CAEE" localSheetId="5">'[9]Func Study'!#REF!</definedName>
    <definedName name="UAcct555CAEE" localSheetId="3">'[9]Func Study'!#REF!</definedName>
    <definedName name="UAcct555CAEE" localSheetId="12">'[9]Func Study'!#REF!</definedName>
    <definedName name="UAcct555CAEE" localSheetId="2">'[9]Func Study'!#REF!</definedName>
    <definedName name="UAcct555CAEE" localSheetId="1">'[9]Func Study'!#REF!</definedName>
    <definedName name="UAcct555CAEE">'[9]Func Study'!#REF!</definedName>
    <definedName name="UAcct555CAEW">'[11]Func Study'!$AB$665</definedName>
    <definedName name="UAcct555CAGE" localSheetId="4">'[9]Func Study'!#REF!</definedName>
    <definedName name="UAcct555CAGE" localSheetId="5">'[9]Func Study'!#REF!</definedName>
    <definedName name="UAcct555CAGE" localSheetId="3">'[9]Func Study'!#REF!</definedName>
    <definedName name="UAcct555CAGE" localSheetId="12">'[9]Func Study'!#REF!</definedName>
    <definedName name="UAcct555CAGE" localSheetId="2">'[9]Func Study'!#REF!</definedName>
    <definedName name="UAcct555CAGE" localSheetId="1">'[9]Func Study'!#REF!</definedName>
    <definedName name="UAcct555CAGE">'[9]Func Study'!#REF!</definedName>
    <definedName name="UAcct555CAGW">'[11]Func Study'!$AB$664</definedName>
    <definedName name="UACCT555DGP">'[11]Func Study'!$AB$670</definedName>
    <definedName name="UACCT555NPCCAEW">'[11]Func Study'!$AB$669</definedName>
    <definedName name="UACCT555NPCCAGW">'[11]Func Study'!$AB$668</definedName>
    <definedName name="UAcct555S">'[11]Func Study'!$AB$663</definedName>
    <definedName name="UAcct555Se">'[11]Func Study'!$AB$665</definedName>
    <definedName name="UACCT555SG">'[11]Func Study'!$AB$664</definedName>
    <definedName name="UAcct556">'[11]Func Study'!$AB$676</definedName>
    <definedName name="UAcct557">'[11]Func Study'!$AB$685</definedName>
    <definedName name="UAcct560">'[11]Func Study'!$AB$715</definedName>
    <definedName name="UAcct561">'[11]Func Study'!$AB$720</definedName>
    <definedName name="UAcct562">'[11]Func Study'!$AB$726</definedName>
    <definedName name="UAcct563">'[11]Func Study'!$AB$731</definedName>
    <definedName name="UAcct564">'[11]Func Study'!$AB$735</definedName>
    <definedName name="UAcct565">'[11]Func Study'!$AB$739</definedName>
    <definedName name="UACCT565NPC">'[11]Func Study'!$AB$744</definedName>
    <definedName name="UACCT565NPCCAGW">'[11]Func Study'!$AB$742</definedName>
    <definedName name="UAcct566">'[11]Func Study'!$AB$748</definedName>
    <definedName name="UAcct567">'[11]Func Study'!$AB$752</definedName>
    <definedName name="UAcct568">'[11]Func Study'!$AB$756</definedName>
    <definedName name="UAcct569">'[11]Func Study'!$AB$760</definedName>
    <definedName name="UAcct570">'[11]Func Study'!$AB$765</definedName>
    <definedName name="UAcct571">'[11]Func Study'!$AB$770</definedName>
    <definedName name="UAcct572">'[11]Func Study'!$AB$774</definedName>
    <definedName name="UAcct573">'[11]Func Study'!$AB$778</definedName>
    <definedName name="UAcct580">'[11]Func Study'!$AB$791</definedName>
    <definedName name="UAcct581">'[11]Func Study'!$AB$796</definedName>
    <definedName name="UAcct582">'[11]Func Study'!$AB$801</definedName>
    <definedName name="UAcct583">'[11]Func Study'!$AB$806</definedName>
    <definedName name="UAcct584">'[11]Func Study'!$AB$811</definedName>
    <definedName name="UAcct585">'[11]Func Study'!$AB$816</definedName>
    <definedName name="UAcct586">'[11]Func Study'!$AB$821</definedName>
    <definedName name="UAcct587">'[11]Func Study'!$AB$826</definedName>
    <definedName name="UAcct588">'[11]Func Study'!$AB$831</definedName>
    <definedName name="UAcct589">'[11]Func Study'!$AB$836</definedName>
    <definedName name="UAcct590">'[11]Func Study'!$AB$841</definedName>
    <definedName name="UAcct591">'[11]Func Study'!$AB$846</definedName>
    <definedName name="UAcct592">'[11]Func Study'!$AB$851</definedName>
    <definedName name="UAcct593">'[11]Func Study'!$AB$856</definedName>
    <definedName name="UAcct594">'[11]Func Study'!$AB$861</definedName>
    <definedName name="UAcct595">'[11]Func Study'!$AB$866</definedName>
    <definedName name="UAcct596">'[11]Func Study'!$AB$876</definedName>
    <definedName name="UAcct597">'[11]Func Study'!$AB$881</definedName>
    <definedName name="UAcct598">'[11]Func Study'!$AB$886</definedName>
    <definedName name="UAcct901">'[11]Func Study'!$AB$898</definedName>
    <definedName name="UAcct902">'[11]Func Study'!$AB$903</definedName>
    <definedName name="UAcct903">'[11]Func Study'!$AB$908</definedName>
    <definedName name="UAcct904">'[11]Func Study'!$AB$914</definedName>
    <definedName name="Uacct904SG" localSheetId="4">'[13]Functional Study'!#REF!</definedName>
    <definedName name="Uacct904SG" localSheetId="5">'[13]Functional Study'!#REF!</definedName>
    <definedName name="Uacct904SG" localSheetId="3">'[13]Functional Study'!#REF!</definedName>
    <definedName name="Uacct904SG" localSheetId="12">'[13]Functional Study'!#REF!</definedName>
    <definedName name="Uacct904SG" localSheetId="2">'[13]Functional Study'!#REF!</definedName>
    <definedName name="Uacct904SG" localSheetId="1">'[13]Functional Study'!#REF!</definedName>
    <definedName name="Uacct904SG">'[13]Functional Study'!#REF!</definedName>
    <definedName name="UAcct905">'[11]Func Study'!$AB$919</definedName>
    <definedName name="UAcct907">'[11]Func Study'!$AB$933</definedName>
    <definedName name="UAcct908">'[11]Func Study'!$AB$938</definedName>
    <definedName name="UAcct909">'[11]Func Study'!$AB$943</definedName>
    <definedName name="UAcct910">'[11]Func Study'!$AB$948</definedName>
    <definedName name="UAcct911">'[11]Func Study'!$AB$959</definedName>
    <definedName name="UAcct912">'[11]Func Study'!$AB$964</definedName>
    <definedName name="UAcct913">'[11]Func Study'!$AB$969</definedName>
    <definedName name="UAcct916">'[11]Func Study'!$AB$974</definedName>
    <definedName name="UAcct920">'[11]Func Study'!$AB$985</definedName>
    <definedName name="UAcct920Cn">'[11]Func Study'!$AB$983</definedName>
    <definedName name="UAcct921">'[11]Func Study'!$AB$991</definedName>
    <definedName name="UAcct921Cn">'[11]Func Study'!$AB$989</definedName>
    <definedName name="UAcct923">'[11]Func Study'!$AB$997</definedName>
    <definedName name="UAcct923CAGW">'[11]Func Study'!$AB$995</definedName>
    <definedName name="UAcct924">'[11]Func Study'!$AB$1001</definedName>
    <definedName name="UAcct925">'[11]Func Study'!$AB$1005</definedName>
    <definedName name="UAcct926">'[11]Func Study'!$AB$1011</definedName>
    <definedName name="UAcct927">'[11]Func Study'!$AB$1016</definedName>
    <definedName name="UAcct928">'[11]Func Study'!$AB$1023</definedName>
    <definedName name="UAcct929">'[11]Func Study'!$AB$1028</definedName>
    <definedName name="UAcct930">'[11]Func Study'!$AB$1034</definedName>
    <definedName name="UAcct931">'[11]Func Study'!$AB$1039</definedName>
    <definedName name="UAcct935">'[11]Func Study'!$AB$1045</definedName>
    <definedName name="UAcctAGA">'[11]Func Study'!$AB$296</definedName>
    <definedName name="UAcctcwc">'[11]Func Study'!$AB$2136</definedName>
    <definedName name="UAcctd00">'[11]Func Study'!$AB$1786</definedName>
    <definedName name="UAcctdfa" localSheetId="4">'[11]Func Study'!#REF!</definedName>
    <definedName name="UAcctdfa" localSheetId="5">'[11]Func Study'!#REF!</definedName>
    <definedName name="UAcctdfa" localSheetId="3">'[11]Func Study'!#REF!</definedName>
    <definedName name="UAcctdfa" localSheetId="2">'[11]Func Study'!#REF!</definedName>
    <definedName name="UAcctdfa" localSheetId="1">'[11]Func Study'!#REF!</definedName>
    <definedName name="UAcctdfa">'[11]Func Study'!#REF!</definedName>
    <definedName name="UAcctdfad" localSheetId="4">'[11]Func Study'!#REF!</definedName>
    <definedName name="UAcctdfad" localSheetId="5">'[11]Func Study'!#REF!</definedName>
    <definedName name="UAcctdfad" localSheetId="3">'[11]Func Study'!#REF!</definedName>
    <definedName name="UAcctdfad" localSheetId="2">'[11]Func Study'!#REF!</definedName>
    <definedName name="UAcctdfad" localSheetId="1">'[11]Func Study'!#REF!</definedName>
    <definedName name="UAcctdfad">'[11]Func Study'!#REF!</definedName>
    <definedName name="UAcctdfap" localSheetId="4">'[11]Func Study'!#REF!</definedName>
    <definedName name="UAcctdfap" localSheetId="5">'[11]Func Study'!#REF!</definedName>
    <definedName name="UAcctdfap" localSheetId="3">'[11]Func Study'!#REF!</definedName>
    <definedName name="UAcctdfap" localSheetId="2">'[11]Func Study'!#REF!</definedName>
    <definedName name="UAcctdfap" localSheetId="1">'[11]Func Study'!#REF!</definedName>
    <definedName name="UAcctdfap">'[11]Func Study'!#REF!</definedName>
    <definedName name="UAcctdfat" localSheetId="4">'[11]Func Study'!#REF!</definedName>
    <definedName name="UAcctdfat" localSheetId="5">'[11]Func Study'!#REF!</definedName>
    <definedName name="UAcctdfat" localSheetId="3">'[11]Func Study'!#REF!</definedName>
    <definedName name="UAcctdfat" localSheetId="2">'[11]Func Study'!#REF!</definedName>
    <definedName name="UAcctdfat" localSheetId="1">'[11]Func Study'!#REF!</definedName>
    <definedName name="UAcctdfat">'[11]Func Study'!#REF!</definedName>
    <definedName name="UAcctds0">'[11]Func Study'!$AB$1790</definedName>
    <definedName name="UACCTECDDGP">'[11]Func Study'!$AB$687</definedName>
    <definedName name="UACCTECDMC">'[11]Func Study'!$AB$689</definedName>
    <definedName name="UACCTECDS">'[11]Func Study'!$AB$691</definedName>
    <definedName name="UACCTECDSG1">'[11]Func Study'!$AB$688</definedName>
    <definedName name="UACCTECDSG2">'[11]Func Study'!$AB$690</definedName>
    <definedName name="UACCTECDSG3">'[11]Func Study'!$AB$692</definedName>
    <definedName name="UAcctfit">'[11]Func Study'!$AB$1395</definedName>
    <definedName name="UAcctg00">'[11]Func Study'!$AB$1947</definedName>
    <definedName name="UAccth00">'[11]Func Study'!$AB$1545</definedName>
    <definedName name="UAccti00">'[11]Func Study'!$AB$1993</definedName>
    <definedName name="UAcctn00">'[11]Func Study'!$AB$1496</definedName>
    <definedName name="UAccto00">'[11]Func Study'!$AB$1606</definedName>
    <definedName name="UAcctowc">'[11]Func Study'!$AB$2149</definedName>
    <definedName name="UACCTOWCSSECH">'[11]Func Study'!$AB$2148</definedName>
    <definedName name="UAccts00">'[11]Func Study'!$AB$1455</definedName>
    <definedName name="UAcctsttax">'[11]Func Study'!$AB$1377</definedName>
    <definedName name="UAcctt00">'[11]Func Study'!$AB$1682</definedName>
    <definedName name="UNBILREV" localSheetId="4">#REF!</definedName>
    <definedName name="UNBILREV" localSheetId="5">#REF!</definedName>
    <definedName name="UNBILREV" localSheetId="3">#REF!</definedName>
    <definedName name="UNBILREV" localSheetId="12">#REF!</definedName>
    <definedName name="UNBILREV" localSheetId="2">#REF!</definedName>
    <definedName name="UNBILREV" localSheetId="1">#REF!</definedName>
    <definedName name="UNBILREV">#REF!</definedName>
    <definedName name="UncollectibleAccounts">[15]Variables!$D$25</definedName>
    <definedName name="UtGrossReceipts">[15]Variables!$D$29</definedName>
    <definedName name="ValidAccount">[14]Variables!$AK$43:$AK$369</definedName>
    <definedName name="VAR" localSheetId="4">[16]Backup!#REF!</definedName>
    <definedName name="VAR" localSheetId="5">[16]Backup!#REF!</definedName>
    <definedName name="VAR" localSheetId="3">[16]Backup!#REF!</definedName>
    <definedName name="VAR" localSheetId="12">[16]Backup!#REF!</definedName>
    <definedName name="VAR" localSheetId="2">[16]Backup!#REF!</definedName>
    <definedName name="VAR" localSheetId="1">[16]Backup!#REF!</definedName>
    <definedName name="VAR">[16]Backup!#REF!</definedName>
    <definedName name="VARIABLE" localSheetId="4">[21]Summary!#REF!</definedName>
    <definedName name="VARIABLE" localSheetId="5">[21]Summary!#REF!</definedName>
    <definedName name="VARIABLE" localSheetId="3">[21]Summary!#REF!</definedName>
    <definedName name="VARIABLE" localSheetId="12">[21]Summary!#REF!</definedName>
    <definedName name="VARIABLE" localSheetId="2">[21]Summary!#REF!</definedName>
    <definedName name="VARIABLE" localSheetId="1">[21]Summary!#REF!</definedName>
    <definedName name="VARIABLE">[21]Summary!#REF!</definedName>
    <definedName name="VOUCHER" localSheetId="4">#REF!</definedName>
    <definedName name="VOUCHER" localSheetId="5">#REF!</definedName>
    <definedName name="VOUCHER" localSheetId="3">#REF!</definedName>
    <definedName name="VOUCHER" localSheetId="12">#REF!</definedName>
    <definedName name="VOUCHER" localSheetId="2">#REF!</definedName>
    <definedName name="VOUCHER" localSheetId="1">#REF!</definedName>
    <definedName name="VOUCHER">#REF!</definedName>
    <definedName name="WaRevenueTax">[15]Variables!$D$27</definedName>
    <definedName name="WEATHER" localSheetId="4">#REF!</definedName>
    <definedName name="WEATHER" localSheetId="5">#REF!</definedName>
    <definedName name="WEATHER" localSheetId="3">#REF!</definedName>
    <definedName name="WEATHER" localSheetId="12">#REF!</definedName>
    <definedName name="WEATHER" localSheetId="2">#REF!</definedName>
    <definedName name="WEATHER" localSheetId="1">#REF!</definedName>
    <definedName name="WEATHER">#REF!</definedName>
    <definedName name="WEATHRNORM" localSheetId="4">#REF!</definedName>
    <definedName name="WEATHRNORM" localSheetId="5">#REF!</definedName>
    <definedName name="WEATHRNORM" localSheetId="3">#REF!</definedName>
    <definedName name="WEATHRNORM" localSheetId="12">#REF!</definedName>
    <definedName name="WEATHRNORM" localSheetId="2">#REF!</definedName>
    <definedName name="WEATHRNORM" localSheetId="1">#REF!</definedName>
    <definedName name="WEATHRNORM">#REF!</definedName>
    <definedName name="WIDTH" localSheetId="4">#REF!</definedName>
    <definedName name="WIDTH" localSheetId="5">#REF!</definedName>
    <definedName name="WIDTH" localSheetId="3">#REF!</definedName>
    <definedName name="WIDTH" localSheetId="12">#REF!</definedName>
    <definedName name="WIDTH" localSheetId="2">#REF!</definedName>
    <definedName name="WIDTH" localSheetId="1">#REF!</definedName>
    <definedName name="WIDTH">#REF!</definedName>
    <definedName name="WinterPeak">'[29]Load Data'!$D$9:$H$12,'[29]Load Data'!$D$20:$H$22</definedName>
    <definedName name="WORK1" localSheetId="4">#REF!</definedName>
    <definedName name="WORK1" localSheetId="5">#REF!</definedName>
    <definedName name="WORK1" localSheetId="3">#REF!</definedName>
    <definedName name="WORK1" localSheetId="12">#REF!</definedName>
    <definedName name="WORK1" localSheetId="2">#REF!</definedName>
    <definedName name="WORK1" localSheetId="1">#REF!</definedName>
    <definedName name="WORK1">#REF!</definedName>
    <definedName name="WORK2" localSheetId="4">#REF!</definedName>
    <definedName name="WORK2" localSheetId="5">#REF!</definedName>
    <definedName name="WORK2" localSheetId="3">#REF!</definedName>
    <definedName name="WORK2" localSheetId="12">#REF!</definedName>
    <definedName name="WORK2" localSheetId="2">#REF!</definedName>
    <definedName name="WORK2" localSheetId="1">#REF!</definedName>
    <definedName name="WORK2">#REF!</definedName>
    <definedName name="WORK3" localSheetId="4">#REF!</definedName>
    <definedName name="WORK3" localSheetId="5">#REF!</definedName>
    <definedName name="WORK3" localSheetId="3">#REF!</definedName>
    <definedName name="WORK3" localSheetId="12">#REF!</definedName>
    <definedName name="WORK3" localSheetId="2">#REF!</definedName>
    <definedName name="WORK3" localSheetId="1">#REF!</definedName>
    <definedName name="WORK3">#REF!</definedName>
    <definedName name="wrn.OR._.Carrying._.Charge._.JV." localSheetId="11" hidden="1">{#N/A,#N/A,FALSE,"Loans";#N/A,#N/A,FALSE,"Program Costs";#N/A,#N/A,FALSE,"Measures";#N/A,#N/A,FALSE,"Net Lost Rev";#N/A,#N/A,FALSE,"Incentive"}</definedName>
    <definedName name="wrn.OR._.Carrying._.Charge._.JV." localSheetId="5" hidden="1">{#N/A,#N/A,FALSE,"Loans";#N/A,#N/A,FALSE,"Program Costs";#N/A,#N/A,FALSE,"Measures";#N/A,#N/A,FALSE,"Net Lost Rev";#N/A,#N/A,FALSE,"Incentive"}</definedName>
    <definedName name="wrn.OR._.Carrying._.Charge._.JV." localSheetId="12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1" hidden="1">{#N/A,#N/A,FALSE,"Loans";#N/A,#N/A,FALSE,"Program Costs";#N/A,#N/A,FALSE,"Measures";#N/A,#N/A,FALSE,"Net Lost Rev";#N/A,#N/A,FALSE,"Incentive"}</definedName>
    <definedName name="wrn.OR._.Carrying._.Charge._.JV.1" localSheetId="5" hidden="1">{#N/A,#N/A,FALSE,"Loans";#N/A,#N/A,FALSE,"Program Costs";#N/A,#N/A,FALSE,"Measures";#N/A,#N/A,FALSE,"Net Lost Rev";#N/A,#N/A,FALSE,"Incentive"}</definedName>
    <definedName name="wrn.OR._.Carrying._.Charge._.JV.1" localSheetId="12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x">'[30]Weather Present'!$K$7</definedName>
    <definedName name="y" localSheetId="9" hidden="1">#REF!</definedName>
    <definedName name="y" localSheetId="11" hidden="1">#REF!</definedName>
    <definedName name="y" localSheetId="4" hidden="1">#REF!</definedName>
    <definedName name="y" localSheetId="5" hidden="1">#REF!</definedName>
    <definedName name="y" localSheetId="6" hidden="1">#REF!</definedName>
    <definedName name="y" localSheetId="7" hidden="1">#REF!</definedName>
    <definedName name="y" localSheetId="8" hidden="1">#REF!</definedName>
    <definedName name="y" localSheetId="10" hidden="1">#REF!</definedName>
    <definedName name="y" localSheetId="3" hidden="1">#REF!</definedName>
    <definedName name="y" localSheetId="2" hidden="1">#REF!</definedName>
    <definedName name="y" localSheetId="0" hidden="1">#REF!</definedName>
    <definedName name="y" localSheetId="1" hidden="1">#REF!</definedName>
    <definedName name="y" hidden="1">'[6]DSM Output'!$B$21:$B$23</definedName>
    <definedName name="Year" localSheetId="4">#REF!</definedName>
    <definedName name="Year" localSheetId="5">#REF!</definedName>
    <definedName name="Year" localSheetId="3">#REF!</definedName>
    <definedName name="Year" localSheetId="12">#REF!</definedName>
    <definedName name="Year" localSheetId="2">#REF!</definedName>
    <definedName name="Year" localSheetId="1">#REF!</definedName>
    <definedName name="Year">#REF!</definedName>
    <definedName name="YEFactors">[14]Factors!$S$3:$AG$99</definedName>
    <definedName name="z" localSheetId="9" hidden="1">#REF!</definedName>
    <definedName name="z" localSheetId="11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8" hidden="1">#REF!</definedName>
    <definedName name="z" localSheetId="10" hidden="1">#REF!</definedName>
    <definedName name="z" localSheetId="3" hidden="1">#REF!</definedName>
    <definedName name="z" localSheetId="2" hidden="1">#REF!</definedName>
    <definedName name="z" localSheetId="0" hidden="1">#REF!</definedName>
    <definedName name="z" localSheetId="1" hidden="1">#REF!</definedName>
    <definedName name="z" hidden="1">'[6]DSM Output'!$G$21:$G$23</definedName>
    <definedName name="ZA" localSheetId="4">'[31] annual balance '!#REF!</definedName>
    <definedName name="ZA" localSheetId="5">'[31] annual balance '!#REF!</definedName>
    <definedName name="ZA" localSheetId="3">'[31] annual balance '!#REF!</definedName>
    <definedName name="ZA" localSheetId="12">'[31] annual balance '!#REF!</definedName>
    <definedName name="ZA" localSheetId="2">'[31] annual balance '!#REF!</definedName>
    <definedName name="ZA" localSheetId="1">'[31] annual balance '!#REF!</definedName>
    <definedName name="ZA">'[31] annual balance '!#REF!</definedName>
  </definedNames>
  <calcPr calcId="145621" iterate="1"/>
</workbook>
</file>

<file path=xl/calcChain.xml><?xml version="1.0" encoding="utf-8"?>
<calcChain xmlns="http://schemas.openxmlformats.org/spreadsheetml/2006/main">
  <c r="B11" i="14" l="1"/>
  <c r="E10" i="14"/>
  <c r="C10" i="14"/>
  <c r="D10" i="14" s="1"/>
  <c r="E9" i="14"/>
  <c r="C9" i="14" s="1"/>
  <c r="D9" i="14"/>
  <c r="E8" i="14"/>
  <c r="B45" i="13"/>
  <c r="D40" i="13"/>
  <c r="C16" i="14" s="1"/>
  <c r="D37" i="13"/>
  <c r="D36" i="13"/>
  <c r="F29" i="13"/>
  <c r="S26" i="13"/>
  <c r="P26" i="13"/>
  <c r="G26" i="13"/>
  <c r="E26" i="13"/>
  <c r="L26" i="13" s="1"/>
  <c r="S25" i="13"/>
  <c r="P25" i="13"/>
  <c r="G25" i="13"/>
  <c r="E25" i="13"/>
  <c r="L25" i="13" s="1"/>
  <c r="S24" i="13"/>
  <c r="P24" i="13"/>
  <c r="L24" i="13"/>
  <c r="E24" i="13"/>
  <c r="G24" i="13" s="1"/>
  <c r="P23" i="13"/>
  <c r="S23" i="13" s="1"/>
  <c r="E23" i="13"/>
  <c r="S22" i="13"/>
  <c r="P22" i="13"/>
  <c r="G22" i="13"/>
  <c r="E22" i="13"/>
  <c r="L22" i="13" s="1"/>
  <c r="S21" i="13"/>
  <c r="P21" i="13"/>
  <c r="G21" i="13"/>
  <c r="E21" i="13"/>
  <c r="L21" i="13" s="1"/>
  <c r="S20" i="13"/>
  <c r="P20" i="13"/>
  <c r="L20" i="13"/>
  <c r="E20" i="13"/>
  <c r="G20" i="13" s="1"/>
  <c r="P19" i="13"/>
  <c r="S19" i="13" s="1"/>
  <c r="E19" i="13"/>
  <c r="S18" i="13"/>
  <c r="P18" i="13"/>
  <c r="G18" i="13"/>
  <c r="E18" i="13"/>
  <c r="L18" i="13" s="1"/>
  <c r="T17" i="13"/>
  <c r="S17" i="13"/>
  <c r="P17" i="13"/>
  <c r="J17" i="13"/>
  <c r="G17" i="13"/>
  <c r="E17" i="13"/>
  <c r="L17" i="13" s="1"/>
  <c r="S16" i="13"/>
  <c r="P16" i="13"/>
  <c r="G16" i="13"/>
  <c r="E16" i="13"/>
  <c r="L16" i="13" s="1"/>
  <c r="T15" i="13"/>
  <c r="S15" i="13"/>
  <c r="P15" i="13"/>
  <c r="J15" i="13"/>
  <c r="V15" i="13" s="1"/>
  <c r="H15" i="13"/>
  <c r="E15" i="13"/>
  <c r="G15" i="13" s="1"/>
  <c r="P14" i="13"/>
  <c r="L14" i="13"/>
  <c r="G14" i="13"/>
  <c r="E14" i="13"/>
  <c r="S11" i="13"/>
  <c r="D11" i="13"/>
  <c r="C11" i="13"/>
  <c r="D10" i="13"/>
  <c r="T9" i="13"/>
  <c r="E29" i="12"/>
  <c r="E28" i="12"/>
  <c r="E27" i="12"/>
  <c r="R25" i="12"/>
  <c r="G25" i="12"/>
  <c r="E25" i="12"/>
  <c r="R24" i="12"/>
  <c r="E24" i="12"/>
  <c r="E23" i="12"/>
  <c r="E21" i="12"/>
  <c r="E20" i="12"/>
  <c r="E19" i="12"/>
  <c r="N18" i="12"/>
  <c r="N17" i="12"/>
  <c r="E17" i="12"/>
  <c r="O16" i="12"/>
  <c r="N16" i="12"/>
  <c r="E16" i="12"/>
  <c r="O15" i="12"/>
  <c r="N15" i="12"/>
  <c r="E15" i="12"/>
  <c r="E29" i="11"/>
  <c r="E28" i="11"/>
  <c r="E27" i="11"/>
  <c r="Q25" i="11"/>
  <c r="G25" i="11"/>
  <c r="E25" i="11"/>
  <c r="Q24" i="11"/>
  <c r="E24" i="11"/>
  <c r="E23" i="11"/>
  <c r="E21" i="11"/>
  <c r="E20" i="11"/>
  <c r="E19" i="11"/>
  <c r="N18" i="11"/>
  <c r="G24" i="11" s="1"/>
  <c r="N17" i="11"/>
  <c r="E17" i="11"/>
  <c r="O16" i="11"/>
  <c r="G27" i="11" s="1"/>
  <c r="N16" i="11"/>
  <c r="E16" i="11"/>
  <c r="O15" i="11"/>
  <c r="N15" i="11"/>
  <c r="E15" i="11"/>
  <c r="E29" i="10"/>
  <c r="E28" i="10"/>
  <c r="E27" i="10"/>
  <c r="E25" i="10"/>
  <c r="Q24" i="10"/>
  <c r="Q25" i="10" s="1"/>
  <c r="E24" i="10"/>
  <c r="E23" i="10"/>
  <c r="E21" i="10"/>
  <c r="E20" i="10"/>
  <c r="E19" i="10"/>
  <c r="N18" i="10"/>
  <c r="G20" i="10" s="1"/>
  <c r="N17" i="10"/>
  <c r="E17" i="10"/>
  <c r="O16" i="10"/>
  <c r="N16" i="10"/>
  <c r="E16" i="10"/>
  <c r="O15" i="10"/>
  <c r="N15" i="10"/>
  <c r="E15" i="10"/>
  <c r="E33" i="9"/>
  <c r="G32" i="9"/>
  <c r="E32" i="9"/>
  <c r="G31" i="9"/>
  <c r="E31" i="9"/>
  <c r="G29" i="9"/>
  <c r="E29" i="9"/>
  <c r="E28" i="9"/>
  <c r="V27" i="9"/>
  <c r="V28" i="9" s="1"/>
  <c r="G27" i="9"/>
  <c r="E27" i="9"/>
  <c r="E25" i="9"/>
  <c r="G25" i="9" s="1"/>
  <c r="I24" i="9"/>
  <c r="E24" i="9"/>
  <c r="I23" i="9"/>
  <c r="G23" i="9"/>
  <c r="E23" i="9"/>
  <c r="T21" i="9"/>
  <c r="T20" i="9"/>
  <c r="E20" i="9"/>
  <c r="T19" i="9"/>
  <c r="I19" i="9"/>
  <c r="G19" i="9"/>
  <c r="E19" i="9"/>
  <c r="T18" i="9"/>
  <c r="G18" i="9"/>
  <c r="E18" i="9"/>
  <c r="T17" i="9"/>
  <c r="T14" i="9"/>
  <c r="G33" i="9" s="1"/>
  <c r="E40" i="8"/>
  <c r="E39" i="8"/>
  <c r="E38" i="8"/>
  <c r="E36" i="8"/>
  <c r="E35" i="8"/>
  <c r="E34" i="8"/>
  <c r="E32" i="8"/>
  <c r="E31" i="8"/>
  <c r="E30" i="8"/>
  <c r="E28" i="8"/>
  <c r="R27" i="8"/>
  <c r="E27" i="8"/>
  <c r="R26" i="8"/>
  <c r="E26" i="8"/>
  <c r="E24" i="8"/>
  <c r="E23" i="8"/>
  <c r="E22" i="8"/>
  <c r="O20" i="8"/>
  <c r="E20" i="8"/>
  <c r="O19" i="8"/>
  <c r="E19" i="8"/>
  <c r="O18" i="8"/>
  <c r="E18" i="8"/>
  <c r="P16" i="8"/>
  <c r="O16" i="8"/>
  <c r="P15" i="8"/>
  <c r="O15" i="8"/>
  <c r="O14" i="8"/>
  <c r="E32" i="7"/>
  <c r="E31" i="7"/>
  <c r="AA30" i="7"/>
  <c r="E30" i="7"/>
  <c r="AA29" i="7"/>
  <c r="E28" i="7"/>
  <c r="E27" i="7"/>
  <c r="E26" i="7"/>
  <c r="E24" i="7"/>
  <c r="D24" i="7"/>
  <c r="Y23" i="7"/>
  <c r="X23" i="7"/>
  <c r="E23" i="7"/>
  <c r="D23" i="7"/>
  <c r="X22" i="7"/>
  <c r="Y22" i="7" s="1"/>
  <c r="E22" i="7"/>
  <c r="D22" i="7"/>
  <c r="Y21" i="7"/>
  <c r="X21" i="7"/>
  <c r="Y20" i="7"/>
  <c r="X20" i="7"/>
  <c r="E20" i="7"/>
  <c r="E19" i="7"/>
  <c r="Y18" i="7"/>
  <c r="X18" i="7"/>
  <c r="E18" i="7"/>
  <c r="Y15" i="7"/>
  <c r="Y14" i="7"/>
  <c r="X14" i="7"/>
  <c r="X15" i="7" s="1"/>
  <c r="D32" i="6"/>
  <c r="F31" i="6"/>
  <c r="D27" i="6"/>
  <c r="F26" i="6"/>
  <c r="Y24" i="6"/>
  <c r="Y23" i="6"/>
  <c r="F23" i="6"/>
  <c r="Y22" i="6"/>
  <c r="Y21" i="6"/>
  <c r="F21" i="6"/>
  <c r="Y20" i="6"/>
  <c r="Y19" i="6"/>
  <c r="F19" i="6"/>
  <c r="D16" i="6"/>
  <c r="F15" i="6"/>
  <c r="F14" i="6"/>
  <c r="D10" i="6"/>
  <c r="W8" i="6"/>
  <c r="J31" i="5"/>
  <c r="D31" i="5"/>
  <c r="D29" i="5"/>
  <c r="J27" i="5"/>
  <c r="D25" i="5"/>
  <c r="D22" i="5"/>
  <c r="D21" i="5"/>
  <c r="Y17" i="5"/>
  <c r="Y16" i="5"/>
  <c r="J16" i="5"/>
  <c r="D16" i="5"/>
  <c r="D11" i="5"/>
  <c r="W10" i="5"/>
  <c r="D10" i="5"/>
  <c r="W9" i="5"/>
  <c r="W8" i="5"/>
  <c r="X1279" i="4"/>
  <c r="L1271" i="4"/>
  <c r="F1271" i="4"/>
  <c r="L1267" i="4"/>
  <c r="I1267" i="4"/>
  <c r="F1267" i="4"/>
  <c r="L1265" i="4"/>
  <c r="I1265" i="4"/>
  <c r="F1265" i="4"/>
  <c r="L1264" i="4"/>
  <c r="I1264" i="4"/>
  <c r="F1264" i="4"/>
  <c r="I1263" i="4"/>
  <c r="F1263" i="4"/>
  <c r="L1263" i="4"/>
  <c r="L1261" i="4"/>
  <c r="I1261" i="4"/>
  <c r="F1261" i="4"/>
  <c r="L1260" i="4"/>
  <c r="I1260" i="4"/>
  <c r="F1260" i="4"/>
  <c r="L1258" i="4"/>
  <c r="I1258" i="4"/>
  <c r="F1258" i="4"/>
  <c r="L1257" i="4"/>
  <c r="I1257" i="4"/>
  <c r="F1257" i="4"/>
  <c r="L1256" i="4"/>
  <c r="I1256" i="4"/>
  <c r="F1256" i="4"/>
  <c r="L1253" i="4"/>
  <c r="I1253" i="4"/>
  <c r="F1253" i="4"/>
  <c r="L1252" i="4"/>
  <c r="I1252" i="4"/>
  <c r="F1252" i="4"/>
  <c r="L1250" i="4"/>
  <c r="I1250" i="4"/>
  <c r="F1250" i="4"/>
  <c r="T1270" i="4"/>
  <c r="L1249" i="4"/>
  <c r="I1249" i="4"/>
  <c r="L1248" i="4"/>
  <c r="L1245" i="4"/>
  <c r="I1245" i="4"/>
  <c r="F1245" i="4"/>
  <c r="L1244" i="4"/>
  <c r="I1244" i="4"/>
  <c r="L1242" i="4"/>
  <c r="I1242" i="4"/>
  <c r="F1242" i="4"/>
  <c r="I1241" i="4"/>
  <c r="F1241" i="4"/>
  <c r="L1241" i="4"/>
  <c r="X1270" i="4"/>
  <c r="L1231" i="4"/>
  <c r="F1231" i="4"/>
  <c r="V1229" i="4"/>
  <c r="G1229" i="4"/>
  <c r="R1229" i="4"/>
  <c r="N1229" i="4"/>
  <c r="L1225" i="4"/>
  <c r="F1225" i="4"/>
  <c r="I1225" i="4"/>
  <c r="X1230" i="4"/>
  <c r="T1230" i="4"/>
  <c r="L1215" i="4"/>
  <c r="F1215" i="4"/>
  <c r="R1211" i="4"/>
  <c r="P1166" i="4"/>
  <c r="J1211" i="4"/>
  <c r="L1211" i="4" s="1"/>
  <c r="I1211" i="4"/>
  <c r="I1214" i="4" s="1"/>
  <c r="I1216" i="4" s="1"/>
  <c r="V1211" i="4"/>
  <c r="N1211" i="4"/>
  <c r="L1210" i="4"/>
  <c r="I1210" i="4"/>
  <c r="F1210" i="4"/>
  <c r="T1214" i="4"/>
  <c r="L1209" i="4"/>
  <c r="L1202" i="4"/>
  <c r="V1200" i="4"/>
  <c r="N1200" i="4"/>
  <c r="G1200" i="4"/>
  <c r="AE1197" i="4"/>
  <c r="R1200" i="4"/>
  <c r="F1196" i="4"/>
  <c r="AD1194" i="4"/>
  <c r="L1194" i="4"/>
  <c r="I1194" i="4"/>
  <c r="F1194" i="4"/>
  <c r="AD1193" i="4"/>
  <c r="L1193" i="4"/>
  <c r="I1193" i="4"/>
  <c r="F1193" i="4"/>
  <c r="AD1192" i="4"/>
  <c r="L1192" i="4"/>
  <c r="I1192" i="4"/>
  <c r="F1192" i="4"/>
  <c r="AD1191" i="4"/>
  <c r="L1191" i="4"/>
  <c r="I1191" i="4"/>
  <c r="F1191" i="4"/>
  <c r="AD1190" i="4"/>
  <c r="L1190" i="4"/>
  <c r="I1190" i="4"/>
  <c r="F1190" i="4"/>
  <c r="AD1187" i="4"/>
  <c r="L1187" i="4"/>
  <c r="F1187" i="4"/>
  <c r="AD1186" i="4"/>
  <c r="L1186" i="4"/>
  <c r="I1186" i="4"/>
  <c r="F1186" i="4"/>
  <c r="AD1185" i="4"/>
  <c r="X1201" i="4"/>
  <c r="AD1184" i="4"/>
  <c r="T1201" i="4"/>
  <c r="L1184" i="4"/>
  <c r="AD1183" i="4"/>
  <c r="L1183" i="4"/>
  <c r="F1183" i="4"/>
  <c r="AD1182" i="4"/>
  <c r="L1182" i="4"/>
  <c r="I1182" i="4"/>
  <c r="F1182" i="4"/>
  <c r="X1180" i="4"/>
  <c r="F1180" i="4"/>
  <c r="C1171" i="4"/>
  <c r="V1169" i="4"/>
  <c r="C1168" i="4"/>
  <c r="C1167" i="4"/>
  <c r="X1166" i="4"/>
  <c r="T1166" i="4"/>
  <c r="X1165" i="4"/>
  <c r="T1165" i="4"/>
  <c r="I1165" i="4"/>
  <c r="F1165" i="4"/>
  <c r="I1158" i="4"/>
  <c r="L1157" i="4"/>
  <c r="F1157" i="4"/>
  <c r="C1156" i="4"/>
  <c r="C1158" i="4" s="1"/>
  <c r="R1155" i="4"/>
  <c r="J1155" i="4"/>
  <c r="G1155" i="4"/>
  <c r="C1154" i="4"/>
  <c r="L1154" i="4" s="1"/>
  <c r="L1152" i="4"/>
  <c r="I1152" i="4"/>
  <c r="F1152" i="4"/>
  <c r="X1156" i="4"/>
  <c r="V1155" i="4"/>
  <c r="N1155" i="4"/>
  <c r="I1151" i="4"/>
  <c r="F1151" i="4"/>
  <c r="L1151" i="4"/>
  <c r="X1150" i="4"/>
  <c r="I1156" i="4"/>
  <c r="L1140" i="4"/>
  <c r="F1140" i="4"/>
  <c r="L1136" i="4"/>
  <c r="I1136" i="4"/>
  <c r="F1136" i="4"/>
  <c r="L1135" i="4"/>
  <c r="I1135" i="4"/>
  <c r="F1135" i="4"/>
  <c r="L1134" i="4"/>
  <c r="I1134" i="4"/>
  <c r="F1134" i="4"/>
  <c r="L1133" i="4"/>
  <c r="I1133" i="4"/>
  <c r="F1133" i="4"/>
  <c r="L1132" i="4"/>
  <c r="I1132" i="4"/>
  <c r="F1132" i="4"/>
  <c r="L1131" i="4"/>
  <c r="I1131" i="4"/>
  <c r="F1131" i="4"/>
  <c r="L1130" i="4"/>
  <c r="I1130" i="4"/>
  <c r="F1130" i="4"/>
  <c r="L1128" i="4"/>
  <c r="I1128" i="4"/>
  <c r="F1128" i="4"/>
  <c r="L1127" i="4"/>
  <c r="I1127" i="4"/>
  <c r="F1127" i="4"/>
  <c r="L1126" i="4"/>
  <c r="I1126" i="4"/>
  <c r="F1126" i="4"/>
  <c r="L1125" i="4"/>
  <c r="I1125" i="4"/>
  <c r="F1125" i="4"/>
  <c r="F1123" i="4"/>
  <c r="I1123" i="4"/>
  <c r="L1122" i="4"/>
  <c r="L1121" i="4"/>
  <c r="I1121" i="4"/>
  <c r="F1121" i="4"/>
  <c r="L1120" i="4"/>
  <c r="I1120" i="4"/>
  <c r="F1120" i="4"/>
  <c r="L1119" i="4"/>
  <c r="I1119" i="4"/>
  <c r="F1119" i="4"/>
  <c r="I1118" i="4"/>
  <c r="F1118" i="4"/>
  <c r="L1118" i="4"/>
  <c r="L1117" i="4"/>
  <c r="I1117" i="4"/>
  <c r="F1117" i="4"/>
  <c r="L1116" i="4"/>
  <c r="I1116" i="4"/>
  <c r="F1116" i="4"/>
  <c r="L1115" i="4"/>
  <c r="L1114" i="4"/>
  <c r="G1103" i="4"/>
  <c r="AA1101" i="4"/>
  <c r="F1101" i="4"/>
  <c r="F1098" i="4"/>
  <c r="I1098" i="4"/>
  <c r="F1097" i="4"/>
  <c r="I1097" i="4"/>
  <c r="L1096" i="4"/>
  <c r="I1096" i="4"/>
  <c r="F1096" i="4"/>
  <c r="C1095" i="4"/>
  <c r="L1093" i="4"/>
  <c r="I1093" i="4"/>
  <c r="F1093" i="4"/>
  <c r="C1079" i="4"/>
  <c r="I1078" i="4"/>
  <c r="I1076" i="4"/>
  <c r="C1076" i="4"/>
  <c r="L1067" i="4"/>
  <c r="F1067" i="4"/>
  <c r="F1061" i="4"/>
  <c r="C1061" i="4"/>
  <c r="C1060" i="4"/>
  <c r="I1057" i="4"/>
  <c r="C1057" i="4"/>
  <c r="X1047" i="4"/>
  <c r="V1047" i="4"/>
  <c r="N1047" i="4"/>
  <c r="C1047" i="4"/>
  <c r="J1046" i="4"/>
  <c r="L1046" i="4" s="1"/>
  <c r="I1046" i="4"/>
  <c r="F1046" i="4"/>
  <c r="F1083" i="4" s="1"/>
  <c r="C1083" i="4"/>
  <c r="I1045" i="4"/>
  <c r="I1082" i="4" s="1"/>
  <c r="F1045" i="4"/>
  <c r="F1082" i="4" s="1"/>
  <c r="C1082" i="4"/>
  <c r="F1043" i="4"/>
  <c r="T1042" i="4"/>
  <c r="R1042" i="4"/>
  <c r="I1042" i="4"/>
  <c r="I1079" i="4" s="1"/>
  <c r="F1042" i="4"/>
  <c r="F1079" i="4" s="1"/>
  <c r="I1041" i="4"/>
  <c r="F1041" i="4"/>
  <c r="F1078" i="4" s="1"/>
  <c r="C1078" i="4"/>
  <c r="I1039" i="4"/>
  <c r="F1039" i="4"/>
  <c r="F1076" i="4" s="1"/>
  <c r="R1038" i="4"/>
  <c r="J1038" i="4"/>
  <c r="C1030" i="4"/>
  <c r="J1029" i="4"/>
  <c r="L1028" i="4"/>
  <c r="F1028" i="4"/>
  <c r="I1025" i="4"/>
  <c r="I1061" i="4" s="1"/>
  <c r="F1025" i="4"/>
  <c r="V1024" i="4"/>
  <c r="X1024" i="4" s="1"/>
  <c r="X1060" i="4" s="1"/>
  <c r="I1024" i="4"/>
  <c r="F1024" i="4"/>
  <c r="F1060" i="4" s="1"/>
  <c r="F928" i="4" s="1"/>
  <c r="R1023" i="4"/>
  <c r="C1022" i="4"/>
  <c r="R1021" i="4"/>
  <c r="T1021" i="4" s="1"/>
  <c r="T1057" i="4" s="1"/>
  <c r="L1021" i="4"/>
  <c r="L1057" i="4" s="1"/>
  <c r="J1021" i="4"/>
  <c r="Q16" i="11" s="1"/>
  <c r="I1021" i="4"/>
  <c r="F1021" i="4"/>
  <c r="F1057" i="4" s="1"/>
  <c r="N1020" i="4"/>
  <c r="P1020" i="4" s="1"/>
  <c r="I1020" i="4"/>
  <c r="F1020" i="4"/>
  <c r="C1056" i="4"/>
  <c r="Y1013" i="4"/>
  <c r="G1009" i="4"/>
  <c r="V1029" i="4"/>
  <c r="N1029" i="4"/>
  <c r="J1028" i="4"/>
  <c r="F1007" i="4"/>
  <c r="C1007" i="4"/>
  <c r="C1006" i="4"/>
  <c r="V1042" i="4"/>
  <c r="X1042" i="4" s="1"/>
  <c r="X1079" i="4" s="1"/>
  <c r="R1024" i="4"/>
  <c r="T1024" i="4" s="1"/>
  <c r="F1003" i="4"/>
  <c r="C1003" i="4"/>
  <c r="I1003" i="4" s="1"/>
  <c r="V1023" i="4"/>
  <c r="R1041" i="4"/>
  <c r="T1041" i="4" s="1"/>
  <c r="X925" i="4"/>
  <c r="R1039" i="4"/>
  <c r="T1039" i="4" s="1"/>
  <c r="J1039" i="4"/>
  <c r="L1039" i="4" s="1"/>
  <c r="I1000" i="4"/>
  <c r="F1000" i="4"/>
  <c r="C1000" i="4"/>
  <c r="L1000" i="4" s="1"/>
  <c r="V1038" i="4"/>
  <c r="R1020" i="4"/>
  <c r="T1020" i="4" s="1"/>
  <c r="N1038" i="4"/>
  <c r="J1020" i="4"/>
  <c r="C989" i="4"/>
  <c r="I988" i="4"/>
  <c r="F988" i="4"/>
  <c r="P987" i="4"/>
  <c r="N987" i="4"/>
  <c r="I987" i="4"/>
  <c r="F987" i="4"/>
  <c r="C990" i="4"/>
  <c r="I984" i="4"/>
  <c r="F984" i="4"/>
  <c r="V983" i="4"/>
  <c r="X983" i="4" s="1"/>
  <c r="I983" i="4"/>
  <c r="F983" i="4"/>
  <c r="P981" i="4"/>
  <c r="N981" i="4"/>
  <c r="I981" i="4"/>
  <c r="F981" i="4"/>
  <c r="R980" i="4"/>
  <c r="J980" i="4"/>
  <c r="R971" i="4"/>
  <c r="J971" i="4"/>
  <c r="N970" i="4"/>
  <c r="F970" i="4"/>
  <c r="C972" i="4"/>
  <c r="I967" i="4"/>
  <c r="F967" i="4"/>
  <c r="X966" i="4"/>
  <c r="V966" i="4"/>
  <c r="I966" i="4"/>
  <c r="F966" i="4"/>
  <c r="C964" i="4"/>
  <c r="T963" i="4"/>
  <c r="R963" i="4"/>
  <c r="L963" i="4"/>
  <c r="J963" i="4"/>
  <c r="I963" i="4"/>
  <c r="F963" i="4"/>
  <c r="I962" i="4"/>
  <c r="F962" i="4"/>
  <c r="AA1013" i="4"/>
  <c r="Z1013" i="4"/>
  <c r="G952" i="4"/>
  <c r="R989" i="4"/>
  <c r="N988" i="4"/>
  <c r="P988" i="4" s="1"/>
  <c r="N969" i="4"/>
  <c r="C949" i="4"/>
  <c r="C947" i="4"/>
  <c r="V984" i="4"/>
  <c r="X984" i="4" s="1"/>
  <c r="C946" i="4"/>
  <c r="V965" i="4"/>
  <c r="T927" i="4"/>
  <c r="T908" i="4" s="1"/>
  <c r="C945" i="4"/>
  <c r="V963" i="4"/>
  <c r="X963" i="4" s="1"/>
  <c r="T925" i="4"/>
  <c r="T906" i="4" s="1"/>
  <c r="R981" i="4"/>
  <c r="T981" i="4" s="1"/>
  <c r="N963" i="4"/>
  <c r="P963" i="4" s="1"/>
  <c r="L943" i="4"/>
  <c r="L925" i="4" s="1"/>
  <c r="AA943" i="4"/>
  <c r="F943" i="4"/>
  <c r="C943" i="4"/>
  <c r="I943" i="4" s="1"/>
  <c r="V980" i="4"/>
  <c r="R962" i="4"/>
  <c r="T962" i="4" s="1"/>
  <c r="AA942" i="4"/>
  <c r="X933" i="4"/>
  <c r="T933" i="4"/>
  <c r="I933" i="4"/>
  <c r="P932" i="4"/>
  <c r="P931" i="4"/>
  <c r="E929" i="4"/>
  <c r="X928" i="4"/>
  <c r="C928" i="4"/>
  <c r="C909" i="4" s="1"/>
  <c r="X927" i="4"/>
  <c r="X926" i="4"/>
  <c r="T926" i="4"/>
  <c r="P926" i="4"/>
  <c r="L926" i="4"/>
  <c r="I926" i="4"/>
  <c r="P925" i="4"/>
  <c r="C925" i="4"/>
  <c r="C906" i="4" s="1"/>
  <c r="P924" i="4"/>
  <c r="P905" i="4" s="1"/>
  <c r="P913" i="4"/>
  <c r="P912" i="4"/>
  <c r="X909" i="4"/>
  <c r="X908" i="4"/>
  <c r="X906" i="4"/>
  <c r="R896" i="4"/>
  <c r="J896" i="4"/>
  <c r="I893" i="4"/>
  <c r="F893" i="4"/>
  <c r="L892" i="4"/>
  <c r="I892" i="4"/>
  <c r="F892" i="4"/>
  <c r="N891" i="4"/>
  <c r="I891" i="4"/>
  <c r="F891" i="4"/>
  <c r="N890" i="4"/>
  <c r="V887" i="4"/>
  <c r="I887" i="4"/>
  <c r="F887" i="4"/>
  <c r="V886" i="4"/>
  <c r="F886" i="4"/>
  <c r="I886" i="4"/>
  <c r="V885" i="4"/>
  <c r="R885" i="4"/>
  <c r="N885" i="4"/>
  <c r="J885" i="4"/>
  <c r="C885" i="4"/>
  <c r="V884" i="4"/>
  <c r="R884" i="4"/>
  <c r="N884" i="4"/>
  <c r="I884" i="4"/>
  <c r="F884" i="4"/>
  <c r="R883" i="4"/>
  <c r="I883" i="4"/>
  <c r="F883" i="4"/>
  <c r="V872" i="4"/>
  <c r="X872" i="4" s="1"/>
  <c r="N872" i="4"/>
  <c r="P872" i="4" s="1"/>
  <c r="C872" i="4"/>
  <c r="N871" i="4"/>
  <c r="P871" i="4" s="1"/>
  <c r="I871" i="4"/>
  <c r="F871" i="4"/>
  <c r="I870" i="4"/>
  <c r="F870" i="4"/>
  <c r="I869" i="4"/>
  <c r="I763" i="4" s="1"/>
  <c r="F869" i="4"/>
  <c r="I868" i="4"/>
  <c r="F868" i="4"/>
  <c r="I866" i="4"/>
  <c r="I760" i="4" s="1"/>
  <c r="F866" i="4"/>
  <c r="I865" i="4"/>
  <c r="F865" i="4"/>
  <c r="I863" i="4"/>
  <c r="F863" i="4"/>
  <c r="I862" i="4"/>
  <c r="F862" i="4"/>
  <c r="I861" i="4"/>
  <c r="I755" i="4" s="1"/>
  <c r="F861" i="4"/>
  <c r="R860" i="4"/>
  <c r="T860" i="4" s="1"/>
  <c r="I860" i="4"/>
  <c r="F860" i="4"/>
  <c r="I859" i="4"/>
  <c r="F859" i="4"/>
  <c r="I857" i="4"/>
  <c r="F857" i="4"/>
  <c r="I856" i="4"/>
  <c r="I750" i="4" s="1"/>
  <c r="F856" i="4"/>
  <c r="I855" i="4"/>
  <c r="F855" i="4"/>
  <c r="N854" i="4"/>
  <c r="P854" i="4" s="1"/>
  <c r="I854" i="4"/>
  <c r="F854" i="4"/>
  <c r="I852" i="4"/>
  <c r="F852" i="4"/>
  <c r="X850" i="4"/>
  <c r="V850" i="4"/>
  <c r="N850" i="4"/>
  <c r="P850" i="4" s="1"/>
  <c r="C850" i="4"/>
  <c r="J849" i="4"/>
  <c r="I849" i="4"/>
  <c r="F849" i="4"/>
  <c r="I848" i="4"/>
  <c r="F848" i="4"/>
  <c r="C873" i="4"/>
  <c r="C875" i="4" s="1"/>
  <c r="R843" i="4"/>
  <c r="I843" i="4"/>
  <c r="F843" i="4"/>
  <c r="I842" i="4"/>
  <c r="F842" i="4"/>
  <c r="F841" i="4"/>
  <c r="I841" i="4"/>
  <c r="R840" i="4"/>
  <c r="T840" i="4" s="1"/>
  <c r="R839" i="4"/>
  <c r="I839" i="4"/>
  <c r="F839" i="4"/>
  <c r="I837" i="4"/>
  <c r="F837" i="4"/>
  <c r="F730" i="4" s="1"/>
  <c r="C833" i="4"/>
  <c r="C726" i="4" s="1"/>
  <c r="I831" i="4"/>
  <c r="F831" i="4"/>
  <c r="N830" i="4"/>
  <c r="P830" i="4" s="1"/>
  <c r="I830" i="4"/>
  <c r="I723" i="4" s="1"/>
  <c r="F830" i="4"/>
  <c r="F828" i="4"/>
  <c r="V819" i="4"/>
  <c r="N818" i="4"/>
  <c r="P818" i="4" s="1"/>
  <c r="I818" i="4"/>
  <c r="F818" i="4"/>
  <c r="I816" i="4"/>
  <c r="F816" i="4"/>
  <c r="F815" i="4"/>
  <c r="I813" i="4"/>
  <c r="F813" i="4"/>
  <c r="I812" i="4"/>
  <c r="F812" i="4"/>
  <c r="I810" i="4"/>
  <c r="F810" i="4"/>
  <c r="I809" i="4"/>
  <c r="F809" i="4"/>
  <c r="I808" i="4"/>
  <c r="F808" i="4"/>
  <c r="I807" i="4"/>
  <c r="F807" i="4"/>
  <c r="I804" i="4"/>
  <c r="F804" i="4"/>
  <c r="I803" i="4"/>
  <c r="F803" i="4"/>
  <c r="F750" i="4" s="1"/>
  <c r="I802" i="4"/>
  <c r="I749" i="4" s="1"/>
  <c r="F802" i="4"/>
  <c r="I799" i="4"/>
  <c r="F799" i="4"/>
  <c r="V797" i="4"/>
  <c r="X797" i="4" s="1"/>
  <c r="P797" i="4"/>
  <c r="N797" i="4"/>
  <c r="C797" i="4"/>
  <c r="I796" i="4"/>
  <c r="I742" i="4" s="1"/>
  <c r="F796" i="4"/>
  <c r="I795" i="4"/>
  <c r="F795" i="4"/>
  <c r="F741" i="4" s="1"/>
  <c r="C820" i="4"/>
  <c r="C822" i="4" s="1"/>
  <c r="F793" i="4"/>
  <c r="I793" i="4"/>
  <c r="I790" i="4"/>
  <c r="I736" i="4" s="1"/>
  <c r="F790" i="4"/>
  <c r="I789" i="4"/>
  <c r="I735" i="4" s="1"/>
  <c r="F789" i="4"/>
  <c r="T787" i="4"/>
  <c r="I786" i="4"/>
  <c r="F786" i="4"/>
  <c r="I784" i="4"/>
  <c r="I730" i="4" s="1"/>
  <c r="F784" i="4"/>
  <c r="C727" i="4"/>
  <c r="C780" i="4"/>
  <c r="I778" i="4"/>
  <c r="I724" i="4" s="1"/>
  <c r="F778" i="4"/>
  <c r="V777" i="4"/>
  <c r="I777" i="4"/>
  <c r="F777" i="4"/>
  <c r="N775" i="4"/>
  <c r="F775" i="4"/>
  <c r="I775" i="4"/>
  <c r="C768" i="4"/>
  <c r="C767" i="4"/>
  <c r="C769" i="4" s="1"/>
  <c r="R766" i="4"/>
  <c r="C766" i="4"/>
  <c r="V871" i="4"/>
  <c r="X871" i="4" s="1"/>
  <c r="F765" i="4"/>
  <c r="C765" i="4"/>
  <c r="N870" i="4"/>
  <c r="P870" i="4" s="1"/>
  <c r="C764" i="4"/>
  <c r="J763" i="4"/>
  <c r="F763" i="4"/>
  <c r="C763" i="4"/>
  <c r="F762" i="4"/>
  <c r="C762" i="4"/>
  <c r="F760" i="4"/>
  <c r="C760" i="4"/>
  <c r="I759" i="4"/>
  <c r="F759" i="4"/>
  <c r="C759" i="4"/>
  <c r="R757" i="4"/>
  <c r="I757" i="4"/>
  <c r="F757" i="4"/>
  <c r="C757" i="4"/>
  <c r="V756" i="4"/>
  <c r="I756" i="4"/>
  <c r="F756" i="4"/>
  <c r="C756" i="4"/>
  <c r="F755" i="4"/>
  <c r="C755" i="4"/>
  <c r="R754" i="4"/>
  <c r="I754" i="4"/>
  <c r="F754" i="4"/>
  <c r="C754" i="4"/>
  <c r="R753" i="4"/>
  <c r="I751" i="4"/>
  <c r="F751" i="4"/>
  <c r="C751" i="4"/>
  <c r="V750" i="4"/>
  <c r="C750" i="4"/>
  <c r="F749" i="4"/>
  <c r="C749" i="4"/>
  <c r="N746" i="4"/>
  <c r="I746" i="4"/>
  <c r="F746" i="4"/>
  <c r="C746" i="4"/>
  <c r="G744" i="4"/>
  <c r="V766" i="4"/>
  <c r="N766" i="4"/>
  <c r="N819" i="4" s="1"/>
  <c r="J796" i="4"/>
  <c r="F742" i="4"/>
  <c r="C742" i="4"/>
  <c r="I741" i="4"/>
  <c r="C741" i="4"/>
  <c r="C743" i="4" s="1"/>
  <c r="C740" i="4"/>
  <c r="R790" i="4"/>
  <c r="T790" i="4" s="1"/>
  <c r="F736" i="4"/>
  <c r="C736" i="4"/>
  <c r="R756" i="4"/>
  <c r="F735" i="4"/>
  <c r="C735" i="4"/>
  <c r="R787" i="4"/>
  <c r="R807" i="4" s="1"/>
  <c r="T807" i="4" s="1"/>
  <c r="C733" i="4"/>
  <c r="R786" i="4"/>
  <c r="F732" i="4"/>
  <c r="C732" i="4"/>
  <c r="R751" i="4"/>
  <c r="C730" i="4"/>
  <c r="C728" i="4"/>
  <c r="C725" i="4"/>
  <c r="F724" i="4"/>
  <c r="C724" i="4"/>
  <c r="V830" i="4"/>
  <c r="V854" i="4" s="1"/>
  <c r="X854" i="4" s="1"/>
  <c r="N748" i="4"/>
  <c r="C723" i="4"/>
  <c r="N828" i="4"/>
  <c r="N712" i="4"/>
  <c r="P711" i="4"/>
  <c r="C711" i="4"/>
  <c r="T710" i="4"/>
  <c r="R710" i="4"/>
  <c r="J710" i="4"/>
  <c r="P709" i="4"/>
  <c r="N709" i="4"/>
  <c r="J709" i="4"/>
  <c r="L709" i="4" s="1"/>
  <c r="I709" i="4"/>
  <c r="F709" i="4"/>
  <c r="I708" i="4"/>
  <c r="I630" i="4" s="1"/>
  <c r="F708" i="4"/>
  <c r="F630" i="4" s="1"/>
  <c r="C630" i="4"/>
  <c r="I705" i="4"/>
  <c r="F705" i="4"/>
  <c r="I704" i="4"/>
  <c r="F704" i="4"/>
  <c r="F626" i="4" s="1"/>
  <c r="C626" i="4"/>
  <c r="I703" i="4"/>
  <c r="F703" i="4"/>
  <c r="I702" i="4"/>
  <c r="F702" i="4"/>
  <c r="I701" i="4"/>
  <c r="F701" i="4"/>
  <c r="I699" i="4"/>
  <c r="F699" i="4"/>
  <c r="N697" i="4"/>
  <c r="V696" i="4"/>
  <c r="P696" i="4"/>
  <c r="N696" i="4"/>
  <c r="N711" i="4" s="1"/>
  <c r="C696" i="4"/>
  <c r="J695" i="4"/>
  <c r="I695" i="4"/>
  <c r="F695" i="4"/>
  <c r="F693" i="4"/>
  <c r="I690" i="4"/>
  <c r="F690" i="4"/>
  <c r="V688" i="4"/>
  <c r="I688" i="4"/>
  <c r="F688" i="4"/>
  <c r="F608" i="4" s="1"/>
  <c r="I687" i="4"/>
  <c r="V685" i="4"/>
  <c r="T685" i="4"/>
  <c r="R685" i="4"/>
  <c r="R701" i="4" s="1"/>
  <c r="T701" i="4" s="1"/>
  <c r="L685" i="4"/>
  <c r="J685" i="4"/>
  <c r="J701" i="4" s="1"/>
  <c r="L701" i="4" s="1"/>
  <c r="I685" i="4"/>
  <c r="R684" i="4"/>
  <c r="J684" i="4"/>
  <c r="L684" i="4" s="1"/>
  <c r="R683" i="4"/>
  <c r="T683" i="4" s="1"/>
  <c r="J683" i="4"/>
  <c r="I683" i="4"/>
  <c r="I603" i="4" s="1"/>
  <c r="F683" i="4"/>
  <c r="L676" i="4"/>
  <c r="F676" i="4"/>
  <c r="R672" i="4"/>
  <c r="N672" i="4"/>
  <c r="P672" i="4" s="1"/>
  <c r="I670" i="4"/>
  <c r="F670" i="4"/>
  <c r="I666" i="4"/>
  <c r="F666" i="4"/>
  <c r="I665" i="4"/>
  <c r="F665" i="4"/>
  <c r="V664" i="4"/>
  <c r="X664" i="4" s="1"/>
  <c r="R663" i="4"/>
  <c r="T663" i="4" s="1"/>
  <c r="L663" i="4"/>
  <c r="J663" i="4"/>
  <c r="R662" i="4"/>
  <c r="T662" i="4" s="1"/>
  <c r="I662" i="4"/>
  <c r="F662" i="4"/>
  <c r="I661" i="4"/>
  <c r="F661" i="4"/>
  <c r="V659" i="4"/>
  <c r="V658" i="4"/>
  <c r="V673" i="4" s="1"/>
  <c r="N658" i="4"/>
  <c r="C658" i="4"/>
  <c r="X658" i="4" s="1"/>
  <c r="J657" i="4"/>
  <c r="L657" i="4" s="1"/>
  <c r="I657" i="4"/>
  <c r="F657" i="4"/>
  <c r="N656" i="4"/>
  <c r="N655" i="4"/>
  <c r="P655" i="4" s="1"/>
  <c r="I652" i="4"/>
  <c r="F652" i="4"/>
  <c r="X650" i="4"/>
  <c r="I650" i="4"/>
  <c r="I608" i="4" s="1"/>
  <c r="F650" i="4"/>
  <c r="V649" i="4"/>
  <c r="R647" i="4"/>
  <c r="N647" i="4"/>
  <c r="J647" i="4"/>
  <c r="F647" i="4"/>
  <c r="R646" i="4"/>
  <c r="T646" i="4" s="1"/>
  <c r="J646" i="4"/>
  <c r="R645" i="4"/>
  <c r="J645" i="4"/>
  <c r="I645" i="4"/>
  <c r="F645" i="4"/>
  <c r="R634" i="4"/>
  <c r="J634" i="4"/>
  <c r="V633" i="4"/>
  <c r="N633" i="4"/>
  <c r="N710" i="4"/>
  <c r="J672" i="4"/>
  <c r="L672" i="4" s="1"/>
  <c r="N671" i="4"/>
  <c r="J671" i="4"/>
  <c r="J630" i="4"/>
  <c r="N629" i="4"/>
  <c r="N628" i="4"/>
  <c r="C628" i="4"/>
  <c r="C633" i="4" s="1"/>
  <c r="C627" i="4"/>
  <c r="I626" i="4"/>
  <c r="V625" i="4"/>
  <c r="I625" i="4"/>
  <c r="F625" i="4"/>
  <c r="C625" i="4"/>
  <c r="V624" i="4"/>
  <c r="C624" i="4"/>
  <c r="R623" i="4"/>
  <c r="J623" i="4"/>
  <c r="C623" i="4"/>
  <c r="R622" i="4"/>
  <c r="J622" i="4"/>
  <c r="I621" i="4"/>
  <c r="F621" i="4"/>
  <c r="C621" i="4"/>
  <c r="G619" i="4"/>
  <c r="G618" i="4"/>
  <c r="R697" i="4"/>
  <c r="J697" i="4"/>
  <c r="V593" i="4"/>
  <c r="N593" i="4"/>
  <c r="AA615" i="4"/>
  <c r="F615" i="4"/>
  <c r="C615" i="4"/>
  <c r="C613" i="4"/>
  <c r="C616" i="4" s="1"/>
  <c r="F610" i="4"/>
  <c r="C610" i="4"/>
  <c r="V650" i="4"/>
  <c r="V665" i="4" s="1"/>
  <c r="X665" i="4" s="1"/>
  <c r="R688" i="4"/>
  <c r="C608" i="4"/>
  <c r="V687" i="4"/>
  <c r="R687" i="4"/>
  <c r="V623" i="4"/>
  <c r="N623" i="4"/>
  <c r="AA605" i="4"/>
  <c r="AA604" i="4"/>
  <c r="R621" i="4"/>
  <c r="J621" i="4"/>
  <c r="F603" i="4"/>
  <c r="C603" i="4"/>
  <c r="C597" i="4"/>
  <c r="C595" i="4"/>
  <c r="R594" i="4"/>
  <c r="J594" i="4"/>
  <c r="C594" i="4"/>
  <c r="R593" i="4"/>
  <c r="C593" i="4"/>
  <c r="N592" i="4"/>
  <c r="I592" i="4"/>
  <c r="F592" i="4"/>
  <c r="L589" i="4"/>
  <c r="I589" i="4"/>
  <c r="F589" i="4"/>
  <c r="L588" i="4"/>
  <c r="I588" i="4"/>
  <c r="F588" i="4"/>
  <c r="J587" i="4"/>
  <c r="L587" i="4" s="1"/>
  <c r="I587" i="4"/>
  <c r="F587" i="4"/>
  <c r="N586" i="4"/>
  <c r="I586" i="4"/>
  <c r="F586" i="4"/>
  <c r="I585" i="4"/>
  <c r="F585" i="4"/>
  <c r="V584" i="4"/>
  <c r="R584" i="4"/>
  <c r="N584" i="4"/>
  <c r="L584" i="4"/>
  <c r="J584" i="4"/>
  <c r="I584" i="4"/>
  <c r="F584" i="4"/>
  <c r="I583" i="4"/>
  <c r="F583" i="4"/>
  <c r="V582" i="4"/>
  <c r="I582" i="4"/>
  <c r="F582" i="4"/>
  <c r="R581" i="4"/>
  <c r="I581" i="4"/>
  <c r="F581" i="4"/>
  <c r="V580" i="4"/>
  <c r="N580" i="4"/>
  <c r="I580" i="4"/>
  <c r="F580" i="4"/>
  <c r="R579" i="4"/>
  <c r="J579" i="4"/>
  <c r="L579" i="4" s="1"/>
  <c r="I579" i="4"/>
  <c r="F579" i="4"/>
  <c r="V578" i="4"/>
  <c r="N578" i="4"/>
  <c r="I578" i="4"/>
  <c r="F578" i="4"/>
  <c r="C576" i="4"/>
  <c r="L576" i="4" s="1"/>
  <c r="L575" i="4"/>
  <c r="C575" i="4"/>
  <c r="N587" i="4"/>
  <c r="L574" i="4"/>
  <c r="I574" i="4"/>
  <c r="F574" i="4"/>
  <c r="I573" i="4"/>
  <c r="F573" i="4"/>
  <c r="N585" i="4"/>
  <c r="I572" i="4"/>
  <c r="F572" i="4"/>
  <c r="I571" i="4"/>
  <c r="F571" i="4"/>
  <c r="I569" i="4"/>
  <c r="F569" i="4"/>
  <c r="R582" i="4"/>
  <c r="I567" i="4"/>
  <c r="F567" i="4"/>
  <c r="V581" i="4"/>
  <c r="I566" i="4"/>
  <c r="F566" i="4"/>
  <c r="C565" i="4"/>
  <c r="T483" i="4"/>
  <c r="R580" i="4"/>
  <c r="I564" i="4"/>
  <c r="F564" i="4"/>
  <c r="V579" i="4"/>
  <c r="N579" i="4"/>
  <c r="L563" i="4"/>
  <c r="I563" i="4"/>
  <c r="F563" i="4"/>
  <c r="R578" i="4"/>
  <c r="I562" i="4"/>
  <c r="F562" i="4"/>
  <c r="C554" i="4"/>
  <c r="C553" i="4"/>
  <c r="C552" i="4"/>
  <c r="C551" i="4"/>
  <c r="X550" i="4"/>
  <c r="X480" i="4" s="1"/>
  <c r="V550" i="4"/>
  <c r="T550" i="4"/>
  <c r="R550" i="4"/>
  <c r="I550" i="4"/>
  <c r="I480" i="4" s="1"/>
  <c r="F550" i="4"/>
  <c r="P549" i="4"/>
  <c r="N549" i="4"/>
  <c r="I549" i="4"/>
  <c r="F549" i="4"/>
  <c r="I548" i="4"/>
  <c r="I478" i="4" s="1"/>
  <c r="F548" i="4"/>
  <c r="I547" i="4"/>
  <c r="F547" i="4"/>
  <c r="I546" i="4"/>
  <c r="I476" i="4" s="1"/>
  <c r="F546" i="4"/>
  <c r="I545" i="4"/>
  <c r="F545" i="4"/>
  <c r="I544" i="4"/>
  <c r="I474" i="4" s="1"/>
  <c r="F544" i="4"/>
  <c r="I543" i="4"/>
  <c r="F543" i="4"/>
  <c r="I542" i="4"/>
  <c r="I472" i="4" s="1"/>
  <c r="F542" i="4"/>
  <c r="I541" i="4"/>
  <c r="F541" i="4"/>
  <c r="C539" i="4"/>
  <c r="I536" i="4"/>
  <c r="F536" i="4"/>
  <c r="F466" i="4" s="1"/>
  <c r="I535" i="4"/>
  <c r="F535" i="4"/>
  <c r="I532" i="4"/>
  <c r="F532" i="4"/>
  <c r="C461" i="4"/>
  <c r="C530" i="4"/>
  <c r="I528" i="4"/>
  <c r="F528" i="4"/>
  <c r="I527" i="4"/>
  <c r="F527" i="4"/>
  <c r="L520" i="4"/>
  <c r="V518" i="4"/>
  <c r="X518" i="4" s="1"/>
  <c r="C518" i="4"/>
  <c r="C517" i="4"/>
  <c r="C516" i="4"/>
  <c r="X515" i="4"/>
  <c r="V515" i="4"/>
  <c r="T515" i="4"/>
  <c r="R515" i="4"/>
  <c r="I515" i="4"/>
  <c r="F515" i="4"/>
  <c r="P514" i="4"/>
  <c r="P479" i="4" s="1"/>
  <c r="N514" i="4"/>
  <c r="I514" i="4"/>
  <c r="F514" i="4"/>
  <c r="F479" i="4" s="1"/>
  <c r="I513" i="4"/>
  <c r="F513" i="4"/>
  <c r="I512" i="4"/>
  <c r="F512" i="4"/>
  <c r="F477" i="4" s="1"/>
  <c r="I511" i="4"/>
  <c r="F511" i="4"/>
  <c r="I510" i="4"/>
  <c r="F510" i="4"/>
  <c r="F475" i="4" s="1"/>
  <c r="I509" i="4"/>
  <c r="F509" i="4"/>
  <c r="I508" i="4"/>
  <c r="F508" i="4"/>
  <c r="F473" i="4" s="1"/>
  <c r="I507" i="4"/>
  <c r="F507" i="4"/>
  <c r="I506" i="4"/>
  <c r="F506" i="4"/>
  <c r="F471" i="4" s="1"/>
  <c r="N502" i="4"/>
  <c r="P502" i="4" s="1"/>
  <c r="C502" i="4"/>
  <c r="I501" i="4"/>
  <c r="I466" i="4" s="1"/>
  <c r="F501" i="4"/>
  <c r="I500" i="4"/>
  <c r="F500" i="4"/>
  <c r="F465" i="4" s="1"/>
  <c r="C504" i="4"/>
  <c r="F499" i="4"/>
  <c r="I497" i="4"/>
  <c r="I462" i="4" s="1"/>
  <c r="F497" i="4"/>
  <c r="C495" i="4"/>
  <c r="C460" i="4" s="1"/>
  <c r="R494" i="4"/>
  <c r="I493" i="4"/>
  <c r="I458" i="4" s="1"/>
  <c r="F493" i="4"/>
  <c r="I492" i="4"/>
  <c r="F492" i="4"/>
  <c r="X483" i="4"/>
  <c r="P483" i="4"/>
  <c r="C483" i="4"/>
  <c r="X482" i="4"/>
  <c r="T482" i="4"/>
  <c r="P482" i="4"/>
  <c r="L482" i="4"/>
  <c r="C482" i="4"/>
  <c r="X481" i="4"/>
  <c r="T481" i="4"/>
  <c r="P481" i="4"/>
  <c r="C481" i="4"/>
  <c r="V480" i="4"/>
  <c r="T480" i="4"/>
  <c r="R480" i="4"/>
  <c r="F480" i="4"/>
  <c r="N479" i="4"/>
  <c r="I479" i="4"/>
  <c r="F478" i="4"/>
  <c r="I477" i="4"/>
  <c r="F476" i="4"/>
  <c r="I475" i="4"/>
  <c r="F474" i="4"/>
  <c r="I473" i="4"/>
  <c r="F472" i="4"/>
  <c r="I471" i="4"/>
  <c r="C466" i="4"/>
  <c r="C465" i="4"/>
  <c r="C469" i="4" s="1"/>
  <c r="C463" i="4"/>
  <c r="C467" i="4" s="1"/>
  <c r="F462" i="4"/>
  <c r="C462" i="4"/>
  <c r="C459" i="4"/>
  <c r="F458" i="4"/>
  <c r="C458" i="4"/>
  <c r="C457" i="4"/>
  <c r="C448" i="4"/>
  <c r="C447" i="4"/>
  <c r="C446" i="4"/>
  <c r="C445" i="4"/>
  <c r="V444" i="4"/>
  <c r="X444" i="4" s="1"/>
  <c r="T444" i="4"/>
  <c r="R444" i="4"/>
  <c r="I444" i="4"/>
  <c r="F444" i="4"/>
  <c r="P443" i="4"/>
  <c r="N443" i="4"/>
  <c r="J443" i="4"/>
  <c r="L443" i="4" s="1"/>
  <c r="I443" i="4"/>
  <c r="F443" i="4"/>
  <c r="I442" i="4"/>
  <c r="F442" i="4"/>
  <c r="I441" i="4"/>
  <c r="F441" i="4"/>
  <c r="I440" i="4"/>
  <c r="F440" i="4"/>
  <c r="I439" i="4"/>
  <c r="F439" i="4"/>
  <c r="I438" i="4"/>
  <c r="F438" i="4"/>
  <c r="I437" i="4"/>
  <c r="F437" i="4"/>
  <c r="I436" i="4"/>
  <c r="F436" i="4"/>
  <c r="I435" i="4"/>
  <c r="F435" i="4"/>
  <c r="C433" i="4"/>
  <c r="C432" i="4"/>
  <c r="I430" i="4"/>
  <c r="F430" i="4"/>
  <c r="I429" i="4"/>
  <c r="F429" i="4"/>
  <c r="I428" i="4"/>
  <c r="F428" i="4"/>
  <c r="I427" i="4"/>
  <c r="F427" i="4"/>
  <c r="C431" i="4"/>
  <c r="I426" i="4"/>
  <c r="F426" i="4"/>
  <c r="I423" i="4"/>
  <c r="F423" i="4"/>
  <c r="I422" i="4"/>
  <c r="F422" i="4"/>
  <c r="F352" i="4" s="1"/>
  <c r="L414" i="4"/>
  <c r="F414" i="4"/>
  <c r="C413" i="4"/>
  <c r="C412" i="4"/>
  <c r="C411" i="4"/>
  <c r="V410" i="4"/>
  <c r="X410" i="4" s="1"/>
  <c r="C410" i="4"/>
  <c r="X409" i="4"/>
  <c r="X374" i="4" s="1"/>
  <c r="V409" i="4"/>
  <c r="R409" i="4"/>
  <c r="T409" i="4" s="1"/>
  <c r="I409" i="4"/>
  <c r="F409" i="4"/>
  <c r="N408" i="4"/>
  <c r="P408" i="4" s="1"/>
  <c r="I408" i="4"/>
  <c r="F408" i="4"/>
  <c r="F373" i="4" s="1"/>
  <c r="I407" i="4"/>
  <c r="F407" i="4"/>
  <c r="I406" i="4"/>
  <c r="F406" i="4"/>
  <c r="F371" i="4" s="1"/>
  <c r="I405" i="4"/>
  <c r="F405" i="4"/>
  <c r="I404" i="4"/>
  <c r="F404" i="4"/>
  <c r="F369" i="4" s="1"/>
  <c r="I403" i="4"/>
  <c r="F403" i="4"/>
  <c r="I402" i="4"/>
  <c r="F402" i="4"/>
  <c r="F367" i="4" s="1"/>
  <c r="I401" i="4"/>
  <c r="F401" i="4"/>
  <c r="I400" i="4"/>
  <c r="F400" i="4"/>
  <c r="F365" i="4" s="1"/>
  <c r="C396" i="4"/>
  <c r="I395" i="4"/>
  <c r="F395" i="4"/>
  <c r="F360" i="4" s="1"/>
  <c r="C394" i="4"/>
  <c r="I393" i="4"/>
  <c r="C397" i="4"/>
  <c r="I392" i="4"/>
  <c r="F392" i="4"/>
  <c r="I391" i="4"/>
  <c r="F391" i="4"/>
  <c r="F356" i="4" s="1"/>
  <c r="I388" i="4"/>
  <c r="F388" i="4"/>
  <c r="F353" i="4" s="1"/>
  <c r="I387" i="4"/>
  <c r="F387" i="4"/>
  <c r="V374" i="4"/>
  <c r="T374" i="4"/>
  <c r="R374" i="4"/>
  <c r="I374" i="4"/>
  <c r="F374" i="4"/>
  <c r="P373" i="4"/>
  <c r="N373" i="4"/>
  <c r="I373" i="4"/>
  <c r="I372" i="4"/>
  <c r="F372" i="4"/>
  <c r="I371" i="4"/>
  <c r="I370" i="4"/>
  <c r="F370" i="4"/>
  <c r="F195" i="4" s="1"/>
  <c r="I369" i="4"/>
  <c r="I368" i="4"/>
  <c r="F368" i="4"/>
  <c r="I367" i="4"/>
  <c r="I366" i="4"/>
  <c r="F366" i="4"/>
  <c r="I365" i="4"/>
  <c r="C362" i="4"/>
  <c r="C361" i="4"/>
  <c r="C360" i="4"/>
  <c r="I360" i="4" s="1"/>
  <c r="I358" i="4"/>
  <c r="C358" i="4"/>
  <c r="F357" i="4"/>
  <c r="C357" i="4"/>
  <c r="I357" i="4" s="1"/>
  <c r="C356" i="4"/>
  <c r="I356" i="4" s="1"/>
  <c r="C355" i="4"/>
  <c r="C353" i="4"/>
  <c r="I353" i="4" s="1"/>
  <c r="C352" i="4"/>
  <c r="I352" i="4" s="1"/>
  <c r="R341" i="4"/>
  <c r="V339" i="4"/>
  <c r="X339" i="4" s="1"/>
  <c r="R339" i="4"/>
  <c r="T339" i="4" s="1"/>
  <c r="I339" i="4"/>
  <c r="F339" i="4"/>
  <c r="N338" i="4"/>
  <c r="P338" i="4" s="1"/>
  <c r="I337" i="4"/>
  <c r="F337" i="4"/>
  <c r="F335" i="4"/>
  <c r="I333" i="4"/>
  <c r="F333" i="4"/>
  <c r="I332" i="4"/>
  <c r="F332" i="4"/>
  <c r="F331" i="4"/>
  <c r="I331" i="4"/>
  <c r="I330" i="4"/>
  <c r="F330" i="4"/>
  <c r="N328" i="4"/>
  <c r="C327" i="4"/>
  <c r="I323" i="4"/>
  <c r="F323" i="4"/>
  <c r="I322" i="4"/>
  <c r="F322" i="4"/>
  <c r="C326" i="4"/>
  <c r="F321" i="4"/>
  <c r="I321" i="4"/>
  <c r="F319" i="4"/>
  <c r="I319" i="4"/>
  <c r="R317" i="4"/>
  <c r="I317" i="4"/>
  <c r="L310" i="4"/>
  <c r="F310" i="4"/>
  <c r="R307" i="4"/>
  <c r="T307" i="4" s="1"/>
  <c r="V306" i="4"/>
  <c r="V305" i="4"/>
  <c r="X305" i="4" s="1"/>
  <c r="R305" i="4"/>
  <c r="T305" i="4" s="1"/>
  <c r="N305" i="4"/>
  <c r="P305" i="4" s="1"/>
  <c r="I305" i="4"/>
  <c r="F305" i="4"/>
  <c r="N304" i="4"/>
  <c r="I301" i="4"/>
  <c r="F301" i="4"/>
  <c r="C307" i="4"/>
  <c r="I298" i="4"/>
  <c r="F298" i="4"/>
  <c r="I297" i="4"/>
  <c r="I228" i="4" s="1"/>
  <c r="F297" i="4"/>
  <c r="R294" i="4"/>
  <c r="N292" i="4"/>
  <c r="I291" i="4"/>
  <c r="F291" i="4"/>
  <c r="F289" i="4"/>
  <c r="F220" i="4" s="1"/>
  <c r="I287" i="4"/>
  <c r="F287" i="4"/>
  <c r="I285" i="4"/>
  <c r="F285" i="4"/>
  <c r="I284" i="4"/>
  <c r="F284" i="4"/>
  <c r="V273" i="4"/>
  <c r="C272" i="4"/>
  <c r="V270" i="4"/>
  <c r="X270" i="4" s="1"/>
  <c r="R270" i="4"/>
  <c r="T270" i="4" s="1"/>
  <c r="T236" i="4" s="1"/>
  <c r="I270" i="4"/>
  <c r="F270" i="4"/>
  <c r="N269" i="4"/>
  <c r="P269" i="4" s="1"/>
  <c r="I269" i="4"/>
  <c r="F269" i="4"/>
  <c r="I268" i="4"/>
  <c r="F268" i="4"/>
  <c r="I267" i="4"/>
  <c r="F267" i="4"/>
  <c r="I266" i="4"/>
  <c r="F266" i="4"/>
  <c r="I265" i="4"/>
  <c r="F265" i="4"/>
  <c r="C264" i="4"/>
  <c r="I263" i="4"/>
  <c r="F263" i="4"/>
  <c r="I262" i="4"/>
  <c r="F262" i="4"/>
  <c r="I261" i="4"/>
  <c r="F261" i="4"/>
  <c r="V259" i="4"/>
  <c r="N259" i="4"/>
  <c r="C258" i="4"/>
  <c r="I254" i="4"/>
  <c r="F254" i="4"/>
  <c r="F253" i="4"/>
  <c r="C251" i="4"/>
  <c r="I249" i="4"/>
  <c r="F249" i="4"/>
  <c r="I248" i="4"/>
  <c r="F248" i="4"/>
  <c r="V239" i="4"/>
  <c r="N239" i="4"/>
  <c r="J238" i="4"/>
  <c r="C238" i="4"/>
  <c r="J237" i="4"/>
  <c r="V236" i="4"/>
  <c r="R236" i="4"/>
  <c r="N236" i="4"/>
  <c r="F236" i="4"/>
  <c r="C236" i="4"/>
  <c r="C235" i="4"/>
  <c r="F232" i="4"/>
  <c r="C232" i="4"/>
  <c r="C231" i="4"/>
  <c r="I229" i="4"/>
  <c r="I192" i="4" s="1"/>
  <c r="F229" i="4"/>
  <c r="C229" i="4"/>
  <c r="F228" i="4"/>
  <c r="C228" i="4"/>
  <c r="R225" i="4"/>
  <c r="R224" i="4"/>
  <c r="J224" i="4"/>
  <c r="C220" i="4"/>
  <c r="C224" i="4" s="1"/>
  <c r="C219" i="4"/>
  <c r="C223" i="4" s="1"/>
  <c r="C218" i="4"/>
  <c r="C216" i="4"/>
  <c r="C175" i="4" s="1"/>
  <c r="N215" i="4"/>
  <c r="N228" i="4" s="1"/>
  <c r="N214" i="4"/>
  <c r="N227" i="4" s="1"/>
  <c r="C214" i="4"/>
  <c r="R202" i="4"/>
  <c r="R201" i="4"/>
  <c r="J201" i="4"/>
  <c r="V200" i="4"/>
  <c r="N200" i="4"/>
  <c r="F199" i="4"/>
  <c r="C199" i="4"/>
  <c r="J235" i="4"/>
  <c r="C198" i="4"/>
  <c r="N197" i="4"/>
  <c r="C195" i="4"/>
  <c r="C201" i="4" s="1"/>
  <c r="R192" i="4"/>
  <c r="J192" i="4"/>
  <c r="F192" i="4"/>
  <c r="C192" i="4"/>
  <c r="R191" i="4"/>
  <c r="J191" i="4"/>
  <c r="I191" i="4"/>
  <c r="F191" i="4"/>
  <c r="C191" i="4"/>
  <c r="V190" i="4"/>
  <c r="N190" i="4"/>
  <c r="G188" i="4"/>
  <c r="G187" i="4"/>
  <c r="G186" i="4"/>
  <c r="V363" i="4"/>
  <c r="N273" i="4"/>
  <c r="C179" i="4"/>
  <c r="C183" i="4" s="1"/>
  <c r="P183" i="4" s="1"/>
  <c r="C178" i="4"/>
  <c r="AA175" i="4"/>
  <c r="X175" i="4"/>
  <c r="AA174" i="4"/>
  <c r="AA173" i="4"/>
  <c r="AA171" i="4"/>
  <c r="X171" i="4"/>
  <c r="C171" i="4"/>
  <c r="AA170" i="4"/>
  <c r="X170" i="4"/>
  <c r="I170" i="4"/>
  <c r="F170" i="4"/>
  <c r="C170" i="4"/>
  <c r="X169" i="4"/>
  <c r="AA169" i="4"/>
  <c r="C169" i="4"/>
  <c r="L162" i="4"/>
  <c r="F162" i="4"/>
  <c r="C100" i="4"/>
  <c r="R158" i="4"/>
  <c r="N158" i="4"/>
  <c r="P158" i="4" s="1"/>
  <c r="I158" i="4"/>
  <c r="T157" i="4"/>
  <c r="P157" i="4"/>
  <c r="I157" i="4"/>
  <c r="F157" i="4"/>
  <c r="T156" i="4"/>
  <c r="P156" i="4"/>
  <c r="I156" i="4"/>
  <c r="F156" i="4"/>
  <c r="F154" i="4"/>
  <c r="V153" i="4"/>
  <c r="R153" i="4"/>
  <c r="J153" i="4"/>
  <c r="L153" i="4" s="1"/>
  <c r="L147" i="4"/>
  <c r="F147" i="4"/>
  <c r="R145" i="4"/>
  <c r="R160" i="4" s="1"/>
  <c r="R143" i="4"/>
  <c r="P143" i="4"/>
  <c r="N143" i="4"/>
  <c r="I143" i="4"/>
  <c r="I94" i="4" s="1"/>
  <c r="F143" i="4"/>
  <c r="T143" i="4"/>
  <c r="T142" i="4"/>
  <c r="P142" i="4"/>
  <c r="I142" i="4"/>
  <c r="I93" i="4" s="1"/>
  <c r="F142" i="4"/>
  <c r="I139" i="4"/>
  <c r="F139" i="4"/>
  <c r="C144" i="4"/>
  <c r="V138" i="4"/>
  <c r="R138" i="4"/>
  <c r="N138" i="4"/>
  <c r="I138" i="4"/>
  <c r="L132" i="4"/>
  <c r="F132" i="4"/>
  <c r="N130" i="4"/>
  <c r="N145" i="4" s="1"/>
  <c r="C129" i="4"/>
  <c r="R128" i="4"/>
  <c r="N128" i="4"/>
  <c r="F128" i="4"/>
  <c r="F127" i="4"/>
  <c r="F126" i="4"/>
  <c r="F124" i="4"/>
  <c r="V123" i="4"/>
  <c r="R123" i="4"/>
  <c r="L123" i="4"/>
  <c r="J123" i="4"/>
  <c r="N123" i="4" s="1"/>
  <c r="L117" i="4"/>
  <c r="R115" i="4"/>
  <c r="N115" i="4"/>
  <c r="F115" i="4"/>
  <c r="R114" i="4"/>
  <c r="R130" i="4" s="1"/>
  <c r="N114" i="4"/>
  <c r="R113" i="4"/>
  <c r="R129" i="4" s="1"/>
  <c r="R144" i="4" s="1"/>
  <c r="R159" i="4" s="1"/>
  <c r="C113" i="4"/>
  <c r="R112" i="4"/>
  <c r="F112" i="4"/>
  <c r="R111" i="4"/>
  <c r="F111" i="4"/>
  <c r="F110" i="4"/>
  <c r="L109" i="4"/>
  <c r="J109" i="4"/>
  <c r="V108" i="4"/>
  <c r="R108" i="4"/>
  <c r="J108" i="4"/>
  <c r="L108" i="4" s="1"/>
  <c r="I108" i="4"/>
  <c r="F108" i="4"/>
  <c r="G98" i="4"/>
  <c r="J97" i="4"/>
  <c r="G97" i="4"/>
  <c r="J113" i="4"/>
  <c r="N112" i="4"/>
  <c r="C93" i="4"/>
  <c r="T93" i="4" s="1"/>
  <c r="N111" i="4"/>
  <c r="AC91" i="4"/>
  <c r="AC90" i="4"/>
  <c r="N153" i="4"/>
  <c r="P153" i="4" s="1"/>
  <c r="R80" i="4"/>
  <c r="T80" i="4" s="1"/>
  <c r="N80" i="4"/>
  <c r="P80" i="4" s="1"/>
  <c r="J80" i="4"/>
  <c r="V79" i="4"/>
  <c r="X79" i="4" s="1"/>
  <c r="F79" i="4"/>
  <c r="I79" i="4"/>
  <c r="I77" i="4"/>
  <c r="F77" i="4"/>
  <c r="F20" i="4" s="1"/>
  <c r="I76" i="4"/>
  <c r="F76" i="4"/>
  <c r="F74" i="4"/>
  <c r="I74" i="4"/>
  <c r="I72" i="4"/>
  <c r="F72" i="4"/>
  <c r="L65" i="4"/>
  <c r="F65" i="4"/>
  <c r="R62" i="4"/>
  <c r="T62" i="4" s="1"/>
  <c r="N62" i="4"/>
  <c r="P62" i="4" s="1"/>
  <c r="V61" i="4"/>
  <c r="I61" i="4"/>
  <c r="I59" i="4"/>
  <c r="F59" i="4"/>
  <c r="I58" i="4"/>
  <c r="F58" i="4"/>
  <c r="I56" i="4"/>
  <c r="I54" i="4"/>
  <c r="F54" i="4"/>
  <c r="L47" i="4"/>
  <c r="F47" i="4"/>
  <c r="C25" i="4"/>
  <c r="C24" i="4"/>
  <c r="R44" i="4"/>
  <c r="N44" i="4"/>
  <c r="J44" i="4"/>
  <c r="N43" i="4"/>
  <c r="P43" i="4" s="1"/>
  <c r="I43" i="4"/>
  <c r="I41" i="4"/>
  <c r="I20" i="4" s="1"/>
  <c r="F41" i="4"/>
  <c r="I40" i="4"/>
  <c r="I19" i="4" s="1"/>
  <c r="F40" i="4"/>
  <c r="F19" i="4" s="1"/>
  <c r="I38" i="4"/>
  <c r="F38" i="4"/>
  <c r="I37" i="4"/>
  <c r="F37" i="4"/>
  <c r="I36" i="4"/>
  <c r="Y1284" i="4"/>
  <c r="J62" i="4"/>
  <c r="V43" i="4"/>
  <c r="X43" i="4" s="1"/>
  <c r="N61" i="4"/>
  <c r="P61" i="4" s="1"/>
  <c r="I22" i="4"/>
  <c r="C20" i="4"/>
  <c r="C19" i="4"/>
  <c r="I17" i="4"/>
  <c r="C16" i="4"/>
  <c r="C15" i="4"/>
  <c r="N42" i="3"/>
  <c r="N44" i="3" s="1"/>
  <c r="N48" i="3" s="1"/>
  <c r="K42" i="3"/>
  <c r="K44" i="3" s="1"/>
  <c r="K48" i="3" s="1"/>
  <c r="H42" i="3"/>
  <c r="H44" i="3" s="1"/>
  <c r="H48" i="3" s="1"/>
  <c r="I39" i="3"/>
  <c r="I38" i="3"/>
  <c r="O37" i="3"/>
  <c r="L37" i="3"/>
  <c r="I37" i="3"/>
  <c r="I36" i="3"/>
  <c r="N32" i="3"/>
  <c r="K32" i="3"/>
  <c r="H32" i="3"/>
  <c r="Y28" i="3"/>
  <c r="U28" i="3"/>
  <c r="Q28" i="3"/>
  <c r="I26" i="3"/>
  <c r="L25" i="3"/>
  <c r="I25" i="3"/>
  <c r="N19" i="3"/>
  <c r="K19" i="3"/>
  <c r="H19" i="3"/>
  <c r="B19" i="3"/>
  <c r="K44" i="2"/>
  <c r="K48" i="2" s="1"/>
  <c r="N42" i="2"/>
  <c r="N44" i="2" s="1"/>
  <c r="N48" i="2" s="1"/>
  <c r="K42" i="2"/>
  <c r="H42" i="2"/>
  <c r="H44" i="2" s="1"/>
  <c r="H48" i="2" s="1"/>
  <c r="I39" i="2"/>
  <c r="I38" i="2"/>
  <c r="O37" i="2"/>
  <c r="V37" i="2" s="1"/>
  <c r="L37" i="2"/>
  <c r="I37" i="2"/>
  <c r="I36" i="2"/>
  <c r="N32" i="2"/>
  <c r="K32" i="2"/>
  <c r="H32" i="2"/>
  <c r="Z28" i="2"/>
  <c r="Y28" i="2"/>
  <c r="S28" i="2"/>
  <c r="I26" i="2"/>
  <c r="L25" i="2"/>
  <c r="I25" i="2"/>
  <c r="N19" i="2"/>
  <c r="K19" i="2"/>
  <c r="H19" i="2"/>
  <c r="B19" i="2"/>
  <c r="N42" i="1"/>
  <c r="N44" i="1" s="1"/>
  <c r="N48" i="1" s="1"/>
  <c r="K42" i="1"/>
  <c r="K44" i="1" s="1"/>
  <c r="K48" i="1" s="1"/>
  <c r="H42" i="1"/>
  <c r="H44" i="1" s="1"/>
  <c r="H48" i="1" s="1"/>
  <c r="I39" i="1"/>
  <c r="H26" i="13" s="1"/>
  <c r="I38" i="1"/>
  <c r="H24" i="13" s="1"/>
  <c r="O37" i="1"/>
  <c r="V37" i="1" s="1"/>
  <c r="L37" i="1"/>
  <c r="I37" i="1"/>
  <c r="H23" i="13" s="1"/>
  <c r="I36" i="1"/>
  <c r="H22" i="13" s="1"/>
  <c r="N32" i="1"/>
  <c r="K32" i="1"/>
  <c r="H32" i="1"/>
  <c r="Y28" i="1"/>
  <c r="S28" i="1"/>
  <c r="I26" i="1"/>
  <c r="H20" i="13" s="1"/>
  <c r="L25" i="1"/>
  <c r="I25" i="1"/>
  <c r="H19" i="13" s="1"/>
  <c r="N19" i="1"/>
  <c r="K19" i="1"/>
  <c r="H19" i="1"/>
  <c r="B19" i="1"/>
  <c r="L62" i="4" l="1"/>
  <c r="I15" i="4"/>
  <c r="I35" i="3"/>
  <c r="I42" i="3" s="1"/>
  <c r="I35" i="2"/>
  <c r="I42" i="2" s="1"/>
  <c r="I35" i="1"/>
  <c r="L80" i="4"/>
  <c r="T22" i="13"/>
  <c r="J22" i="13"/>
  <c r="V22" i="13" s="1"/>
  <c r="T24" i="13"/>
  <c r="J24" i="13"/>
  <c r="V24" i="13" s="1"/>
  <c r="B23" i="2"/>
  <c r="F42" i="4"/>
  <c r="F21" i="4" s="1"/>
  <c r="I42" i="4"/>
  <c r="C66" i="4"/>
  <c r="C62" i="4"/>
  <c r="AB91" i="4"/>
  <c r="J129" i="4"/>
  <c r="L113" i="4"/>
  <c r="L89" i="4"/>
  <c r="J518" i="4"/>
  <c r="L518" i="4" s="1"/>
  <c r="J469" i="4"/>
  <c r="J539" i="4"/>
  <c r="L539" i="4" s="1"/>
  <c r="J483" i="4"/>
  <c r="J433" i="4"/>
  <c r="L433" i="4" s="1"/>
  <c r="J377" i="4"/>
  <c r="J363" i="4"/>
  <c r="J273" i="4"/>
  <c r="J259" i="4"/>
  <c r="J328" i="4"/>
  <c r="J239" i="4"/>
  <c r="J447" i="4"/>
  <c r="L447" i="4" s="1"/>
  <c r="J553" i="4"/>
  <c r="L553" i="4" s="1"/>
  <c r="J504" i="4"/>
  <c r="L504" i="4" s="1"/>
  <c r="L469" i="4" s="1"/>
  <c r="J342" i="4"/>
  <c r="J398" i="4"/>
  <c r="J294" i="4"/>
  <c r="J225" i="4"/>
  <c r="J308" i="4"/>
  <c r="C389" i="4"/>
  <c r="I386" i="4"/>
  <c r="C351" i="4"/>
  <c r="F386" i="4"/>
  <c r="R79" i="4"/>
  <c r="T79" i="4" s="1"/>
  <c r="R61" i="4"/>
  <c r="T61" i="4" s="1"/>
  <c r="R43" i="4"/>
  <c r="T43" i="4" s="1"/>
  <c r="F56" i="4"/>
  <c r="F17" i="4" s="1"/>
  <c r="F61" i="4"/>
  <c r="T144" i="4"/>
  <c r="R493" i="4"/>
  <c r="R458" i="4"/>
  <c r="R472" i="4" s="1"/>
  <c r="R528" i="4"/>
  <c r="T170" i="4"/>
  <c r="R551" i="4"/>
  <c r="T551" i="4" s="1"/>
  <c r="R445" i="4"/>
  <c r="T445" i="4" s="1"/>
  <c r="R502" i="4"/>
  <c r="T502" i="4" s="1"/>
  <c r="R467" i="4"/>
  <c r="R396" i="4"/>
  <c r="T396" i="4" s="1"/>
  <c r="R375" i="4"/>
  <c r="R340" i="4"/>
  <c r="T340" i="4" s="1"/>
  <c r="R306" i="4"/>
  <c r="R223" i="4"/>
  <c r="R516" i="4"/>
  <c r="T516" i="4" s="1"/>
  <c r="R481" i="4"/>
  <c r="R431" i="4"/>
  <c r="T431" i="4" s="1"/>
  <c r="R410" i="4"/>
  <c r="T410" i="4" s="1"/>
  <c r="R292" i="4"/>
  <c r="R537" i="4"/>
  <c r="T537" i="4" s="1"/>
  <c r="R361" i="4"/>
  <c r="R326" i="4"/>
  <c r="T326" i="4" s="1"/>
  <c r="R237" i="4"/>
  <c r="T183" i="4"/>
  <c r="R271" i="4"/>
  <c r="R200" i="4"/>
  <c r="C237" i="4"/>
  <c r="C194" i="4"/>
  <c r="C200" i="4" s="1"/>
  <c r="I250" i="4"/>
  <c r="F250" i="4"/>
  <c r="F216" i="4" s="1"/>
  <c r="F175" i="4" s="1"/>
  <c r="R257" i="4"/>
  <c r="T317" i="4"/>
  <c r="R330" i="4"/>
  <c r="T330" i="4" s="1"/>
  <c r="J412" i="4"/>
  <c r="L412" i="4" s="1"/>
  <c r="L377" i="4" s="1"/>
  <c r="T23" i="13"/>
  <c r="J23" i="13"/>
  <c r="V23" i="13" s="1"/>
  <c r="T26" i="13"/>
  <c r="J26" i="13"/>
  <c r="V26" i="13" s="1"/>
  <c r="C17" i="4"/>
  <c r="C22" i="4"/>
  <c r="V23" i="4"/>
  <c r="F36" i="4"/>
  <c r="F43" i="4"/>
  <c r="F73" i="4"/>
  <c r="I73" i="4"/>
  <c r="I82" i="4" s="1"/>
  <c r="F78" i="4"/>
  <c r="I78" i="4"/>
  <c r="N79" i="4"/>
  <c r="P79" i="4" s="1"/>
  <c r="C94" i="4"/>
  <c r="J114" i="4"/>
  <c r="AC96" i="4"/>
  <c r="F109" i="4"/>
  <c r="I109" i="4"/>
  <c r="I116" i="4" s="1"/>
  <c r="N113" i="4"/>
  <c r="N129" i="4" s="1"/>
  <c r="N144" i="4" s="1"/>
  <c r="V113" i="4"/>
  <c r="V129" i="4" s="1"/>
  <c r="V144" i="4" s="1"/>
  <c r="C116" i="4"/>
  <c r="F123" i="4"/>
  <c r="C89" i="4"/>
  <c r="I123" i="4"/>
  <c r="I89" i="4" s="1"/>
  <c r="I124" i="4"/>
  <c r="C131" i="4"/>
  <c r="C133" i="4" s="1"/>
  <c r="X138" i="4"/>
  <c r="F158" i="4"/>
  <c r="F94" i="4" s="1"/>
  <c r="T158" i="4"/>
  <c r="J528" i="4"/>
  <c r="J493" i="4"/>
  <c r="J458" i="4"/>
  <c r="J472" i="4" s="1"/>
  <c r="R459" i="4"/>
  <c r="R473" i="4" s="1"/>
  <c r="R529" i="4"/>
  <c r="T171" i="4"/>
  <c r="R386" i="4"/>
  <c r="R283" i="4"/>
  <c r="R248" i="4"/>
  <c r="R351" i="4"/>
  <c r="R365" i="4" s="1"/>
  <c r="R421" i="4"/>
  <c r="R214" i="4"/>
  <c r="R227" i="4" s="1"/>
  <c r="R190" i="4"/>
  <c r="R284" i="4"/>
  <c r="R422" i="4"/>
  <c r="R387" i="4"/>
  <c r="R352" i="4"/>
  <c r="R366" i="4" s="1"/>
  <c r="R249" i="4"/>
  <c r="R318" i="4"/>
  <c r="R215" i="4"/>
  <c r="R228" i="4" s="1"/>
  <c r="R423" i="4"/>
  <c r="R388" i="4"/>
  <c r="R353" i="4"/>
  <c r="R367" i="4" s="1"/>
  <c r="R319" i="4"/>
  <c r="R285" i="4"/>
  <c r="R216" i="4"/>
  <c r="R229" i="4" s="1"/>
  <c r="T175" i="4"/>
  <c r="R250" i="4"/>
  <c r="N501" i="4"/>
  <c r="N466" i="4"/>
  <c r="N478" i="4" s="1"/>
  <c r="N291" i="4"/>
  <c r="N360" i="4"/>
  <c r="N372" i="4" s="1"/>
  <c r="N256" i="4"/>
  <c r="N536" i="4"/>
  <c r="N430" i="4"/>
  <c r="N395" i="4"/>
  <c r="N222" i="4"/>
  <c r="N234" i="4" s="1"/>
  <c r="J551" i="4"/>
  <c r="L551" i="4" s="1"/>
  <c r="J445" i="4"/>
  <c r="L445" i="4" s="1"/>
  <c r="J502" i="4"/>
  <c r="L502" i="4" s="1"/>
  <c r="J537" i="4"/>
  <c r="J481" i="4"/>
  <c r="J396" i="4"/>
  <c r="L396" i="4" s="1"/>
  <c r="J375" i="4"/>
  <c r="J340" i="4"/>
  <c r="J306" i="4"/>
  <c r="J223" i="4"/>
  <c r="J410" i="4"/>
  <c r="L410" i="4" s="1"/>
  <c r="L375" i="4" s="1"/>
  <c r="J292" i="4"/>
  <c r="J516" i="4"/>
  <c r="L516" i="4" s="1"/>
  <c r="J467" i="4"/>
  <c r="J431" i="4"/>
  <c r="L431" i="4" s="1"/>
  <c r="J326" i="4"/>
  <c r="L326" i="4" s="1"/>
  <c r="J271" i="4"/>
  <c r="J257" i="4"/>
  <c r="J200" i="4"/>
  <c r="V538" i="4"/>
  <c r="V482" i="4"/>
  <c r="V432" i="4"/>
  <c r="X432" i="4" s="1"/>
  <c r="V552" i="4"/>
  <c r="X552" i="4" s="1"/>
  <c r="V446" i="4"/>
  <c r="X446" i="4" s="1"/>
  <c r="V517" i="4"/>
  <c r="X517" i="4" s="1"/>
  <c r="V327" i="4"/>
  <c r="X327" i="4" s="1"/>
  <c r="V238" i="4"/>
  <c r="V397" i="4"/>
  <c r="X397" i="4" s="1"/>
  <c r="V341" i="4"/>
  <c r="V307" i="4"/>
  <c r="X307" i="4" s="1"/>
  <c r="V224" i="4"/>
  <c r="V503" i="4"/>
  <c r="V411" i="4"/>
  <c r="X411" i="4" s="1"/>
  <c r="V376" i="4"/>
  <c r="V272" i="4"/>
  <c r="X272" i="4" s="1"/>
  <c r="V362" i="4"/>
  <c r="V258" i="4"/>
  <c r="X258" i="4" s="1"/>
  <c r="V201" i="4"/>
  <c r="V468" i="4"/>
  <c r="J202" i="4"/>
  <c r="I216" i="4"/>
  <c r="I175" i="4" s="1"/>
  <c r="P292" i="4"/>
  <c r="I318" i="4"/>
  <c r="F318" i="4"/>
  <c r="F215" i="4" s="1"/>
  <c r="F174" i="4" s="1"/>
  <c r="C215" i="4"/>
  <c r="N325" i="4"/>
  <c r="C378" i="4"/>
  <c r="C415" i="4"/>
  <c r="N971" i="4"/>
  <c r="P971" i="4" s="1"/>
  <c r="N989" i="4"/>
  <c r="P989" i="4" s="1"/>
  <c r="N896" i="4"/>
  <c r="V971" i="4"/>
  <c r="V989" i="4"/>
  <c r="X989" i="4" s="1"/>
  <c r="X1084" i="4" s="1"/>
  <c r="V896" i="4"/>
  <c r="G40" i="8"/>
  <c r="G16" i="8"/>
  <c r="G14" i="8"/>
  <c r="G26" i="8"/>
  <c r="G24" i="8"/>
  <c r="G23" i="8"/>
  <c r="G22" i="8"/>
  <c r="G39" i="8"/>
  <c r="G38" i="8"/>
  <c r="G36" i="8"/>
  <c r="G35" i="8"/>
  <c r="G34" i="8"/>
  <c r="G20" i="8"/>
  <c r="G19" i="8"/>
  <c r="G15" i="8"/>
  <c r="G27" i="8"/>
  <c r="G28" i="8"/>
  <c r="B22" i="1"/>
  <c r="Z1175" i="4"/>
  <c r="Z1274" i="4"/>
  <c r="Z1234" i="4"/>
  <c r="Z1144" i="4"/>
  <c r="Z1160" i="4" s="1"/>
  <c r="F82" i="4"/>
  <c r="J155" i="4"/>
  <c r="J125" i="4"/>
  <c r="J98" i="4"/>
  <c r="AC98" i="4" s="1"/>
  <c r="J110" i="4"/>
  <c r="L110" i="4" s="1"/>
  <c r="N160" i="4"/>
  <c r="J527" i="4"/>
  <c r="J492" i="4"/>
  <c r="J457" i="4"/>
  <c r="J471" i="4" s="1"/>
  <c r="F275" i="4"/>
  <c r="L275" i="4"/>
  <c r="I303" i="4"/>
  <c r="I234" i="4" s="1"/>
  <c r="I197" i="4" s="1"/>
  <c r="F303" i="4"/>
  <c r="F234" i="4" s="1"/>
  <c r="F197" i="4" s="1"/>
  <c r="C234" i="4"/>
  <c r="C197" i="4" s="1"/>
  <c r="P236" i="4"/>
  <c r="I324" i="4"/>
  <c r="F324" i="4"/>
  <c r="C343" i="4"/>
  <c r="C328" i="4"/>
  <c r="P328" i="4" s="1"/>
  <c r="I457" i="4"/>
  <c r="I169" i="4" s="1"/>
  <c r="T20" i="13"/>
  <c r="J20" i="13"/>
  <c r="V20" i="13" s="1"/>
  <c r="B22" i="3"/>
  <c r="J79" i="4"/>
  <c r="L79" i="4" s="1"/>
  <c r="J61" i="4"/>
  <c r="L61" i="4" s="1"/>
  <c r="J43" i="4"/>
  <c r="L43" i="4" s="1"/>
  <c r="AA1274" i="4"/>
  <c r="AA1175" i="4"/>
  <c r="AA1144" i="4"/>
  <c r="AA1160" i="4" s="1"/>
  <c r="AA1234" i="4"/>
  <c r="C48" i="4"/>
  <c r="C44" i="4"/>
  <c r="X61" i="4"/>
  <c r="I100" i="4"/>
  <c r="F138" i="4"/>
  <c r="T138" i="4"/>
  <c r="I154" i="4"/>
  <c r="C159" i="4"/>
  <c r="T159" i="4" s="1"/>
  <c r="C161" i="4"/>
  <c r="C163" i="4" s="1"/>
  <c r="J480" i="4"/>
  <c r="J550" i="4"/>
  <c r="L550" i="4" s="1"/>
  <c r="J444" i="4"/>
  <c r="L444" i="4" s="1"/>
  <c r="J374" i="4"/>
  <c r="J236" i="4"/>
  <c r="J339" i="4"/>
  <c r="L339" i="4" s="1"/>
  <c r="J305" i="4"/>
  <c r="L305" i="4" s="1"/>
  <c r="J515" i="4"/>
  <c r="L515" i="4" s="1"/>
  <c r="L480" i="4" s="1"/>
  <c r="J409" i="4"/>
  <c r="L409" i="4" s="1"/>
  <c r="L374" i="4" s="1"/>
  <c r="J270" i="4"/>
  <c r="L270" i="4" s="1"/>
  <c r="R508" i="4"/>
  <c r="T508" i="4" s="1"/>
  <c r="T494" i="4"/>
  <c r="T19" i="13"/>
  <c r="J19" i="13"/>
  <c r="V19" i="13" s="1"/>
  <c r="B22" i="2"/>
  <c r="B23" i="3"/>
  <c r="C21" i="4"/>
  <c r="Y1234" i="4"/>
  <c r="Y1274" i="4"/>
  <c r="Y1175" i="4"/>
  <c r="Y1144" i="4"/>
  <c r="Y1160" i="4" s="1"/>
  <c r="F55" i="4"/>
  <c r="F16" i="4" s="1"/>
  <c r="I55" i="4"/>
  <c r="I16" i="4" s="1"/>
  <c r="F60" i="4"/>
  <c r="I60" i="4"/>
  <c r="C80" i="4"/>
  <c r="Y8" i="5"/>
  <c r="J138" i="4"/>
  <c r="L138" i="4" s="1"/>
  <c r="AB89" i="4"/>
  <c r="C90" i="4"/>
  <c r="C95" i="4" s="1"/>
  <c r="C114" i="4"/>
  <c r="I110" i="4"/>
  <c r="F93" i="4"/>
  <c r="F117" i="4"/>
  <c r="P138" i="4"/>
  <c r="J140" i="4"/>
  <c r="P141" i="4"/>
  <c r="F141" i="4"/>
  <c r="F92" i="4" s="1"/>
  <c r="C92" i="4"/>
  <c r="T141" i="4"/>
  <c r="I141" i="4"/>
  <c r="I92" i="4" s="1"/>
  <c r="F153" i="4"/>
  <c r="X153" i="4"/>
  <c r="I153" i="4"/>
  <c r="T153" i="4"/>
  <c r="R527" i="4"/>
  <c r="R492" i="4"/>
  <c r="R457" i="4"/>
  <c r="R471" i="4" s="1"/>
  <c r="T169" i="4"/>
  <c r="J459" i="4"/>
  <c r="J473" i="4" s="1"/>
  <c r="J529" i="4"/>
  <c r="J494" i="4"/>
  <c r="J386" i="4"/>
  <c r="J283" i="4"/>
  <c r="J248" i="4"/>
  <c r="J351" i="4"/>
  <c r="J365" i="4" s="1"/>
  <c r="J317" i="4"/>
  <c r="J214" i="4"/>
  <c r="J190" i="4"/>
  <c r="J421" i="4"/>
  <c r="J422" i="4"/>
  <c r="J284" i="4"/>
  <c r="J318" i="4"/>
  <c r="J387" i="4"/>
  <c r="J249" i="4"/>
  <c r="J352" i="4"/>
  <c r="J366" i="4" s="1"/>
  <c r="J215" i="4"/>
  <c r="J423" i="4"/>
  <c r="J388" i="4"/>
  <c r="J353" i="4"/>
  <c r="J367" i="4" s="1"/>
  <c r="J319" i="4"/>
  <c r="J285" i="4"/>
  <c r="J250" i="4"/>
  <c r="J216" i="4"/>
  <c r="N538" i="4"/>
  <c r="N482" i="4"/>
  <c r="N432" i="4"/>
  <c r="P432" i="4" s="1"/>
  <c r="N552" i="4"/>
  <c r="P552" i="4" s="1"/>
  <c r="N446" i="4"/>
  <c r="P446" i="4" s="1"/>
  <c r="N327" i="4"/>
  <c r="P327" i="4" s="1"/>
  <c r="N238" i="4"/>
  <c r="N503" i="4"/>
  <c r="N468" i="4"/>
  <c r="N397" i="4"/>
  <c r="P397" i="4" s="1"/>
  <c r="P362" i="4" s="1"/>
  <c r="N341" i="4"/>
  <c r="N307" i="4"/>
  <c r="P307" i="4" s="1"/>
  <c r="N224" i="4"/>
  <c r="N362" i="4"/>
  <c r="N293" i="4"/>
  <c r="N411" i="4"/>
  <c r="P411" i="4" s="1"/>
  <c r="N376" i="4"/>
  <c r="N258" i="4"/>
  <c r="P258" i="4" s="1"/>
  <c r="N272" i="4"/>
  <c r="P272" i="4" s="1"/>
  <c r="N201" i="4"/>
  <c r="N517" i="4"/>
  <c r="P517" i="4" s="1"/>
  <c r="R518" i="4"/>
  <c r="T518" i="4" s="1"/>
  <c r="R469" i="4"/>
  <c r="R539" i="4"/>
  <c r="T539" i="4" s="1"/>
  <c r="R483" i="4"/>
  <c r="R433" i="4"/>
  <c r="T433" i="4" s="1"/>
  <c r="R504" i="4"/>
  <c r="T504" i="4" s="1"/>
  <c r="R447" i="4"/>
  <c r="T447" i="4" s="1"/>
  <c r="R377" i="4"/>
  <c r="R363" i="4"/>
  <c r="R273" i="4"/>
  <c r="R259" i="4"/>
  <c r="R553" i="4"/>
  <c r="T553" i="4" s="1"/>
  <c r="R328" i="4"/>
  <c r="R239" i="4"/>
  <c r="R412" i="4"/>
  <c r="T412" i="4" s="1"/>
  <c r="T377" i="4" s="1"/>
  <c r="R398" i="4"/>
  <c r="T398" i="4" s="1"/>
  <c r="T363" i="4" s="1"/>
  <c r="R342" i="4"/>
  <c r="R308" i="4"/>
  <c r="I256" i="4"/>
  <c r="F256" i="4"/>
  <c r="I215" i="4"/>
  <c r="I174" i="4" s="1"/>
  <c r="V293" i="4"/>
  <c r="X293" i="4" s="1"/>
  <c r="X306" i="4"/>
  <c r="J361" i="4"/>
  <c r="AB90" i="4"/>
  <c r="P93" i="4"/>
  <c r="N108" i="4"/>
  <c r="J124" i="4"/>
  <c r="L124" i="4" s="1"/>
  <c r="L90" i="4" s="1"/>
  <c r="J154" i="4"/>
  <c r="L154" i="4" s="1"/>
  <c r="N457" i="4"/>
  <c r="N471" i="4" s="1"/>
  <c r="N527" i="4"/>
  <c r="N492" i="4"/>
  <c r="V457" i="4"/>
  <c r="V471" i="4" s="1"/>
  <c r="V527" i="4"/>
  <c r="V492" i="4"/>
  <c r="N528" i="4"/>
  <c r="N493" i="4"/>
  <c r="N458" i="4"/>
  <c r="N472" i="4" s="1"/>
  <c r="V528" i="4"/>
  <c r="V493" i="4"/>
  <c r="V458" i="4"/>
  <c r="V472" i="4" s="1"/>
  <c r="N529" i="4"/>
  <c r="N494" i="4"/>
  <c r="N459" i="4"/>
  <c r="N473" i="4" s="1"/>
  <c r="V529" i="4"/>
  <c r="V494" i="4"/>
  <c r="V459" i="4"/>
  <c r="V473" i="4" s="1"/>
  <c r="N351" i="4"/>
  <c r="N365" i="4" s="1"/>
  <c r="N317" i="4"/>
  <c r="N421" i="4"/>
  <c r="N283" i="4"/>
  <c r="N386" i="4"/>
  <c r="N248" i="4"/>
  <c r="V351" i="4"/>
  <c r="V365" i="4" s="1"/>
  <c r="V317" i="4"/>
  <c r="V421" i="4"/>
  <c r="V386" i="4"/>
  <c r="V283" i="4"/>
  <c r="N422" i="4"/>
  <c r="N387" i="4"/>
  <c r="N249" i="4"/>
  <c r="N352" i="4"/>
  <c r="N366" i="4" s="1"/>
  <c r="N318" i="4"/>
  <c r="N284" i="4"/>
  <c r="V422" i="4"/>
  <c r="V387" i="4"/>
  <c r="V249" i="4"/>
  <c r="V352" i="4"/>
  <c r="V366" i="4" s="1"/>
  <c r="V318" i="4"/>
  <c r="V284" i="4"/>
  <c r="N285" i="4"/>
  <c r="N250" i="4"/>
  <c r="N423" i="4"/>
  <c r="N319" i="4"/>
  <c r="N388" i="4"/>
  <c r="N353" i="4"/>
  <c r="N367" i="4" s="1"/>
  <c r="N216" i="4"/>
  <c r="N229" i="4" s="1"/>
  <c r="V285" i="4"/>
  <c r="V423" i="4"/>
  <c r="V250" i="4"/>
  <c r="V388" i="4"/>
  <c r="V353" i="4"/>
  <c r="V367" i="4" s="1"/>
  <c r="V216" i="4"/>
  <c r="V229" i="4" s="1"/>
  <c r="J536" i="4"/>
  <c r="J430" i="4"/>
  <c r="J325" i="4"/>
  <c r="J395" i="4"/>
  <c r="J222" i="4"/>
  <c r="J234" i="4" s="1"/>
  <c r="J501" i="4"/>
  <c r="J466" i="4"/>
  <c r="J478" i="4" s="1"/>
  <c r="J360" i="4"/>
  <c r="J372" i="4" s="1"/>
  <c r="J291" i="4"/>
  <c r="J256" i="4"/>
  <c r="AA182" i="4"/>
  <c r="N516" i="4"/>
  <c r="P516" i="4" s="1"/>
  <c r="N467" i="4"/>
  <c r="N537" i="4"/>
  <c r="P537" i="4" s="1"/>
  <c r="P467" i="4" s="1"/>
  <c r="N481" i="4"/>
  <c r="N431" i="4"/>
  <c r="P431" i="4" s="1"/>
  <c r="N551" i="4"/>
  <c r="P551" i="4" s="1"/>
  <c r="N361" i="4"/>
  <c r="N271" i="4"/>
  <c r="N257" i="4"/>
  <c r="N326" i="4"/>
  <c r="P326" i="4" s="1"/>
  <c r="N237" i="4"/>
  <c r="N410" i="4"/>
  <c r="P410" i="4" s="1"/>
  <c r="P375" i="4" s="1"/>
  <c r="N445" i="4"/>
  <c r="P445" i="4" s="1"/>
  <c r="N340" i="4"/>
  <c r="P340" i="4" s="1"/>
  <c r="N396" i="4"/>
  <c r="P396" i="4" s="1"/>
  <c r="P361" i="4" s="1"/>
  <c r="N375" i="4"/>
  <c r="N223" i="4"/>
  <c r="V516" i="4"/>
  <c r="X516" i="4" s="1"/>
  <c r="V467" i="4"/>
  <c r="V537" i="4"/>
  <c r="V481" i="4"/>
  <c r="V431" i="4"/>
  <c r="X431" i="4" s="1"/>
  <c r="V502" i="4"/>
  <c r="X502" i="4" s="1"/>
  <c r="V361" i="4"/>
  <c r="V271" i="4"/>
  <c r="V257" i="4"/>
  <c r="V445" i="4"/>
  <c r="X445" i="4" s="1"/>
  <c r="X375" i="4" s="1"/>
  <c r="V326" i="4"/>
  <c r="X326" i="4" s="1"/>
  <c r="V237" i="4"/>
  <c r="V551" i="4"/>
  <c r="X551" i="4" s="1"/>
  <c r="V396" i="4"/>
  <c r="X396" i="4" s="1"/>
  <c r="X361" i="4" s="1"/>
  <c r="V375" i="4"/>
  <c r="V340" i="4"/>
  <c r="J503" i="4"/>
  <c r="J517" i="4"/>
  <c r="L517" i="4" s="1"/>
  <c r="J468" i="4"/>
  <c r="J552" i="4"/>
  <c r="L552" i="4" s="1"/>
  <c r="J411" i="4"/>
  <c r="L411" i="4" s="1"/>
  <c r="J376" i="4"/>
  <c r="J293" i="4"/>
  <c r="J482" i="4"/>
  <c r="J362" i="4"/>
  <c r="J272" i="4"/>
  <c r="L272" i="4" s="1"/>
  <c r="J258" i="4"/>
  <c r="L258" i="4" s="1"/>
  <c r="J538" i="4"/>
  <c r="J446" i="4"/>
  <c r="L446" i="4" s="1"/>
  <c r="J432" i="4"/>
  <c r="L432" i="4" s="1"/>
  <c r="J397" i="4"/>
  <c r="L397" i="4" s="1"/>
  <c r="J341" i="4"/>
  <c r="J307" i="4"/>
  <c r="L307" i="4" s="1"/>
  <c r="J327" i="4"/>
  <c r="L327" i="4" s="1"/>
  <c r="R503" i="4"/>
  <c r="R517" i="4"/>
  <c r="T517" i="4" s="1"/>
  <c r="R468" i="4"/>
  <c r="R432" i="4"/>
  <c r="T432" i="4" s="1"/>
  <c r="R411" i="4"/>
  <c r="T411" i="4" s="1"/>
  <c r="R376" i="4"/>
  <c r="R293" i="4"/>
  <c r="T293" i="4" s="1"/>
  <c r="R538" i="4"/>
  <c r="T538" i="4" s="1"/>
  <c r="R446" i="4"/>
  <c r="T446" i="4" s="1"/>
  <c r="R362" i="4"/>
  <c r="R272" i="4"/>
  <c r="T272" i="4" s="1"/>
  <c r="R258" i="4"/>
  <c r="T258" i="4" s="1"/>
  <c r="T224" i="4" s="1"/>
  <c r="R327" i="4"/>
  <c r="T327" i="4" s="1"/>
  <c r="R482" i="4"/>
  <c r="R552" i="4"/>
  <c r="T552" i="4" s="1"/>
  <c r="R238" i="4"/>
  <c r="N191" i="4"/>
  <c r="V191" i="4"/>
  <c r="J197" i="4"/>
  <c r="N202" i="4"/>
  <c r="V202" i="4"/>
  <c r="V214" i="4"/>
  <c r="V227" i="4" s="1"/>
  <c r="V215" i="4"/>
  <c r="V228" i="4" s="1"/>
  <c r="V223" i="4"/>
  <c r="I283" i="4"/>
  <c r="C286" i="4"/>
  <c r="F283" i="4"/>
  <c r="I288" i="4"/>
  <c r="I219" i="4" s="1"/>
  <c r="F288" i="4"/>
  <c r="F219" i="4" s="1"/>
  <c r="C292" i="4"/>
  <c r="P304" i="4"/>
  <c r="P235" i="4" s="1"/>
  <c r="N306" i="4"/>
  <c r="R397" i="4"/>
  <c r="T397" i="4" s="1"/>
  <c r="X819" i="4"/>
  <c r="J139" i="4"/>
  <c r="L139" i="4" s="1"/>
  <c r="N553" i="4"/>
  <c r="P553" i="4" s="1"/>
  <c r="N447" i="4"/>
  <c r="P447" i="4" s="1"/>
  <c r="N504" i="4"/>
  <c r="P504" i="4" s="1"/>
  <c r="N518" i="4"/>
  <c r="P518" i="4" s="1"/>
  <c r="N469" i="4"/>
  <c r="N398" i="4"/>
  <c r="N342" i="4"/>
  <c r="N308" i="4"/>
  <c r="N225" i="4"/>
  <c r="N433" i="4"/>
  <c r="P433" i="4" s="1"/>
  <c r="N412" i="4"/>
  <c r="P412" i="4" s="1"/>
  <c r="N294" i="4"/>
  <c r="N483" i="4"/>
  <c r="N363" i="4"/>
  <c r="N377" i="4"/>
  <c r="V553" i="4"/>
  <c r="X553" i="4" s="1"/>
  <c r="V447" i="4"/>
  <c r="X447" i="4" s="1"/>
  <c r="V504" i="4"/>
  <c r="X504" i="4" s="1"/>
  <c r="X469" i="4" s="1"/>
  <c r="V539" i="4"/>
  <c r="X539" i="4" s="1"/>
  <c r="V483" i="4"/>
  <c r="V398" i="4"/>
  <c r="X398" i="4" s="1"/>
  <c r="V342" i="4"/>
  <c r="V308" i="4"/>
  <c r="V225" i="4"/>
  <c r="V412" i="4"/>
  <c r="X412" i="4" s="1"/>
  <c r="X377" i="4" s="1"/>
  <c r="V294" i="4"/>
  <c r="V377" i="4"/>
  <c r="V469" i="4"/>
  <c r="V328" i="4"/>
  <c r="X328" i="4" s="1"/>
  <c r="V433" i="4"/>
  <c r="X433" i="4" s="1"/>
  <c r="N192" i="4"/>
  <c r="V192" i="4"/>
  <c r="J514" i="4"/>
  <c r="L514" i="4" s="1"/>
  <c r="L479" i="4" s="1"/>
  <c r="J549" i="4"/>
  <c r="L549" i="4" s="1"/>
  <c r="J479" i="4"/>
  <c r="J408" i="4"/>
  <c r="L408" i="4" s="1"/>
  <c r="L373" i="4" s="1"/>
  <c r="J338" i="4"/>
  <c r="L338" i="4" s="1"/>
  <c r="J304" i="4"/>
  <c r="L304" i="4" s="1"/>
  <c r="J269" i="4"/>
  <c r="L269" i="4" s="1"/>
  <c r="N235" i="4"/>
  <c r="J373" i="4"/>
  <c r="N515" i="4"/>
  <c r="P515" i="4" s="1"/>
  <c r="P480" i="4" s="1"/>
  <c r="N550" i="4"/>
  <c r="P550" i="4" s="1"/>
  <c r="N409" i="4"/>
  <c r="P409" i="4" s="1"/>
  <c r="P374" i="4" s="1"/>
  <c r="N480" i="4"/>
  <c r="N270" i="4"/>
  <c r="P270" i="4" s="1"/>
  <c r="N339" i="4"/>
  <c r="P339" i="4" s="1"/>
  <c r="N374" i="4"/>
  <c r="V248" i="4"/>
  <c r="I253" i="4"/>
  <c r="C271" i="4"/>
  <c r="C257" i="4"/>
  <c r="V292" i="4"/>
  <c r="I296" i="4"/>
  <c r="I227" i="4" s="1"/>
  <c r="I190" i="4" s="1"/>
  <c r="F296" i="4"/>
  <c r="F227" i="4" s="1"/>
  <c r="F190" i="4" s="1"/>
  <c r="C227" i="4"/>
  <c r="C190" i="4" s="1"/>
  <c r="I304" i="4"/>
  <c r="F304" i="4"/>
  <c r="X236" i="4"/>
  <c r="V319" i="4"/>
  <c r="N444" i="4"/>
  <c r="P444" i="4" s="1"/>
  <c r="N539" i="4"/>
  <c r="P539" i="4" s="1"/>
  <c r="J850" i="4"/>
  <c r="L850" i="4" s="1"/>
  <c r="J797" i="4"/>
  <c r="L797" i="4" s="1"/>
  <c r="L743" i="4" s="1"/>
  <c r="J766" i="4"/>
  <c r="I252" i="4"/>
  <c r="I218" i="4" s="1"/>
  <c r="I178" i="4" s="1"/>
  <c r="F252" i="4"/>
  <c r="I264" i="4"/>
  <c r="F264" i="4"/>
  <c r="C222" i="4"/>
  <c r="C182" i="4" s="1"/>
  <c r="P182" i="4" s="1"/>
  <c r="I325" i="4"/>
  <c r="I222" i="4" s="1"/>
  <c r="I182" i="4" s="1"/>
  <c r="F325" i="4"/>
  <c r="J578" i="4"/>
  <c r="L578" i="4" s="1"/>
  <c r="L562" i="4"/>
  <c r="T687" i="4"/>
  <c r="R702" i="4"/>
  <c r="T702" i="4" s="1"/>
  <c r="R872" i="4"/>
  <c r="T872" i="4" s="1"/>
  <c r="R819" i="4"/>
  <c r="T819" i="4" s="1"/>
  <c r="C309" i="4"/>
  <c r="C293" i="4"/>
  <c r="I289" i="4"/>
  <c r="I220" i="4" s="1"/>
  <c r="I299" i="4"/>
  <c r="I230" i="4" s="1"/>
  <c r="I193" i="4" s="1"/>
  <c r="F299" i="4"/>
  <c r="F230" i="4" s="1"/>
  <c r="F193" i="4" s="1"/>
  <c r="C230" i="4"/>
  <c r="C193" i="4" s="1"/>
  <c r="C306" i="4"/>
  <c r="I300" i="4"/>
  <c r="F300" i="4"/>
  <c r="I236" i="4"/>
  <c r="I199" i="4" s="1"/>
  <c r="C320" i="4"/>
  <c r="I338" i="4"/>
  <c r="F338" i="4"/>
  <c r="C424" i="4"/>
  <c r="I421" i="4"/>
  <c r="I448" i="4" s="1"/>
  <c r="F421" i="4"/>
  <c r="F448" i="4" s="1"/>
  <c r="L683" i="4"/>
  <c r="J699" i="4"/>
  <c r="L699" i="4" s="1"/>
  <c r="T684" i="4"/>
  <c r="R700" i="4"/>
  <c r="T700" i="4" s="1"/>
  <c r="R832" i="4"/>
  <c r="R750" i="4"/>
  <c r="R779" i="4"/>
  <c r="I894" i="4"/>
  <c r="F894" i="4"/>
  <c r="C341" i="4"/>
  <c r="T341" i="4" s="1"/>
  <c r="I335" i="4"/>
  <c r="I232" i="4" s="1"/>
  <c r="I195" i="4" s="1"/>
  <c r="I394" i="4"/>
  <c r="F394" i="4"/>
  <c r="F359" i="4" s="1"/>
  <c r="C359" i="4"/>
  <c r="I359" i="4" s="1"/>
  <c r="C398" i="4"/>
  <c r="I494" i="4"/>
  <c r="F494" i="4"/>
  <c r="F519" i="4" s="1"/>
  <c r="C464" i="4"/>
  <c r="C503" i="4"/>
  <c r="I499" i="4"/>
  <c r="I464" i="4" s="1"/>
  <c r="F605" i="4"/>
  <c r="I649" i="4"/>
  <c r="I607" i="4" s="1"/>
  <c r="F649" i="4"/>
  <c r="C607" i="4"/>
  <c r="I671" i="4"/>
  <c r="I631" i="4" s="1"/>
  <c r="F671" i="4"/>
  <c r="F631" i="4" s="1"/>
  <c r="C631" i="4"/>
  <c r="X685" i="4"/>
  <c r="V701" i="4"/>
  <c r="X701" i="4" s="1"/>
  <c r="N852" i="4"/>
  <c r="P852" i="4" s="1"/>
  <c r="P828" i="4"/>
  <c r="V775" i="4"/>
  <c r="V746" i="4"/>
  <c r="V828" i="4"/>
  <c r="V788" i="4"/>
  <c r="V841" i="4"/>
  <c r="V755" i="4"/>
  <c r="F723" i="4"/>
  <c r="I788" i="4"/>
  <c r="I734" i="4" s="1"/>
  <c r="F788" i="4"/>
  <c r="F734" i="4" s="1"/>
  <c r="C734" i="4"/>
  <c r="I334" i="4"/>
  <c r="C340" i="4"/>
  <c r="F334" i="4"/>
  <c r="C363" i="4"/>
  <c r="I534" i="4"/>
  <c r="C538" i="4"/>
  <c r="F534" i="4"/>
  <c r="F464" i="4" s="1"/>
  <c r="V711" i="4"/>
  <c r="X711" i="4" s="1"/>
  <c r="X696" i="4"/>
  <c r="I700" i="4"/>
  <c r="I622" i="4" s="1"/>
  <c r="F700" i="4"/>
  <c r="F622" i="4" s="1"/>
  <c r="C622" i="4"/>
  <c r="J830" i="4"/>
  <c r="J777" i="4"/>
  <c r="N777" i="4"/>
  <c r="J748" i="4"/>
  <c r="V784" i="4"/>
  <c r="V837" i="4"/>
  <c r="V751" i="4"/>
  <c r="V738" i="4"/>
  <c r="V759" i="4" s="1"/>
  <c r="N849" i="4"/>
  <c r="N796" i="4"/>
  <c r="N763" i="4"/>
  <c r="L1102" i="4"/>
  <c r="F457" i="4"/>
  <c r="F169" i="4" s="1"/>
  <c r="I465" i="4"/>
  <c r="I595" i="4"/>
  <c r="I597" i="4" s="1"/>
  <c r="J580" i="4"/>
  <c r="L580" i="4" s="1"/>
  <c r="L564" i="4"/>
  <c r="L483" i="4" s="1"/>
  <c r="L671" i="4"/>
  <c r="L631" i="4" s="1"/>
  <c r="C605" i="4"/>
  <c r="I647" i="4"/>
  <c r="I605" i="4" s="1"/>
  <c r="L647" i="4"/>
  <c r="L605" i="4" s="1"/>
  <c r="T647" i="4"/>
  <c r="I672" i="4"/>
  <c r="I632" i="4" s="1"/>
  <c r="T672" i="4"/>
  <c r="F672" i="4"/>
  <c r="C632" i="4"/>
  <c r="I707" i="4"/>
  <c r="C712" i="4"/>
  <c r="P712" i="4" s="1"/>
  <c r="F707" i="4"/>
  <c r="R830" i="4"/>
  <c r="R777" i="4"/>
  <c r="R748" i="4"/>
  <c r="F721" i="4"/>
  <c r="J869" i="4"/>
  <c r="L869" i="4" s="1"/>
  <c r="L849" i="4"/>
  <c r="I1056" i="4"/>
  <c r="I1023" i="4"/>
  <c r="C1059" i="4"/>
  <c r="F1023" i="4"/>
  <c r="F1059" i="4" s="1"/>
  <c r="F927" i="4" s="1"/>
  <c r="F908" i="4" s="1"/>
  <c r="C1002" i="4"/>
  <c r="C927" i="4" s="1"/>
  <c r="C908" i="4" s="1"/>
  <c r="T1023" i="4"/>
  <c r="C537" i="4"/>
  <c r="I533" i="4"/>
  <c r="F533" i="4"/>
  <c r="J586" i="4"/>
  <c r="L586" i="4" s="1"/>
  <c r="L573" i="4"/>
  <c r="N683" i="4"/>
  <c r="N645" i="4"/>
  <c r="N621" i="4"/>
  <c r="V683" i="4"/>
  <c r="V645" i="4"/>
  <c r="J633" i="4"/>
  <c r="J696" i="4"/>
  <c r="J658" i="4"/>
  <c r="J593" i="4"/>
  <c r="L593" i="4" s="1"/>
  <c r="J712" i="4"/>
  <c r="L712" i="4" s="1"/>
  <c r="R712" i="4"/>
  <c r="T712" i="4" s="1"/>
  <c r="V621" i="4"/>
  <c r="V710" i="4"/>
  <c r="X710" i="4" s="1"/>
  <c r="V672" i="4"/>
  <c r="X672" i="4" s="1"/>
  <c r="R15" i="8"/>
  <c r="J662" i="4"/>
  <c r="L662" i="4" s="1"/>
  <c r="L646" i="4"/>
  <c r="L604" i="4" s="1"/>
  <c r="X649" i="4"/>
  <c r="I664" i="4"/>
  <c r="I624" i="4" s="1"/>
  <c r="F664" i="4"/>
  <c r="F624" i="4" s="1"/>
  <c r="X688" i="4"/>
  <c r="V703" i="4"/>
  <c r="X703" i="4" s="1"/>
  <c r="I710" i="4"/>
  <c r="F710" i="4"/>
  <c r="L796" i="4"/>
  <c r="L742" i="4" s="1"/>
  <c r="J816" i="4"/>
  <c r="L816" i="4" s="1"/>
  <c r="R983" i="4"/>
  <c r="T983" i="4" s="1"/>
  <c r="T1078" i="4" s="1"/>
  <c r="R965" i="4"/>
  <c r="T1056" i="4"/>
  <c r="N1021" i="4"/>
  <c r="P1021" i="4" s="1"/>
  <c r="P1057" i="4" s="1"/>
  <c r="N1039" i="4"/>
  <c r="P1039" i="4" s="1"/>
  <c r="P1076" i="4" s="1"/>
  <c r="V1021" i="4"/>
  <c r="X1021" i="4" s="1"/>
  <c r="X1057" i="4" s="1"/>
  <c r="V1039" i="4"/>
  <c r="X1039" i="4" s="1"/>
  <c r="X1076" i="4" s="1"/>
  <c r="P1150" i="4"/>
  <c r="P1156" i="4" s="1"/>
  <c r="L1156" i="4"/>
  <c r="L1158" i="4" s="1"/>
  <c r="R661" i="4"/>
  <c r="T661" i="4" s="1"/>
  <c r="T645" i="4"/>
  <c r="N663" i="4"/>
  <c r="P663" i="4" s="1"/>
  <c r="P647" i="4"/>
  <c r="I653" i="4"/>
  <c r="F653" i="4"/>
  <c r="C611" i="4"/>
  <c r="L623" i="4"/>
  <c r="I667" i="4"/>
  <c r="I627" i="4" s="1"/>
  <c r="F667" i="4"/>
  <c r="F627" i="4" s="1"/>
  <c r="N668" i="4"/>
  <c r="P668" i="4" s="1"/>
  <c r="J670" i="4"/>
  <c r="L670" i="4" s="1"/>
  <c r="L630" i="4" s="1"/>
  <c r="C686" i="4"/>
  <c r="I684" i="4"/>
  <c r="F684" i="4"/>
  <c r="V839" i="4"/>
  <c r="V786" i="4"/>
  <c r="V753" i="4"/>
  <c r="V739" i="4"/>
  <c r="V760" i="4" s="1"/>
  <c r="V842" i="4"/>
  <c r="V789" i="4"/>
  <c r="R850" i="4"/>
  <c r="T850" i="4" s="1"/>
  <c r="R797" i="4"/>
  <c r="T797" i="4" s="1"/>
  <c r="T743" i="4" s="1"/>
  <c r="J870" i="4"/>
  <c r="L870" i="4" s="1"/>
  <c r="J817" i="4"/>
  <c r="L817" i="4" s="1"/>
  <c r="J871" i="4"/>
  <c r="L871" i="4" s="1"/>
  <c r="J818" i="4"/>
  <c r="L818" i="4" s="1"/>
  <c r="L765" i="4" s="1"/>
  <c r="I832" i="4"/>
  <c r="F832" i="4"/>
  <c r="F873" i="4" s="1"/>
  <c r="R863" i="4"/>
  <c r="T863" i="4" s="1"/>
  <c r="T843" i="4"/>
  <c r="I980" i="4"/>
  <c r="C982" i="4"/>
  <c r="C944" i="4" s="1"/>
  <c r="F980" i="4"/>
  <c r="L980" i="4"/>
  <c r="C942" i="4"/>
  <c r="T980" i="4"/>
  <c r="N1046" i="4"/>
  <c r="P1046" i="4" s="1"/>
  <c r="P1083" i="4" s="1"/>
  <c r="N1028" i="4"/>
  <c r="P1028" i="4" s="1"/>
  <c r="P1064" i="4" s="1"/>
  <c r="C1075" i="4"/>
  <c r="I1038" i="4"/>
  <c r="C999" i="4"/>
  <c r="C1040" i="4"/>
  <c r="C1077" i="4" s="1"/>
  <c r="F1038" i="4"/>
  <c r="T1038" i="4"/>
  <c r="L594" i="4"/>
  <c r="V702" i="4"/>
  <c r="X702" i="4" s="1"/>
  <c r="X687" i="4"/>
  <c r="R703" i="4"/>
  <c r="T703" i="4" s="1"/>
  <c r="T688" i="4"/>
  <c r="N693" i="4"/>
  <c r="N618" i="4"/>
  <c r="I655" i="4"/>
  <c r="F655" i="4"/>
  <c r="F613" i="4" s="1"/>
  <c r="N673" i="4"/>
  <c r="P658" i="4"/>
  <c r="V674" i="4"/>
  <c r="C673" i="4"/>
  <c r="I668" i="4"/>
  <c r="F668" i="4"/>
  <c r="F628" i="4" s="1"/>
  <c r="N669" i="4"/>
  <c r="P669" i="4" s="1"/>
  <c r="L710" i="4"/>
  <c r="L632" i="4" s="1"/>
  <c r="R831" i="4"/>
  <c r="R749" i="4"/>
  <c r="V840" i="4"/>
  <c r="V787" i="4"/>
  <c r="V754" i="4"/>
  <c r="V843" i="4"/>
  <c r="V790" i="4"/>
  <c r="V757" i="4"/>
  <c r="V801" i="4"/>
  <c r="X801" i="4" s="1"/>
  <c r="X777" i="4"/>
  <c r="R778" i="4"/>
  <c r="I765" i="4"/>
  <c r="I846" i="4"/>
  <c r="I739" i="4" s="1"/>
  <c r="C739" i="4"/>
  <c r="F846" i="4"/>
  <c r="F739" i="4" s="1"/>
  <c r="I895" i="4"/>
  <c r="F895" i="4"/>
  <c r="N1027" i="4"/>
  <c r="P1027" i="4" s="1"/>
  <c r="N1045" i="4"/>
  <c r="P1045" i="4" s="1"/>
  <c r="P1082" i="4" s="1"/>
  <c r="I529" i="4"/>
  <c r="I554" i="4" s="1"/>
  <c r="F529" i="4"/>
  <c r="F554" i="4" s="1"/>
  <c r="N622" i="4"/>
  <c r="N684" i="4"/>
  <c r="N646" i="4"/>
  <c r="V622" i="4"/>
  <c r="V684" i="4"/>
  <c r="V646" i="4"/>
  <c r="N594" i="4"/>
  <c r="N634" i="4"/>
  <c r="V594" i="4"/>
  <c r="V634" i="4"/>
  <c r="P671" i="4"/>
  <c r="P710" i="4"/>
  <c r="N659" i="4"/>
  <c r="N685" i="4"/>
  <c r="I691" i="4"/>
  <c r="F691" i="4"/>
  <c r="J708" i="4"/>
  <c r="L708" i="4" s="1"/>
  <c r="L695" i="4"/>
  <c r="L615" i="4" s="1"/>
  <c r="V697" i="4"/>
  <c r="J700" i="4"/>
  <c r="L700" i="4" s="1"/>
  <c r="I787" i="4"/>
  <c r="I733" i="4" s="1"/>
  <c r="F787" i="4"/>
  <c r="F733" i="4" s="1"/>
  <c r="I792" i="4"/>
  <c r="F792" i="4"/>
  <c r="I806" i="4"/>
  <c r="I753" i="4" s="1"/>
  <c r="F806" i="4"/>
  <c r="F753" i="4" s="1"/>
  <c r="C753" i="4"/>
  <c r="C897" i="4"/>
  <c r="C896" i="4"/>
  <c r="L896" i="4" s="1"/>
  <c r="I890" i="4"/>
  <c r="I946" i="4"/>
  <c r="I928" i="4" s="1"/>
  <c r="I909" i="4" s="1"/>
  <c r="F946" i="4"/>
  <c r="C973" i="4"/>
  <c r="C951" i="4"/>
  <c r="L1038" i="4"/>
  <c r="C1084" i="4"/>
  <c r="X1139" i="4"/>
  <c r="P1139" i="4"/>
  <c r="J1229" i="4"/>
  <c r="L1227" i="4"/>
  <c r="I1240" i="4"/>
  <c r="L1240" i="4"/>
  <c r="C1272" i="4"/>
  <c r="C1269" i="4"/>
  <c r="L1269" i="4" s="1"/>
  <c r="F317" i="4"/>
  <c r="F393" i="4"/>
  <c r="F358" i="4" s="1"/>
  <c r="C519" i="4"/>
  <c r="I498" i="4"/>
  <c r="F498" i="4"/>
  <c r="F520" i="4"/>
  <c r="F595" i="4"/>
  <c r="F597" i="4" s="1"/>
  <c r="N619" i="4"/>
  <c r="N695" i="4"/>
  <c r="N657" i="4"/>
  <c r="N630" i="4"/>
  <c r="R633" i="4"/>
  <c r="R696" i="4"/>
  <c r="R658" i="4"/>
  <c r="R14" i="8"/>
  <c r="J661" i="4"/>
  <c r="L661" i="4" s="1"/>
  <c r="L621" i="4" s="1"/>
  <c r="L645" i="4"/>
  <c r="C648" i="4"/>
  <c r="I646" i="4"/>
  <c r="I604" i="4" s="1"/>
  <c r="C604" i="4"/>
  <c r="C606" i="4" s="1"/>
  <c r="F646" i="4"/>
  <c r="F604" i="4" s="1"/>
  <c r="V647" i="4"/>
  <c r="I610" i="4"/>
  <c r="I615" i="4"/>
  <c r="X673" i="4"/>
  <c r="I663" i="4"/>
  <c r="I623" i="4" s="1"/>
  <c r="F663" i="4"/>
  <c r="F623" i="4" s="1"/>
  <c r="F685" i="4"/>
  <c r="F687" i="4"/>
  <c r="C713" i="4"/>
  <c r="I693" i="4"/>
  <c r="N694" i="4"/>
  <c r="R699" i="4"/>
  <c r="T699" i="4" s="1"/>
  <c r="I706" i="4"/>
  <c r="F706" i="4"/>
  <c r="R793" i="4"/>
  <c r="T786" i="4"/>
  <c r="C738" i="4"/>
  <c r="P819" i="4"/>
  <c r="R871" i="4"/>
  <c r="T871" i="4" s="1"/>
  <c r="R818" i="4"/>
  <c r="T818" i="4" s="1"/>
  <c r="N799" i="4"/>
  <c r="P799" i="4" s="1"/>
  <c r="P775" i="4"/>
  <c r="I732" i="4"/>
  <c r="I801" i="4"/>
  <c r="I748" i="4" s="1"/>
  <c r="F801" i="4"/>
  <c r="F748" i="4" s="1"/>
  <c r="C748" i="4"/>
  <c r="R806" i="4"/>
  <c r="T806" i="4" s="1"/>
  <c r="R810" i="4"/>
  <c r="T810" i="4" s="1"/>
  <c r="I828" i="4"/>
  <c r="C721" i="4"/>
  <c r="X830" i="4"/>
  <c r="R846" i="4"/>
  <c r="R859" i="4"/>
  <c r="T859" i="4" s="1"/>
  <c r="T839" i="4"/>
  <c r="F890" i="4"/>
  <c r="J970" i="4"/>
  <c r="Z932" i="4"/>
  <c r="AA932" i="4" s="1"/>
  <c r="AA950" i="4"/>
  <c r="J988" i="4"/>
  <c r="L988" i="4" s="1"/>
  <c r="L950" i="4"/>
  <c r="L932" i="4" s="1"/>
  <c r="L913" i="4" s="1"/>
  <c r="I970" i="4"/>
  <c r="C950" i="4"/>
  <c r="X924" i="4"/>
  <c r="X905" i="4" s="1"/>
  <c r="J1047" i="4"/>
  <c r="L1047" i="4" s="1"/>
  <c r="L1008" i="4"/>
  <c r="F909" i="4"/>
  <c r="P1180" i="4"/>
  <c r="L1165" i="4"/>
  <c r="T1170" i="4"/>
  <c r="F1185" i="4"/>
  <c r="I1185" i="4"/>
  <c r="F1240" i="4"/>
  <c r="AA603" i="4"/>
  <c r="R625" i="4"/>
  <c r="R650" i="4"/>
  <c r="J828" i="4"/>
  <c r="J775" i="4"/>
  <c r="R828" i="4"/>
  <c r="R775" i="4"/>
  <c r="V831" i="4"/>
  <c r="V778" i="4"/>
  <c r="V832" i="4"/>
  <c r="V779" i="4"/>
  <c r="R739" i="4"/>
  <c r="R760" i="4" s="1"/>
  <c r="AA742" i="4"/>
  <c r="J746" i="4"/>
  <c r="R746" i="4"/>
  <c r="V749" i="4"/>
  <c r="I779" i="4"/>
  <c r="I725" i="4" s="1"/>
  <c r="F779" i="4"/>
  <c r="F725" i="4" s="1"/>
  <c r="C819" i="4"/>
  <c r="I815" i="4"/>
  <c r="I762" i="4" s="1"/>
  <c r="I817" i="4"/>
  <c r="I764" i="4" s="1"/>
  <c r="F817" i="4"/>
  <c r="F764" i="4" s="1"/>
  <c r="I840" i="4"/>
  <c r="F840" i="4"/>
  <c r="N980" i="4"/>
  <c r="P980" i="4" s="1"/>
  <c r="N962" i="4"/>
  <c r="X980" i="4"/>
  <c r="R966" i="4"/>
  <c r="R984" i="4"/>
  <c r="T984" i="4" s="1"/>
  <c r="V962" i="4"/>
  <c r="Q16" i="10"/>
  <c r="Z925" i="4"/>
  <c r="AA925" i="4" s="1"/>
  <c r="J884" i="4"/>
  <c r="L884" i="4" s="1"/>
  <c r="I985" i="4"/>
  <c r="F985" i="4"/>
  <c r="F1080" i="4" s="1"/>
  <c r="F929" i="4" s="1"/>
  <c r="F910" i="4" s="1"/>
  <c r="I1007" i="4"/>
  <c r="L1007" i="4"/>
  <c r="F1064" i="4"/>
  <c r="F932" i="4" s="1"/>
  <c r="F913" i="4" s="1"/>
  <c r="I1083" i="4"/>
  <c r="P1047" i="4"/>
  <c r="P1084" i="4" s="1"/>
  <c r="I1101" i="4"/>
  <c r="L1101" i="4"/>
  <c r="I1114" i="4"/>
  <c r="F1114" i="4"/>
  <c r="F1139" i="4" s="1"/>
  <c r="F1141" i="4" s="1"/>
  <c r="I1115" i="4"/>
  <c r="F1115" i="4"/>
  <c r="F1224" i="4"/>
  <c r="I1224" i="4"/>
  <c r="C1226" i="4"/>
  <c r="L1224" i="4"/>
  <c r="R624" i="4"/>
  <c r="R649" i="4"/>
  <c r="J659" i="4"/>
  <c r="R659" i="4"/>
  <c r="R837" i="4"/>
  <c r="R784" i="4"/>
  <c r="R841" i="4"/>
  <c r="R788" i="4"/>
  <c r="R842" i="4"/>
  <c r="R789" i="4"/>
  <c r="R738" i="4"/>
  <c r="R759" i="4" s="1"/>
  <c r="V748" i="4"/>
  <c r="R755" i="4"/>
  <c r="V818" i="4"/>
  <c r="X818" i="4" s="1"/>
  <c r="I845" i="4"/>
  <c r="F845" i="4"/>
  <c r="I888" i="4"/>
  <c r="I897" i="4" s="1"/>
  <c r="F888" i="4"/>
  <c r="F897" i="4" s="1"/>
  <c r="I945" i="4"/>
  <c r="F945" i="4"/>
  <c r="T928" i="4"/>
  <c r="T909" i="4" s="1"/>
  <c r="I947" i="4"/>
  <c r="F947" i="4"/>
  <c r="L951" i="4"/>
  <c r="I965" i="4"/>
  <c r="I972" i="4" s="1"/>
  <c r="F965" i="4"/>
  <c r="F972" i="4" s="1"/>
  <c r="X1023" i="4"/>
  <c r="C1010" i="4"/>
  <c r="I1006" i="4"/>
  <c r="C931" i="4"/>
  <c r="C912" i="4" s="1"/>
  <c r="F1006" i="4"/>
  <c r="C1008" i="4"/>
  <c r="R1047" i="4"/>
  <c r="T1047" i="4" s="1"/>
  <c r="T1084" i="4" s="1"/>
  <c r="R1029" i="4"/>
  <c r="F1056" i="4"/>
  <c r="F925" i="4"/>
  <c r="F906" i="4" s="1"/>
  <c r="C1031" i="4"/>
  <c r="C1066" i="4"/>
  <c r="C1068" i="4" s="1"/>
  <c r="V1041" i="4"/>
  <c r="X1041" i="4" s="1"/>
  <c r="X1078" i="4" s="1"/>
  <c r="I1043" i="4"/>
  <c r="I1080" i="4" s="1"/>
  <c r="C1004" i="4"/>
  <c r="C929" i="4" s="1"/>
  <c r="C910" i="4" s="1"/>
  <c r="C1080" i="4"/>
  <c r="L1083" i="4"/>
  <c r="I1094" i="4"/>
  <c r="F1094" i="4"/>
  <c r="C1104" i="4"/>
  <c r="I1100" i="4"/>
  <c r="F1100" i="4"/>
  <c r="C1102" i="4"/>
  <c r="L1139" i="4"/>
  <c r="L1141" i="4" s="1"/>
  <c r="T1139" i="4"/>
  <c r="I30" i="7"/>
  <c r="I26" i="7"/>
  <c r="I32" i="7"/>
  <c r="I24" i="7"/>
  <c r="I20" i="7"/>
  <c r="I23" i="7"/>
  <c r="I19" i="7"/>
  <c r="I28" i="7"/>
  <c r="I27" i="7"/>
  <c r="I22" i="7"/>
  <c r="I16" i="7"/>
  <c r="I15" i="7"/>
  <c r="I14" i="7"/>
  <c r="I31" i="7"/>
  <c r="I18" i="7"/>
  <c r="G27" i="10"/>
  <c r="G17" i="10"/>
  <c r="G16" i="10"/>
  <c r="G15" i="10"/>
  <c r="G24" i="10"/>
  <c r="G21" i="10"/>
  <c r="G19" i="10"/>
  <c r="G28" i="10"/>
  <c r="G29" i="10"/>
  <c r="G23" i="10"/>
  <c r="N817" i="4"/>
  <c r="P817" i="4" s="1"/>
  <c r="T924" i="4"/>
  <c r="T905" i="4" s="1"/>
  <c r="I925" i="4"/>
  <c r="X965" i="4"/>
  <c r="P969" i="4"/>
  <c r="P933" i="4"/>
  <c r="V981" i="4"/>
  <c r="X981" i="4" s="1"/>
  <c r="Q15" i="11"/>
  <c r="L1020" i="4"/>
  <c r="I1060" i="4"/>
  <c r="C1063" i="4"/>
  <c r="C1029" i="4"/>
  <c r="X1029" i="4" s="1"/>
  <c r="I1027" i="4"/>
  <c r="F1027" i="4"/>
  <c r="F1063" i="4" s="1"/>
  <c r="F931" i="4" s="1"/>
  <c r="F912" i="4" s="1"/>
  <c r="F1030" i="4"/>
  <c r="I1122" i="4"/>
  <c r="F1122" i="4"/>
  <c r="L1123" i="4"/>
  <c r="J1200" i="4"/>
  <c r="Z1196" i="4" s="1"/>
  <c r="L1196" i="4"/>
  <c r="L1166" i="4" s="1"/>
  <c r="P1270" i="4"/>
  <c r="I1248" i="4"/>
  <c r="F1248" i="4"/>
  <c r="G27" i="7"/>
  <c r="G23" i="7"/>
  <c r="G31" i="7"/>
  <c r="G30" i="7"/>
  <c r="G28" i="7"/>
  <c r="G16" i="7"/>
  <c r="G15" i="7"/>
  <c r="G14" i="7"/>
  <c r="G32" i="7"/>
  <c r="G24" i="7"/>
  <c r="G20" i="7"/>
  <c r="G18" i="7"/>
  <c r="G26" i="7"/>
  <c r="G19" i="7"/>
  <c r="G22" i="7"/>
  <c r="I949" i="4"/>
  <c r="F949" i="4"/>
  <c r="T989" i="4"/>
  <c r="C953" i="4"/>
  <c r="C971" i="4"/>
  <c r="I969" i="4"/>
  <c r="F969" i="4"/>
  <c r="P970" i="4"/>
  <c r="P1038" i="4"/>
  <c r="X1038" i="4"/>
  <c r="T1076" i="4"/>
  <c r="V1020" i="4"/>
  <c r="X1020" i="4" s="1"/>
  <c r="C1064" i="4"/>
  <c r="I1028" i="4"/>
  <c r="I1064" i="4" s="1"/>
  <c r="T1079" i="4"/>
  <c r="C1058" i="4"/>
  <c r="C1141" i="4"/>
  <c r="C1138" i="4"/>
  <c r="L1138" i="4" s="1"/>
  <c r="T1156" i="4"/>
  <c r="P1167" i="4"/>
  <c r="X1167" i="4"/>
  <c r="F1184" i="4"/>
  <c r="F1201" i="4" s="1"/>
  <c r="I1184" i="4"/>
  <c r="L1185" i="4"/>
  <c r="L1167" i="4" s="1"/>
  <c r="G28" i="9"/>
  <c r="E11" i="13"/>
  <c r="E36" i="13"/>
  <c r="J962" i="4"/>
  <c r="J981" i="4"/>
  <c r="L981" i="4" s="1"/>
  <c r="L1076" i="4" s="1"/>
  <c r="J989" i="4"/>
  <c r="L989" i="4" s="1"/>
  <c r="AA999" i="4"/>
  <c r="AA1000" i="4"/>
  <c r="C1048" i="4"/>
  <c r="F1150" i="4"/>
  <c r="F1156" i="4" s="1"/>
  <c r="F1158" i="4" s="1"/>
  <c r="T1167" i="4"/>
  <c r="P1230" i="4"/>
  <c r="C1230" i="4"/>
  <c r="I1227" i="4"/>
  <c r="J29" i="5"/>
  <c r="J25" i="5"/>
  <c r="J21" i="5"/>
  <c r="J15" i="5"/>
  <c r="W9" i="6"/>
  <c r="J33" i="5"/>
  <c r="J28" i="5"/>
  <c r="J23" i="5"/>
  <c r="J20" i="5"/>
  <c r="J17" i="5"/>
  <c r="J14" i="5"/>
  <c r="J26" i="5"/>
  <c r="J19" i="5"/>
  <c r="J12" i="5"/>
  <c r="J32" i="5"/>
  <c r="J11" i="5"/>
  <c r="J10" i="5"/>
  <c r="D26" i="6"/>
  <c r="D23" i="6"/>
  <c r="H23" i="6" s="1"/>
  <c r="D21" i="6"/>
  <c r="H21" i="6" s="1"/>
  <c r="D19" i="6"/>
  <c r="D14" i="6"/>
  <c r="H14" i="6" s="1"/>
  <c r="D33" i="6"/>
  <c r="D29" i="6"/>
  <c r="D25" i="6"/>
  <c r="D17" i="6"/>
  <c r="D12" i="6"/>
  <c r="D31" i="6"/>
  <c r="D15" i="6"/>
  <c r="D28" i="6"/>
  <c r="D20" i="6"/>
  <c r="D11" i="6"/>
  <c r="H19" i="6"/>
  <c r="H26" i="6"/>
  <c r="G32" i="8"/>
  <c r="G29" i="12"/>
  <c r="AA1007" i="4"/>
  <c r="I1183" i="4"/>
  <c r="I1201" i="4" s="1"/>
  <c r="I1187" i="4"/>
  <c r="I1167" i="4" s="1"/>
  <c r="C1201" i="4"/>
  <c r="I1196" i="4"/>
  <c r="I1166" i="4" s="1"/>
  <c r="C1166" i="4"/>
  <c r="I1197" i="4"/>
  <c r="F1202" i="4"/>
  <c r="I1171" i="4"/>
  <c r="P1214" i="4"/>
  <c r="C1214" i="4"/>
  <c r="F1211" i="4"/>
  <c r="F1214" i="4" s="1"/>
  <c r="F1216" i="4" s="1"/>
  <c r="F1227" i="4"/>
  <c r="F1244" i="4"/>
  <c r="F1249" i="4"/>
  <c r="J22" i="5"/>
  <c r="H15" i="6"/>
  <c r="D22" i="6"/>
  <c r="H31" i="6"/>
  <c r="G28" i="11"/>
  <c r="D33" i="5"/>
  <c r="D28" i="5"/>
  <c r="D23" i="5"/>
  <c r="D20" i="5"/>
  <c r="D17" i="5"/>
  <c r="D14" i="5"/>
  <c r="D32" i="5"/>
  <c r="D27" i="5"/>
  <c r="D12" i="5"/>
  <c r="D15" i="5"/>
  <c r="D19" i="5"/>
  <c r="D26" i="5"/>
  <c r="F33" i="6"/>
  <c r="F29" i="6"/>
  <c r="F25" i="6"/>
  <c r="F17" i="6"/>
  <c r="F12" i="6"/>
  <c r="F32" i="6"/>
  <c r="F28" i="6"/>
  <c r="F22" i="6"/>
  <c r="F20" i="6"/>
  <c r="F16" i="6"/>
  <c r="F11" i="6"/>
  <c r="F10" i="6"/>
  <c r="F27" i="6"/>
  <c r="G25" i="10"/>
  <c r="G17" i="11"/>
  <c r="G27" i="12"/>
  <c r="L23" i="13"/>
  <c r="G23" i="13"/>
  <c r="W10" i="6"/>
  <c r="G20" i="9"/>
  <c r="G16" i="12"/>
  <c r="P27" i="13"/>
  <c r="S14" i="13"/>
  <c r="S27" i="13" s="1"/>
  <c r="G18" i="8"/>
  <c r="G31" i="8"/>
  <c r="G16" i="11"/>
  <c r="G29" i="11"/>
  <c r="G24" i="12"/>
  <c r="G30" i="8"/>
  <c r="I33" i="9"/>
  <c r="I32" i="9"/>
  <c r="G15" i="11"/>
  <c r="G17" i="12"/>
  <c r="D39" i="13"/>
  <c r="D12" i="13"/>
  <c r="S10" i="13"/>
  <c r="S12" i="13" s="1"/>
  <c r="L19" i="13"/>
  <c r="G19" i="13"/>
  <c r="I25" i="9"/>
  <c r="I20" i="9"/>
  <c r="I18" i="9"/>
  <c r="L15" i="13"/>
  <c r="C8" i="14"/>
  <c r="F11" i="14"/>
  <c r="G15" i="12"/>
  <c r="G28" i="12"/>
  <c r="I27" i="9"/>
  <c r="I28" i="9"/>
  <c r="I29" i="9"/>
  <c r="I31" i="9"/>
  <c r="G24" i="9"/>
  <c r="G19" i="11"/>
  <c r="G20" i="11"/>
  <c r="G21" i="11"/>
  <c r="G23" i="11"/>
  <c r="G19" i="12"/>
  <c r="G20" i="12"/>
  <c r="G21" i="12"/>
  <c r="G23" i="12"/>
  <c r="I118" i="4" l="1"/>
  <c r="I274" i="4"/>
  <c r="I276" i="4" s="1"/>
  <c r="I24" i="2"/>
  <c r="I24" i="3"/>
  <c r="I24" i="1"/>
  <c r="H18" i="13" s="1"/>
  <c r="C311" i="4"/>
  <c r="F274" i="4"/>
  <c r="F276" i="4" s="1"/>
  <c r="I713" i="4"/>
  <c r="I1203" i="4"/>
  <c r="I1170" i="4"/>
  <c r="I1172" i="4" s="1"/>
  <c r="F484" i="4"/>
  <c r="F521" i="4"/>
  <c r="C1203" i="4"/>
  <c r="C1170" i="4"/>
  <c r="C1199" i="4"/>
  <c r="L1199" i="4" s="1"/>
  <c r="L1201" i="4" s="1"/>
  <c r="F1203" i="4"/>
  <c r="R808" i="4"/>
  <c r="T808" i="4" s="1"/>
  <c r="T788" i="4"/>
  <c r="R674" i="4"/>
  <c r="T659" i="4"/>
  <c r="T966" i="4"/>
  <c r="T1060" i="4" s="1"/>
  <c r="R887" i="4"/>
  <c r="L775" i="4"/>
  <c r="J799" i="4"/>
  <c r="L799" i="4" s="1"/>
  <c r="L603" i="4"/>
  <c r="N670" i="4"/>
  <c r="P670" i="4" s="1"/>
  <c r="P657" i="4"/>
  <c r="C484" i="4"/>
  <c r="C521" i="4"/>
  <c r="C974" i="4"/>
  <c r="X684" i="4"/>
  <c r="V700" i="4"/>
  <c r="X700" i="4" s="1"/>
  <c r="C659" i="4"/>
  <c r="X659" i="4" s="1"/>
  <c r="F656" i="4"/>
  <c r="F675" i="4" s="1"/>
  <c r="I656" i="4"/>
  <c r="C614" i="4"/>
  <c r="C617" i="4" s="1"/>
  <c r="C675" i="4"/>
  <c r="R801" i="4"/>
  <c r="T801" i="4" s="1"/>
  <c r="T777" i="4"/>
  <c r="I459" i="4"/>
  <c r="I171" i="4" s="1"/>
  <c r="F302" i="4"/>
  <c r="C233" i="4"/>
  <c r="C308" i="4"/>
  <c r="I302" i="4"/>
  <c r="I233" i="4" s="1"/>
  <c r="I196" i="4" s="1"/>
  <c r="L481" i="4"/>
  <c r="L501" i="4"/>
  <c r="L466" i="4" s="1"/>
  <c r="J513" i="4"/>
  <c r="L513" i="4" s="1"/>
  <c r="J442" i="4"/>
  <c r="L442" i="4" s="1"/>
  <c r="L430" i="4"/>
  <c r="N437" i="4"/>
  <c r="P437" i="4" s="1"/>
  <c r="P423" i="4"/>
  <c r="X422" i="4"/>
  <c r="V436" i="4"/>
  <c r="X436" i="4" s="1"/>
  <c r="P249" i="4"/>
  <c r="N262" i="4"/>
  <c r="P262" i="4" s="1"/>
  <c r="N261" i="4"/>
  <c r="P261" i="4" s="1"/>
  <c r="P248" i="4"/>
  <c r="N330" i="4"/>
  <c r="P330" i="4" s="1"/>
  <c r="P317" i="4"/>
  <c r="X529" i="4"/>
  <c r="V543" i="4"/>
  <c r="X543" i="4" s="1"/>
  <c r="L423" i="4"/>
  <c r="J437" i="4"/>
  <c r="L437" i="4" s="1"/>
  <c r="T44" i="4"/>
  <c r="C23" i="4"/>
  <c r="L44" i="4"/>
  <c r="L23" i="4" s="1"/>
  <c r="AA1205" i="4"/>
  <c r="AA1218" i="4"/>
  <c r="I519" i="4"/>
  <c r="N513" i="4"/>
  <c r="P513" i="4" s="1"/>
  <c r="P501" i="4"/>
  <c r="P466" i="4" s="1"/>
  <c r="T423" i="4"/>
  <c r="R437" i="4"/>
  <c r="T437" i="4" s="1"/>
  <c r="T284" i="4"/>
  <c r="R297" i="4"/>
  <c r="T297" i="4" s="1"/>
  <c r="T228" i="4" s="1"/>
  <c r="R400" i="4"/>
  <c r="T400" i="4" s="1"/>
  <c r="T386" i="4"/>
  <c r="N159" i="4"/>
  <c r="P159" i="4" s="1"/>
  <c r="P144" i="4"/>
  <c r="F46" i="4"/>
  <c r="F15" i="4"/>
  <c r="T467" i="4"/>
  <c r="H11" i="6"/>
  <c r="H28" i="6"/>
  <c r="C1216" i="4"/>
  <c r="C1213" i="4"/>
  <c r="C1085" i="4"/>
  <c r="E47" i="13"/>
  <c r="T11" i="13"/>
  <c r="F11" i="13"/>
  <c r="L971" i="4"/>
  <c r="T971" i="4"/>
  <c r="L933" i="4"/>
  <c r="F1270" i="4"/>
  <c r="F1272" i="4" s="1"/>
  <c r="C697" i="4"/>
  <c r="I694" i="4"/>
  <c r="F694" i="4"/>
  <c r="F713" i="4" s="1"/>
  <c r="T696" i="4"/>
  <c r="R711" i="4"/>
  <c r="T711" i="4" s="1"/>
  <c r="P695" i="4"/>
  <c r="N708" i="4"/>
  <c r="P708" i="4" s="1"/>
  <c r="X787" i="4"/>
  <c r="V807" i="4"/>
  <c r="X807" i="4" s="1"/>
  <c r="L999" i="4"/>
  <c r="F999" i="4"/>
  <c r="F1010" i="4" s="1"/>
  <c r="I999" i="4"/>
  <c r="F990" i="4"/>
  <c r="V661" i="4"/>
  <c r="X661" i="4" s="1"/>
  <c r="X645" i="4"/>
  <c r="N699" i="4"/>
  <c r="P699" i="4" s="1"/>
  <c r="P683" i="4"/>
  <c r="I1030" i="4"/>
  <c r="P849" i="4"/>
  <c r="N869" i="4"/>
  <c r="P869" i="4" s="1"/>
  <c r="L830" i="4"/>
  <c r="J854" i="4"/>
  <c r="L854" i="4" s="1"/>
  <c r="X841" i="4"/>
  <c r="V861" i="4"/>
  <c r="X861" i="4" s="1"/>
  <c r="P294" i="4"/>
  <c r="T362" i="4"/>
  <c r="F218" i="4"/>
  <c r="F178" i="4" s="1"/>
  <c r="T238" i="4"/>
  <c r="L291" i="4"/>
  <c r="J303" i="4"/>
  <c r="L303" i="4" s="1"/>
  <c r="V263" i="4"/>
  <c r="X263" i="4" s="1"/>
  <c r="X250" i="4"/>
  <c r="N263" i="4"/>
  <c r="P263" i="4" s="1"/>
  <c r="P250" i="4"/>
  <c r="N297" i="4"/>
  <c r="P297" i="4" s="1"/>
  <c r="P228" i="4" s="1"/>
  <c r="P284" i="4"/>
  <c r="N401" i="4"/>
  <c r="P401" i="4" s="1"/>
  <c r="P366" i="4" s="1"/>
  <c r="P387" i="4"/>
  <c r="P386" i="4"/>
  <c r="N400" i="4"/>
  <c r="P400" i="4" s="1"/>
  <c r="T259" i="4"/>
  <c r="J332" i="4"/>
  <c r="L332" i="4" s="1"/>
  <c r="L319" i="4"/>
  <c r="J543" i="4"/>
  <c r="L543" i="4" s="1"/>
  <c r="L529" i="4"/>
  <c r="Z1205" i="4"/>
  <c r="Z1218" i="4"/>
  <c r="C174" i="4"/>
  <c r="C217" i="4"/>
  <c r="C177" i="4" s="1"/>
  <c r="L361" i="4"/>
  <c r="R332" i="4"/>
  <c r="T332" i="4" s="1"/>
  <c r="T319" i="4"/>
  <c r="V80" i="4"/>
  <c r="X80" i="4" s="1"/>
  <c r="V62" i="4"/>
  <c r="X62" i="4" s="1"/>
  <c r="V44" i="4"/>
  <c r="X44" i="4" s="1"/>
  <c r="B23" i="1"/>
  <c r="T257" i="4"/>
  <c r="T223" i="4" s="1"/>
  <c r="T292" i="4"/>
  <c r="F351" i="4"/>
  <c r="F413" i="4"/>
  <c r="H14" i="13"/>
  <c r="I42" i="1"/>
  <c r="D8" i="14"/>
  <c r="C11" i="14"/>
  <c r="H16" i="6"/>
  <c r="H32" i="6"/>
  <c r="H29" i="6"/>
  <c r="J31" i="6"/>
  <c r="J27" i="6"/>
  <c r="J15" i="6"/>
  <c r="J26" i="6"/>
  <c r="J23" i="6"/>
  <c r="J21" i="6"/>
  <c r="J19" i="6"/>
  <c r="J14" i="6"/>
  <c r="J28" i="6"/>
  <c r="J20" i="6"/>
  <c r="J11" i="6"/>
  <c r="J33" i="6"/>
  <c r="J25" i="6"/>
  <c r="J22" i="6"/>
  <c r="J17" i="6"/>
  <c r="J32" i="6"/>
  <c r="J16" i="6"/>
  <c r="J12" i="6"/>
  <c r="J29" i="6"/>
  <c r="J10" i="6"/>
  <c r="Q15" i="10"/>
  <c r="L962" i="4"/>
  <c r="Z924" i="4"/>
  <c r="AA924" i="4" s="1"/>
  <c r="J883" i="4"/>
  <c r="L883" i="4" s="1"/>
  <c r="L36" i="2"/>
  <c r="L36" i="1"/>
  <c r="L36" i="3"/>
  <c r="C934" i="4"/>
  <c r="I1063" i="4"/>
  <c r="I906" i="4"/>
  <c r="F1104" i="4"/>
  <c r="F924" i="4"/>
  <c r="F905" i="4" s="1"/>
  <c r="X1059" i="4"/>
  <c r="T789" i="4"/>
  <c r="R809" i="4"/>
  <c r="T809" i="4" s="1"/>
  <c r="T784" i="4"/>
  <c r="R804" i="4"/>
  <c r="T804" i="4" s="1"/>
  <c r="R792" i="4"/>
  <c r="R664" i="4"/>
  <c r="T664" i="4" s="1"/>
  <c r="T649" i="4"/>
  <c r="I1230" i="4"/>
  <c r="I1232" i="4" s="1"/>
  <c r="I1139" i="4"/>
  <c r="I1141" i="4" s="1"/>
  <c r="V883" i="4"/>
  <c r="X962" i="4"/>
  <c r="X1056" i="4" s="1"/>
  <c r="P962" i="4"/>
  <c r="N883" i="4"/>
  <c r="X779" i="4"/>
  <c r="V803" i="4"/>
  <c r="X803" i="4" s="1"/>
  <c r="R799" i="4"/>
  <c r="T799" i="4" s="1"/>
  <c r="T775" i="4"/>
  <c r="T650" i="4"/>
  <c r="R665" i="4"/>
  <c r="T665" i="4" s="1"/>
  <c r="P1201" i="4"/>
  <c r="P1165" i="4"/>
  <c r="I950" i="4"/>
  <c r="I932" i="4" s="1"/>
  <c r="I913" i="4" s="1"/>
  <c r="C932" i="4"/>
  <c r="C913" i="4" s="1"/>
  <c r="F950" i="4"/>
  <c r="T793" i="4"/>
  <c r="R813" i="4"/>
  <c r="T813" i="4" s="1"/>
  <c r="N707" i="4"/>
  <c r="P707" i="4" s="1"/>
  <c r="P694" i="4"/>
  <c r="F463" i="4"/>
  <c r="F343" i="4"/>
  <c r="L1270" i="4"/>
  <c r="L1272" i="4" s="1"/>
  <c r="L1075" i="4"/>
  <c r="F738" i="4"/>
  <c r="P685" i="4"/>
  <c r="N701" i="4"/>
  <c r="P701" i="4" s="1"/>
  <c r="N662" i="4"/>
  <c r="P662" i="4" s="1"/>
  <c r="P646" i="4"/>
  <c r="T778" i="4"/>
  <c r="R802" i="4"/>
  <c r="T802" i="4" s="1"/>
  <c r="V810" i="4"/>
  <c r="X810" i="4" s="1"/>
  <c r="X790" i="4"/>
  <c r="X840" i="4"/>
  <c r="V860" i="4"/>
  <c r="X860" i="4" s="1"/>
  <c r="I628" i="4"/>
  <c r="N706" i="4"/>
  <c r="P706" i="4" s="1"/>
  <c r="P693" i="4"/>
  <c r="T1075" i="4"/>
  <c r="I1075" i="4"/>
  <c r="I1048" i="4"/>
  <c r="L763" i="4"/>
  <c r="L622" i="4"/>
  <c r="L696" i="4"/>
  <c r="J711" i="4"/>
  <c r="L711" i="4" s="1"/>
  <c r="V699" i="4"/>
  <c r="X699" i="4" s="1"/>
  <c r="X683" i="4"/>
  <c r="F632" i="4"/>
  <c r="V808" i="4"/>
  <c r="X808" i="4" s="1"/>
  <c r="X788" i="4"/>
  <c r="F607" i="4"/>
  <c r="C468" i="4"/>
  <c r="C180" i="4"/>
  <c r="C184" i="4" s="1"/>
  <c r="I336" i="4"/>
  <c r="I343" i="4" s="1"/>
  <c r="C342" i="4"/>
  <c r="P342" i="4" s="1"/>
  <c r="F336" i="4"/>
  <c r="R856" i="4"/>
  <c r="T856" i="4" s="1"/>
  <c r="T832" i="4"/>
  <c r="F231" i="4"/>
  <c r="F194" i="4" s="1"/>
  <c r="F235" i="4"/>
  <c r="F198" i="4" s="1"/>
  <c r="X308" i="4"/>
  <c r="P377" i="4"/>
  <c r="P469" i="4"/>
  <c r="F214" i="4"/>
  <c r="F173" i="4" s="1"/>
  <c r="L341" i="4"/>
  <c r="L538" i="4"/>
  <c r="X340" i="4"/>
  <c r="X271" i="4"/>
  <c r="X237" i="4" s="1"/>
  <c r="P257" i="4"/>
  <c r="P223" i="4" s="1"/>
  <c r="L395" i="4"/>
  <c r="L360" i="4" s="1"/>
  <c r="J407" i="4"/>
  <c r="L407" i="4" s="1"/>
  <c r="V437" i="4"/>
  <c r="X437" i="4" s="1"/>
  <c r="X423" i="4"/>
  <c r="P388" i="4"/>
  <c r="P353" i="4" s="1"/>
  <c r="N402" i="4"/>
  <c r="P402" i="4" s="1"/>
  <c r="N298" i="4"/>
  <c r="P298" i="4" s="1"/>
  <c r="P285" i="4"/>
  <c r="V262" i="4"/>
  <c r="X262" i="4" s="1"/>
  <c r="X249" i="4"/>
  <c r="P318" i="4"/>
  <c r="N331" i="4"/>
  <c r="P331" i="4" s="1"/>
  <c r="P422" i="4"/>
  <c r="N436" i="4"/>
  <c r="P436" i="4" s="1"/>
  <c r="V330" i="4"/>
  <c r="X330" i="4" s="1"/>
  <c r="X317" i="4"/>
  <c r="P283" i="4"/>
  <c r="N296" i="4"/>
  <c r="P296" i="4" s="1"/>
  <c r="P494" i="4"/>
  <c r="P459" i="4" s="1"/>
  <c r="N508" i="4"/>
  <c r="P508" i="4" s="1"/>
  <c r="V542" i="4"/>
  <c r="X542" i="4" s="1"/>
  <c r="X528" i="4"/>
  <c r="X492" i="4"/>
  <c r="V506" i="4"/>
  <c r="X506" i="4" s="1"/>
  <c r="N541" i="4"/>
  <c r="P541" i="4" s="1"/>
  <c r="P527" i="4"/>
  <c r="T308" i="4"/>
  <c r="T469" i="4"/>
  <c r="P376" i="4"/>
  <c r="P503" i="4"/>
  <c r="AA18" i="7"/>
  <c r="AB18" i="7" s="1"/>
  <c r="J229" i="4"/>
  <c r="L284" i="4"/>
  <c r="J297" i="4"/>
  <c r="L297" i="4" s="1"/>
  <c r="AA14" i="7"/>
  <c r="AA15" i="7" s="1"/>
  <c r="J227" i="4"/>
  <c r="J296" i="4"/>
  <c r="L296" i="4" s="1"/>
  <c r="L283" i="4"/>
  <c r="T527" i="4"/>
  <c r="R541" i="4"/>
  <c r="T541" i="4" s="1"/>
  <c r="L140" i="4"/>
  <c r="F32" i="5"/>
  <c r="F27" i="5"/>
  <c r="F12" i="5"/>
  <c r="F31" i="5"/>
  <c r="F26" i="5"/>
  <c r="F22" i="5"/>
  <c r="F19" i="5"/>
  <c r="F16" i="5"/>
  <c r="F11" i="5"/>
  <c r="F28" i="5"/>
  <c r="F20" i="5"/>
  <c r="F15" i="5"/>
  <c r="F25" i="5"/>
  <c r="F14" i="5"/>
  <c r="F17" i="5"/>
  <c r="F10" i="5"/>
  <c r="F29" i="5"/>
  <c r="F23" i="5"/>
  <c r="F33" i="5"/>
  <c r="F21" i="5"/>
  <c r="Y1218" i="4"/>
  <c r="Y1205" i="4"/>
  <c r="L236" i="4"/>
  <c r="L199" i="4" s="1"/>
  <c r="F100" i="4"/>
  <c r="L100" i="4"/>
  <c r="B24" i="3"/>
  <c r="L492" i="4"/>
  <c r="J506" i="4"/>
  <c r="L506" i="4" s="1"/>
  <c r="L125" i="4"/>
  <c r="X224" i="4"/>
  <c r="X376" i="4"/>
  <c r="X341" i="4"/>
  <c r="X238" i="4" s="1"/>
  <c r="L271" i="4"/>
  <c r="L306" i="4"/>
  <c r="P430" i="4"/>
  <c r="N442" i="4"/>
  <c r="P442" i="4" s="1"/>
  <c r="N303" i="4"/>
  <c r="P303" i="4" s="1"/>
  <c r="P291" i="4"/>
  <c r="T387" i="4"/>
  <c r="R401" i="4"/>
  <c r="T401" i="4" s="1"/>
  <c r="T366" i="4" s="1"/>
  <c r="T248" i="4"/>
  <c r="R261" i="4"/>
  <c r="T261" i="4" s="1"/>
  <c r="T529" i="4"/>
  <c r="T459" i="4" s="1"/>
  <c r="R543" i="4"/>
  <c r="T543" i="4" s="1"/>
  <c r="T473" i="4" s="1"/>
  <c r="J542" i="4"/>
  <c r="L542" i="4" s="1"/>
  <c r="L528" i="4"/>
  <c r="C118" i="4"/>
  <c r="C99" i="4"/>
  <c r="C101" i="4" s="1"/>
  <c r="F116" i="4"/>
  <c r="F90" i="4"/>
  <c r="J130" i="4"/>
  <c r="L114" i="4"/>
  <c r="V114" i="4"/>
  <c r="V130" i="4" s="1"/>
  <c r="V145" i="4" s="1"/>
  <c r="I64" i="4"/>
  <c r="I66" i="4" s="1"/>
  <c r="B24" i="2"/>
  <c r="T375" i="4"/>
  <c r="T361" i="4"/>
  <c r="T493" i="4"/>
  <c r="T458" i="4" s="1"/>
  <c r="R507" i="4"/>
  <c r="T507" i="4" s="1"/>
  <c r="F64" i="4"/>
  <c r="F66" i="4" s="1"/>
  <c r="C354" i="4"/>
  <c r="I351" i="4"/>
  <c r="C173" i="4"/>
  <c r="L308" i="4"/>
  <c r="L342" i="4"/>
  <c r="H10" i="6"/>
  <c r="H22" i="6"/>
  <c r="H17" i="6"/>
  <c r="C1232" i="4"/>
  <c r="C1228" i="4"/>
  <c r="L1228" i="4" s="1"/>
  <c r="X1075" i="4"/>
  <c r="F1066" i="4"/>
  <c r="Y1145" i="4"/>
  <c r="AA1141" i="4"/>
  <c r="AA1145" i="4"/>
  <c r="Z1145" i="4"/>
  <c r="T1140" i="4" s="1"/>
  <c r="Q36" i="2"/>
  <c r="Q36" i="1"/>
  <c r="L1230" i="4"/>
  <c r="L1232" i="4" s="1"/>
  <c r="V802" i="4"/>
  <c r="X802" i="4" s="1"/>
  <c r="X778" i="4"/>
  <c r="L970" i="4"/>
  <c r="L1064" i="4" s="1"/>
  <c r="J891" i="4"/>
  <c r="L891" i="4" s="1"/>
  <c r="I873" i="4"/>
  <c r="I721" i="4"/>
  <c r="T658" i="4"/>
  <c r="R673" i="4"/>
  <c r="T673" i="4" s="1"/>
  <c r="L39" i="1"/>
  <c r="L39" i="3"/>
  <c r="L39" i="2"/>
  <c r="T831" i="4"/>
  <c r="R855" i="4"/>
  <c r="T855" i="4" s="1"/>
  <c r="P673" i="4"/>
  <c r="V862" i="4"/>
  <c r="X862" i="4" s="1"/>
  <c r="X842" i="4"/>
  <c r="V859" i="4"/>
  <c r="X859" i="4" s="1"/>
  <c r="X839" i="4"/>
  <c r="V846" i="4"/>
  <c r="F611" i="4"/>
  <c r="N661" i="4"/>
  <c r="P661" i="4" s="1"/>
  <c r="P645" i="4"/>
  <c r="I1002" i="4"/>
  <c r="I927" i="4" s="1"/>
  <c r="I908" i="4" s="1"/>
  <c r="F1002" i="4"/>
  <c r="N816" i="4"/>
  <c r="P816" i="4" s="1"/>
  <c r="P796" i="4"/>
  <c r="V857" i="4"/>
  <c r="X857" i="4" s="1"/>
  <c r="V845" i="4"/>
  <c r="X837" i="4"/>
  <c r="J801" i="4"/>
  <c r="L801" i="4" s="1"/>
  <c r="L748" i="4" s="1"/>
  <c r="L777" i="4"/>
  <c r="L723" i="4" s="1"/>
  <c r="R803" i="4"/>
  <c r="T803" i="4" s="1"/>
  <c r="T779" i="4"/>
  <c r="X319" i="4"/>
  <c r="V332" i="4"/>
  <c r="X332" i="4" s="1"/>
  <c r="V261" i="4"/>
  <c r="X261" i="4" s="1"/>
  <c r="X248" i="4"/>
  <c r="I214" i="4"/>
  <c r="I173" i="4" s="1"/>
  <c r="L238" i="4"/>
  <c r="X467" i="4"/>
  <c r="J268" i="4"/>
  <c r="L268" i="4" s="1"/>
  <c r="L256" i="4"/>
  <c r="X388" i="4"/>
  <c r="X353" i="4" s="1"/>
  <c r="V402" i="4"/>
  <c r="X402" i="4" s="1"/>
  <c r="X367" i="4" s="1"/>
  <c r="X318" i="4"/>
  <c r="V331" i="4"/>
  <c r="X331" i="4" s="1"/>
  <c r="X386" i="4"/>
  <c r="V400" i="4"/>
  <c r="X400" i="4" s="1"/>
  <c r="N507" i="4"/>
  <c r="P507" i="4" s="1"/>
  <c r="P493" i="4"/>
  <c r="L285" i="4"/>
  <c r="J298" i="4"/>
  <c r="L298" i="4" s="1"/>
  <c r="L387" i="4"/>
  <c r="J401" i="4"/>
  <c r="L401" i="4" s="1"/>
  <c r="L421" i="4"/>
  <c r="J435" i="4"/>
  <c r="L435" i="4" s="1"/>
  <c r="J508" i="4"/>
  <c r="L508" i="4" s="1"/>
  <c r="L473" i="4" s="1"/>
  <c r="L494" i="4"/>
  <c r="L459" i="4" s="1"/>
  <c r="L171" i="4" s="1"/>
  <c r="N337" i="4"/>
  <c r="P337" i="4" s="1"/>
  <c r="P325" i="4"/>
  <c r="P256" i="4"/>
  <c r="N268" i="4"/>
  <c r="P268" i="4" s="1"/>
  <c r="T285" i="4"/>
  <c r="R298" i="4"/>
  <c r="T298" i="4" s="1"/>
  <c r="R262" i="4"/>
  <c r="T262" i="4" s="1"/>
  <c r="T249" i="4"/>
  <c r="R435" i="4"/>
  <c r="T435" i="4" s="1"/>
  <c r="T421" i="4"/>
  <c r="C130" i="4"/>
  <c r="C91" i="4"/>
  <c r="C96" i="4" s="1"/>
  <c r="I125" i="4"/>
  <c r="F125" i="4"/>
  <c r="X89" i="4"/>
  <c r="I16" i="1"/>
  <c r="I19" i="1" s="1"/>
  <c r="I16" i="3"/>
  <c r="I19" i="3" s="1"/>
  <c r="T89" i="4"/>
  <c r="I16" i="2"/>
  <c r="I19" i="2" s="1"/>
  <c r="T94" i="4"/>
  <c r="P94" i="4"/>
  <c r="R542" i="4"/>
  <c r="T542" i="4" s="1"/>
  <c r="T528" i="4"/>
  <c r="L294" i="4"/>
  <c r="H25" i="6"/>
  <c r="P1075" i="4"/>
  <c r="I931" i="4"/>
  <c r="I912" i="4" s="1"/>
  <c r="R861" i="4"/>
  <c r="T861" i="4" s="1"/>
  <c r="T841" i="4"/>
  <c r="J674" i="4"/>
  <c r="L659" i="4"/>
  <c r="I29" i="1"/>
  <c r="H25" i="13" s="1"/>
  <c r="I29" i="2"/>
  <c r="I29" i="3"/>
  <c r="V855" i="4"/>
  <c r="X855" i="4" s="1"/>
  <c r="X831" i="4"/>
  <c r="J852" i="4"/>
  <c r="L852" i="4" s="1"/>
  <c r="L828" i="4"/>
  <c r="L1084" i="4"/>
  <c r="R866" i="4"/>
  <c r="T866" i="4" s="1"/>
  <c r="T846" i="4"/>
  <c r="F180" i="4"/>
  <c r="X697" i="4"/>
  <c r="V712" i="4"/>
  <c r="X712" i="4" s="1"/>
  <c r="P1063" i="4"/>
  <c r="P656" i="4"/>
  <c r="I611" i="4"/>
  <c r="L658" i="4"/>
  <c r="J673" i="4"/>
  <c r="L673" i="4" s="1"/>
  <c r="L633" i="4" s="1"/>
  <c r="T830" i="4"/>
  <c r="R854" i="4"/>
  <c r="T854" i="4" s="1"/>
  <c r="V804" i="4"/>
  <c r="X804" i="4" s="1"/>
  <c r="V792" i="4"/>
  <c r="X784" i="4"/>
  <c r="F820" i="4"/>
  <c r="V799" i="4"/>
  <c r="X799" i="4" s="1"/>
  <c r="X775" i="4"/>
  <c r="I180" i="4"/>
  <c r="P308" i="4"/>
  <c r="C145" i="4"/>
  <c r="F140" i="4"/>
  <c r="F146" i="4" s="1"/>
  <c r="F148" i="4" s="1"/>
  <c r="C146" i="4"/>
  <c r="C148" i="4" s="1"/>
  <c r="I140" i="4"/>
  <c r="I146" i="4" s="1"/>
  <c r="I148" i="4" s="1"/>
  <c r="F255" i="4"/>
  <c r="C273" i="4"/>
  <c r="C259" i="4"/>
  <c r="L259" i="4" s="1"/>
  <c r="L225" i="4" s="1"/>
  <c r="I255" i="4"/>
  <c r="L376" i="4"/>
  <c r="L503" i="4"/>
  <c r="L468" i="4" s="1"/>
  <c r="X257" i="4"/>
  <c r="J548" i="4"/>
  <c r="L548" i="4" s="1"/>
  <c r="L536" i="4"/>
  <c r="V435" i="4"/>
  <c r="X435" i="4" s="1"/>
  <c r="X421" i="4"/>
  <c r="V507" i="4"/>
  <c r="X507" i="4" s="1"/>
  <c r="X472" i="4" s="1"/>
  <c r="X493" i="4"/>
  <c r="X458" i="4" s="1"/>
  <c r="P528" i="4"/>
  <c r="N542" i="4"/>
  <c r="P542" i="4" s="1"/>
  <c r="N506" i="4"/>
  <c r="P506" i="4" s="1"/>
  <c r="P471" i="4" s="1"/>
  <c r="P492" i="4"/>
  <c r="P538" i="4"/>
  <c r="AB14" i="7"/>
  <c r="AB15" i="7" s="1"/>
  <c r="J228" i="4"/>
  <c r="J331" i="4"/>
  <c r="L331" i="4" s="1"/>
  <c r="L318" i="4"/>
  <c r="L248" i="4"/>
  <c r="J261" i="4"/>
  <c r="L261" i="4" s="1"/>
  <c r="T492" i="4"/>
  <c r="R506" i="4"/>
  <c r="T506" i="4" s="1"/>
  <c r="T471" i="4" s="1"/>
  <c r="X971" i="4"/>
  <c r="X1065" i="4" s="1"/>
  <c r="L257" i="4"/>
  <c r="N407" i="4"/>
  <c r="P407" i="4" s="1"/>
  <c r="P372" i="4" s="1"/>
  <c r="P395" i="4"/>
  <c r="P360" i="4" s="1"/>
  <c r="R263" i="4"/>
  <c r="T263" i="4" s="1"/>
  <c r="T250" i="4"/>
  <c r="L493" i="4"/>
  <c r="L458" i="4" s="1"/>
  <c r="L170" i="4" s="1"/>
  <c r="J507" i="4"/>
  <c r="L507" i="4" s="1"/>
  <c r="L472" i="4" s="1"/>
  <c r="I90" i="4"/>
  <c r="L398" i="4"/>
  <c r="H27" i="6"/>
  <c r="H20" i="6"/>
  <c r="H12" i="6"/>
  <c r="H33" i="6"/>
  <c r="L1171" i="4"/>
  <c r="F1171" i="4"/>
  <c r="F1167" i="4"/>
  <c r="C926" i="4"/>
  <c r="C1001" i="4"/>
  <c r="C1065" i="4"/>
  <c r="P1029" i="4"/>
  <c r="P1065" i="4" s="1"/>
  <c r="T1141" i="4"/>
  <c r="I1104" i="4"/>
  <c r="I1004" i="4"/>
  <c r="I929" i="4" s="1"/>
  <c r="I910" i="4" s="1"/>
  <c r="F1004" i="4"/>
  <c r="C1032" i="4"/>
  <c r="T1029" i="4"/>
  <c r="T1065" i="4" s="1"/>
  <c r="T842" i="4"/>
  <c r="R862" i="4"/>
  <c r="T862" i="4" s="1"/>
  <c r="T837" i="4"/>
  <c r="R845" i="4"/>
  <c r="R857" i="4"/>
  <c r="T857" i="4" s="1"/>
  <c r="F1230" i="4"/>
  <c r="F1232" i="4" s="1"/>
  <c r="X832" i="4"/>
  <c r="V856" i="4"/>
  <c r="X856" i="4" s="1"/>
  <c r="R852" i="4"/>
  <c r="T852" i="4" s="1"/>
  <c r="T828" i="4"/>
  <c r="V663" i="4"/>
  <c r="X663" i="4" s="1"/>
  <c r="X647" i="4"/>
  <c r="I463" i="4"/>
  <c r="I179" i="4" s="1"/>
  <c r="I1270" i="4"/>
  <c r="I1272" i="4" s="1"/>
  <c r="F1166" i="4"/>
  <c r="C933" i="4"/>
  <c r="I738" i="4"/>
  <c r="N674" i="4"/>
  <c r="P659" i="4"/>
  <c r="V662" i="4"/>
  <c r="X662" i="4" s="1"/>
  <c r="X646" i="4"/>
  <c r="P684" i="4"/>
  <c r="N700" i="4"/>
  <c r="P700" i="4" s="1"/>
  <c r="V863" i="4"/>
  <c r="X863" i="4" s="1"/>
  <c r="X843" i="4"/>
  <c r="C629" i="4"/>
  <c r="C634" i="4" s="1"/>
  <c r="F669" i="4"/>
  <c r="F629" i="4" s="1"/>
  <c r="I669" i="4"/>
  <c r="I629" i="4" s="1"/>
  <c r="C674" i="4"/>
  <c r="X674" i="4" s="1"/>
  <c r="I613" i="4"/>
  <c r="F1048" i="4"/>
  <c r="F1075" i="4"/>
  <c r="I942" i="4"/>
  <c r="L942" i="4"/>
  <c r="C924" i="4"/>
  <c r="C905" i="4" s="1"/>
  <c r="F942" i="4"/>
  <c r="I990" i="4"/>
  <c r="L764" i="4"/>
  <c r="V809" i="4"/>
  <c r="X809" i="4" s="1"/>
  <c r="X789" i="4"/>
  <c r="V806" i="4"/>
  <c r="X806" i="4" s="1"/>
  <c r="V793" i="4"/>
  <c r="X786" i="4"/>
  <c r="Z1161" i="4"/>
  <c r="Y1161" i="4"/>
  <c r="P1157" i="4" s="1"/>
  <c r="P1158" i="4" s="1"/>
  <c r="AA1158" i="4"/>
  <c r="AA1161" i="4"/>
  <c r="Q37" i="1"/>
  <c r="Q37" i="2"/>
  <c r="R886" i="4"/>
  <c r="T965" i="4"/>
  <c r="I1059" i="4"/>
  <c r="P777" i="4"/>
  <c r="N801" i="4"/>
  <c r="P801" i="4" s="1"/>
  <c r="I820" i="4"/>
  <c r="V852" i="4"/>
  <c r="X852" i="4" s="1"/>
  <c r="X828" i="4"/>
  <c r="F459" i="4"/>
  <c r="F171" i="4" s="1"/>
  <c r="I231" i="4"/>
  <c r="I194" i="4" s="1"/>
  <c r="C294" i="4"/>
  <c r="T294" i="4" s="1"/>
  <c r="F290" i="4"/>
  <c r="F221" i="4" s="1"/>
  <c r="F181" i="4" s="1"/>
  <c r="I290" i="4"/>
  <c r="C221" i="4"/>
  <c r="F222" i="4"/>
  <c r="F182" i="4" s="1"/>
  <c r="J872" i="4"/>
  <c r="L872" i="4" s="1"/>
  <c r="J819" i="4"/>
  <c r="L819" i="4" s="1"/>
  <c r="I235" i="4"/>
  <c r="I198" i="4" s="1"/>
  <c r="X292" i="4"/>
  <c r="C274" i="4"/>
  <c r="C276" i="4" s="1"/>
  <c r="L235" i="4"/>
  <c r="L198" i="4" s="1"/>
  <c r="X294" i="4"/>
  <c r="P398" i="4"/>
  <c r="P363" i="4" s="1"/>
  <c r="L1029" i="4"/>
  <c r="L1065" i="4" s="1"/>
  <c r="P306" i="4"/>
  <c r="F179" i="4"/>
  <c r="T376" i="4"/>
  <c r="T503" i="4"/>
  <c r="T468" i="4" s="1"/>
  <c r="L362" i="4"/>
  <c r="L293" i="4"/>
  <c r="L224" i="4" s="1"/>
  <c r="L184" i="4" s="1"/>
  <c r="X537" i="4"/>
  <c r="P271" i="4"/>
  <c r="P237" i="4" s="1"/>
  <c r="L325" i="4"/>
  <c r="J337" i="4"/>
  <c r="L337" i="4" s="1"/>
  <c r="V298" i="4"/>
  <c r="X298" i="4" s="1"/>
  <c r="X285" i="4"/>
  <c r="X216" i="4" s="1"/>
  <c r="P319" i="4"/>
  <c r="N332" i="4"/>
  <c r="P332" i="4" s="1"/>
  <c r="X284" i="4"/>
  <c r="X215" i="4" s="1"/>
  <c r="V297" i="4"/>
  <c r="X297" i="4" s="1"/>
  <c r="X228" i="4" s="1"/>
  <c r="V401" i="4"/>
  <c r="X401" i="4" s="1"/>
  <c r="X366" i="4" s="1"/>
  <c r="X387" i="4"/>
  <c r="X352" i="4" s="1"/>
  <c r="X283" i="4"/>
  <c r="V296" i="4"/>
  <c r="X296" i="4" s="1"/>
  <c r="X227" i="4" s="1"/>
  <c r="N435" i="4"/>
  <c r="P435" i="4" s="1"/>
  <c r="P421" i="4"/>
  <c r="X494" i="4"/>
  <c r="V508" i="4"/>
  <c r="X508" i="4" s="1"/>
  <c r="X473" i="4" s="1"/>
  <c r="P529" i="4"/>
  <c r="N543" i="4"/>
  <c r="P543" i="4" s="1"/>
  <c r="V541" i="4"/>
  <c r="X541" i="4" s="1"/>
  <c r="X527" i="4"/>
  <c r="T328" i="4"/>
  <c r="P238" i="4"/>
  <c r="P293" i="4"/>
  <c r="P224" i="4" s="1"/>
  <c r="P341" i="4"/>
  <c r="J263" i="4"/>
  <c r="L263" i="4" s="1"/>
  <c r="L250" i="4"/>
  <c r="J402" i="4"/>
  <c r="L402" i="4" s="1"/>
  <c r="L367" i="4" s="1"/>
  <c r="L388" i="4"/>
  <c r="L353" i="4" s="1"/>
  <c r="J262" i="4"/>
  <c r="L262" i="4" s="1"/>
  <c r="L249" i="4"/>
  <c r="J436" i="4"/>
  <c r="L436" i="4" s="1"/>
  <c r="L422" i="4"/>
  <c r="L317" i="4"/>
  <c r="J330" i="4"/>
  <c r="L330" i="4" s="1"/>
  <c r="J400" i="4"/>
  <c r="L400" i="4" s="1"/>
  <c r="L365" i="4" s="1"/>
  <c r="L386" i="4"/>
  <c r="P92" i="4"/>
  <c r="T92" i="4"/>
  <c r="P89" i="4"/>
  <c r="T95" i="4"/>
  <c r="X95" i="4"/>
  <c r="F155" i="4"/>
  <c r="F161" i="4" s="1"/>
  <c r="F163" i="4" s="1"/>
  <c r="C160" i="4"/>
  <c r="T160" i="4" s="1"/>
  <c r="I155" i="4"/>
  <c r="I161" i="4" s="1"/>
  <c r="I163" i="4" s="1"/>
  <c r="L22" i="4"/>
  <c r="L527" i="4"/>
  <c r="J541" i="4"/>
  <c r="L541" i="4" s="1"/>
  <c r="L155" i="4"/>
  <c r="X503" i="4"/>
  <c r="X468" i="4" s="1"/>
  <c r="X362" i="4"/>
  <c r="X538" i="4"/>
  <c r="L292" i="4"/>
  <c r="L340" i="4"/>
  <c r="L537" i="4"/>
  <c r="L467" i="4" s="1"/>
  <c r="P536" i="4"/>
  <c r="N548" i="4"/>
  <c r="P548" i="4" s="1"/>
  <c r="R402" i="4"/>
  <c r="T402" i="4" s="1"/>
  <c r="T388" i="4"/>
  <c r="T353" i="4" s="1"/>
  <c r="R331" i="4"/>
  <c r="T331" i="4" s="1"/>
  <c r="T318" i="4"/>
  <c r="R436" i="4"/>
  <c r="T436" i="4" s="1"/>
  <c r="T422" i="4"/>
  <c r="R296" i="4"/>
  <c r="T296" i="4" s="1"/>
  <c r="T283" i="4"/>
  <c r="I131" i="4"/>
  <c r="I133" i="4" s="1"/>
  <c r="V159" i="4"/>
  <c r="X159" i="4" s="1"/>
  <c r="X144" i="4"/>
  <c r="F89" i="4"/>
  <c r="P95" i="4"/>
  <c r="F22" i="4"/>
  <c r="T271" i="4"/>
  <c r="T306" i="4"/>
  <c r="P44" i="4"/>
  <c r="I413" i="4"/>
  <c r="L328" i="4"/>
  <c r="J144" i="4"/>
  <c r="L129" i="4"/>
  <c r="I21" i="4"/>
  <c r="I46" i="4"/>
  <c r="F677" i="4" l="1"/>
  <c r="F635" i="4"/>
  <c r="L95" i="4"/>
  <c r="I378" i="4"/>
  <c r="I415" i="4"/>
  <c r="T214" i="4"/>
  <c r="X1157" i="4"/>
  <c r="X1158" i="4" s="1"/>
  <c r="F1085" i="4"/>
  <c r="P273" i="4"/>
  <c r="P239" i="4" s="1"/>
  <c r="X273" i="4"/>
  <c r="X239" i="4" s="1"/>
  <c r="X792" i="4"/>
  <c r="V812" i="4"/>
  <c r="X812" i="4" s="1"/>
  <c r="F91" i="4"/>
  <c r="T229" i="4"/>
  <c r="I91" i="4"/>
  <c r="L229" i="4"/>
  <c r="L192" i="4" s="1"/>
  <c r="X365" i="4"/>
  <c r="Z1235" i="4"/>
  <c r="T1231" i="4" s="1"/>
  <c r="T1232" i="4" s="1"/>
  <c r="AA1235" i="4"/>
  <c r="Y1235" i="4"/>
  <c r="AA1232" i="4"/>
  <c r="Q29" i="2"/>
  <c r="Q29" i="1"/>
  <c r="C176" i="4"/>
  <c r="X173" i="4"/>
  <c r="T173" i="4"/>
  <c r="P222" i="4"/>
  <c r="L471" i="4"/>
  <c r="H23" i="5"/>
  <c r="H14" i="5"/>
  <c r="H28" i="5"/>
  <c r="H22" i="5"/>
  <c r="H27" i="5"/>
  <c r="P214" i="4"/>
  <c r="T184" i="4"/>
  <c r="P184" i="4"/>
  <c r="P1170" i="4"/>
  <c r="O36" i="3"/>
  <c r="O36" i="2"/>
  <c r="O36" i="1"/>
  <c r="V36" i="1" s="1"/>
  <c r="R812" i="4"/>
  <c r="T812" i="4" s="1"/>
  <c r="T792" i="4"/>
  <c r="E11" i="14"/>
  <c r="D11" i="14"/>
  <c r="L273" i="4"/>
  <c r="L239" i="4" s="1"/>
  <c r="L202" i="4" s="1"/>
  <c r="P351" i="4"/>
  <c r="T351" i="4"/>
  <c r="L91" i="4"/>
  <c r="C239" i="4"/>
  <c r="C196" i="4"/>
  <c r="C202" i="4" s="1"/>
  <c r="L1203" i="4"/>
  <c r="O38" i="3"/>
  <c r="O38" i="2"/>
  <c r="O38" i="1"/>
  <c r="V38" i="1" s="1"/>
  <c r="T18" i="13"/>
  <c r="J18" i="13"/>
  <c r="V18" i="13" s="1"/>
  <c r="V17" i="13" s="1"/>
  <c r="T237" i="4"/>
  <c r="T227" i="4"/>
  <c r="L351" i="4"/>
  <c r="T342" i="4"/>
  <c r="X342" i="4"/>
  <c r="V813" i="4"/>
  <c r="X813" i="4" s="1"/>
  <c r="X793" i="4"/>
  <c r="L924" i="4"/>
  <c r="L905" i="4" s="1"/>
  <c r="P674" i="4"/>
  <c r="F1170" i="4"/>
  <c r="F1172" i="4" s="1"/>
  <c r="C907" i="4"/>
  <c r="C1290" i="4" s="1"/>
  <c r="I27" i="3"/>
  <c r="I27" i="1"/>
  <c r="H21" i="13" s="1"/>
  <c r="I27" i="2"/>
  <c r="L223" i="4"/>
  <c r="L183" i="4" s="1"/>
  <c r="T457" i="4"/>
  <c r="P457" i="4"/>
  <c r="P145" i="4"/>
  <c r="T145" i="4"/>
  <c r="L616" i="4"/>
  <c r="T25" i="13"/>
  <c r="J25" i="13"/>
  <c r="V25" i="13" s="1"/>
  <c r="T216" i="4"/>
  <c r="L216" i="4"/>
  <c r="L175" i="4" s="1"/>
  <c r="X351" i="4"/>
  <c r="L201" i="4"/>
  <c r="X845" i="4"/>
  <c r="V865" i="4"/>
  <c r="X865" i="4" s="1"/>
  <c r="X1140" i="4"/>
  <c r="X1141" i="4" s="1"/>
  <c r="F934" i="4"/>
  <c r="F915" i="4" s="1"/>
  <c r="F1068" i="4"/>
  <c r="T472" i="4"/>
  <c r="B26" i="2"/>
  <c r="B28" i="2"/>
  <c r="V160" i="4"/>
  <c r="X160" i="4" s="1"/>
  <c r="X145" i="4"/>
  <c r="F118" i="4"/>
  <c r="F99" i="4"/>
  <c r="F101" i="4" s="1"/>
  <c r="P234" i="4"/>
  <c r="L237" i="4"/>
  <c r="L200" i="4" s="1"/>
  <c r="L457" i="4"/>
  <c r="L169" i="4" s="1"/>
  <c r="H29" i="5"/>
  <c r="H25" i="5"/>
  <c r="H11" i="5"/>
  <c r="H26" i="5"/>
  <c r="H32" i="5"/>
  <c r="T273" i="4"/>
  <c r="T239" i="4" s="1"/>
  <c r="X471" i="4"/>
  <c r="P473" i="4"/>
  <c r="P216" i="4"/>
  <c r="Y1275" i="4"/>
  <c r="AA1272" i="4"/>
  <c r="AA1275" i="4"/>
  <c r="X1271" i="4" s="1"/>
  <c r="X1272" i="4" s="1"/>
  <c r="Z1275" i="4"/>
  <c r="Q39" i="1"/>
  <c r="Q39" i="2"/>
  <c r="P1056" i="4"/>
  <c r="O29" i="1"/>
  <c r="V29" i="1" s="1"/>
  <c r="O29" i="3"/>
  <c r="O29" i="2"/>
  <c r="F415" i="4"/>
  <c r="F378" i="4"/>
  <c r="B25" i="1"/>
  <c r="B24" i="1"/>
  <c r="P352" i="4"/>
  <c r="L234" i="4"/>
  <c r="I1031" i="4"/>
  <c r="I1032" i="4"/>
  <c r="I1066" i="4"/>
  <c r="I1068" i="4" s="1"/>
  <c r="F25" i="4"/>
  <c r="F48" i="4"/>
  <c r="T365" i="4"/>
  <c r="I521" i="4"/>
  <c r="I484" i="4"/>
  <c r="L478" i="4"/>
  <c r="F233" i="4"/>
  <c r="F196" i="4" s="1"/>
  <c r="I614" i="4"/>
  <c r="I675" i="4"/>
  <c r="C1172" i="4"/>
  <c r="C1169" i="4"/>
  <c r="I99" i="4"/>
  <c r="I101" i="4" s="1"/>
  <c r="C225" i="4"/>
  <c r="C181" i="4"/>
  <c r="C185" i="4" s="1"/>
  <c r="I953" i="4"/>
  <c r="I924" i="4"/>
  <c r="I905" i="4" s="1"/>
  <c r="O39" i="2"/>
  <c r="O39" i="1"/>
  <c r="V39" i="1" s="1"/>
  <c r="O39" i="3"/>
  <c r="T845" i="4"/>
  <c r="R865" i="4"/>
  <c r="T865" i="4" s="1"/>
  <c r="F767" i="4"/>
  <c r="T96" i="4"/>
  <c r="P96" i="4"/>
  <c r="X96" i="4"/>
  <c r="L366" i="4"/>
  <c r="P458" i="4"/>
  <c r="AD36" i="1"/>
  <c r="L29" i="3"/>
  <c r="L29" i="1"/>
  <c r="L29" i="2"/>
  <c r="L16" i="3"/>
  <c r="L19" i="3" s="1"/>
  <c r="L16" i="2"/>
  <c r="L19" i="2" s="1"/>
  <c r="L16" i="1"/>
  <c r="L19" i="1" s="1"/>
  <c r="H21" i="5"/>
  <c r="H10" i="5"/>
  <c r="H15" i="5"/>
  <c r="H16" i="5"/>
  <c r="H31" i="5"/>
  <c r="L214" i="4"/>
  <c r="L228" i="4"/>
  <c r="L191" i="4" s="1"/>
  <c r="P468" i="4"/>
  <c r="X457" i="4"/>
  <c r="P229" i="4"/>
  <c r="C914" i="4"/>
  <c r="C915" i="4"/>
  <c r="F131" i="4"/>
  <c r="F133" i="4" s="1"/>
  <c r="I22" i="3"/>
  <c r="I32" i="3" s="1"/>
  <c r="I44" i="3" s="1"/>
  <c r="I48" i="3" s="1"/>
  <c r="I22" i="1"/>
  <c r="I22" i="2"/>
  <c r="I32" i="2" s="1"/>
  <c r="I44" i="2" s="1"/>
  <c r="I48" i="2" s="1"/>
  <c r="T225" i="4"/>
  <c r="L222" i="4"/>
  <c r="L182" i="4" s="1"/>
  <c r="P697" i="4"/>
  <c r="L697" i="4"/>
  <c r="L617" i="4" s="1"/>
  <c r="T697" i="4"/>
  <c r="F614" i="4"/>
  <c r="L746" i="4"/>
  <c r="I48" i="4"/>
  <c r="I25" i="4"/>
  <c r="L144" i="4"/>
  <c r="J159" i="4"/>
  <c r="L159" i="4" s="1"/>
  <c r="T367" i="4"/>
  <c r="X459" i="4"/>
  <c r="X214" i="4"/>
  <c r="X229" i="4"/>
  <c r="L766" i="4"/>
  <c r="I221" i="4"/>
  <c r="I181" i="4" s="1"/>
  <c r="I767" i="4"/>
  <c r="T1059" i="4"/>
  <c r="AD37" i="1"/>
  <c r="T1157" i="4"/>
  <c r="T1158" i="4" s="1"/>
  <c r="F953" i="4"/>
  <c r="X223" i="4"/>
  <c r="P259" i="4"/>
  <c r="P225" i="4" s="1"/>
  <c r="X259" i="4"/>
  <c r="X225" i="4" s="1"/>
  <c r="L674" i="4"/>
  <c r="L634" i="4" s="1"/>
  <c r="L352" i="4"/>
  <c r="P472" i="4"/>
  <c r="I309" i="4"/>
  <c r="X846" i="4"/>
  <c r="V866" i="4"/>
  <c r="X866" i="4" s="1"/>
  <c r="P1140" i="4"/>
  <c r="P1141" i="4" s="1"/>
  <c r="J145" i="4"/>
  <c r="L130" i="4"/>
  <c r="T352" i="4"/>
  <c r="B25" i="3"/>
  <c r="B25" i="2"/>
  <c r="H33" i="5"/>
  <c r="H17" i="5"/>
  <c r="H20" i="5"/>
  <c r="H19" i="5"/>
  <c r="H12" i="5"/>
  <c r="L227" i="4"/>
  <c r="L190" i="4" s="1"/>
  <c r="L215" i="4"/>
  <c r="L174" i="4" s="1"/>
  <c r="P227" i="4"/>
  <c r="P367" i="4"/>
  <c r="L372" i="4"/>
  <c r="F309" i="4"/>
  <c r="I1085" i="4"/>
  <c r="T14" i="13"/>
  <c r="J14" i="13"/>
  <c r="X174" i="4"/>
  <c r="T174" i="4"/>
  <c r="P160" i="4"/>
  <c r="P365" i="4"/>
  <c r="P215" i="4"/>
  <c r="I1010" i="4"/>
  <c r="L1213" i="4"/>
  <c r="L1214" i="4" s="1"/>
  <c r="L1216" i="4" s="1"/>
  <c r="X1213" i="4"/>
  <c r="X1214" i="4" s="1"/>
  <c r="T215" i="4"/>
  <c r="P478" i="4"/>
  <c r="C635" i="4"/>
  <c r="C677" i="4"/>
  <c r="L721" i="4"/>
  <c r="T674" i="4"/>
  <c r="L1056" i="4"/>
  <c r="C1291" i="4"/>
  <c r="C1293" i="4" s="1"/>
  <c r="C240" i="4"/>
  <c r="I973" i="4"/>
  <c r="Y1219" i="4" l="1"/>
  <c r="Z1219" i="4"/>
  <c r="AA1219" i="4"/>
  <c r="V14" i="13"/>
  <c r="H16" i="13"/>
  <c r="I32" i="1"/>
  <c r="I44" i="1" s="1"/>
  <c r="I48" i="1" s="1"/>
  <c r="V39" i="2"/>
  <c r="B27" i="2"/>
  <c r="I311" i="4"/>
  <c r="I240" i="4"/>
  <c r="L38" i="2"/>
  <c r="L38" i="3"/>
  <c r="L38" i="1"/>
  <c r="L973" i="4"/>
  <c r="F973" i="4"/>
  <c r="F974" i="4" s="1"/>
  <c r="I974" i="4"/>
  <c r="B26" i="3"/>
  <c r="B27" i="3"/>
  <c r="I934" i="4"/>
  <c r="I915" i="4" s="1"/>
  <c r="O16" i="1"/>
  <c r="O19" i="1" s="1"/>
  <c r="O16" i="3"/>
  <c r="O16" i="2"/>
  <c r="L197" i="4"/>
  <c r="B26" i="1"/>
  <c r="B28" i="1" s="1"/>
  <c r="AD39" i="1"/>
  <c r="P1271" i="4"/>
  <c r="P1272" i="4" s="1"/>
  <c r="V36" i="2"/>
  <c r="P1231" i="4"/>
  <c r="P1232" i="4" s="1"/>
  <c r="C203" i="4"/>
  <c r="L1169" i="4"/>
  <c r="X1169" i="4" s="1"/>
  <c r="T1169" i="4"/>
  <c r="P1169" i="4"/>
  <c r="V29" i="2"/>
  <c r="T21" i="13"/>
  <c r="J21" i="13"/>
  <c r="V21" i="13" s="1"/>
  <c r="L1170" i="4"/>
  <c r="L1172" i="4" s="1"/>
  <c r="L145" i="4"/>
  <c r="L96" i="4" s="1"/>
  <c r="J160" i="4"/>
  <c r="L160" i="4" s="1"/>
  <c r="L1031" i="4"/>
  <c r="F1031" i="4"/>
  <c r="F1032" i="4" s="1"/>
  <c r="V38" i="2"/>
  <c r="X1170" i="4"/>
  <c r="F240" i="4"/>
  <c r="F311" i="4"/>
  <c r="L173" i="4"/>
  <c r="T185" i="4"/>
  <c r="T1284" i="4" s="1"/>
  <c r="P185" i="4"/>
  <c r="I635" i="4"/>
  <c r="I677" i="4"/>
  <c r="T1271" i="4"/>
  <c r="T1272" i="4" s="1"/>
  <c r="AA1206" i="4"/>
  <c r="Z1206" i="4"/>
  <c r="Y1206" i="4"/>
  <c r="AD29" i="1"/>
  <c r="X1231" i="4"/>
  <c r="X1232" i="4" s="1"/>
  <c r="B32" i="2" l="1"/>
  <c r="O19" i="3"/>
  <c r="J16" i="13"/>
  <c r="T16" i="13"/>
  <c r="T27" i="13" s="1"/>
  <c r="H27" i="13"/>
  <c r="P1284" i="4"/>
  <c r="AA1176" i="4"/>
  <c r="AA1172" i="4"/>
  <c r="Z1176" i="4"/>
  <c r="Y1176" i="4"/>
  <c r="Q38" i="1"/>
  <c r="Q38" i="2"/>
  <c r="B29" i="2"/>
  <c r="B28" i="3"/>
  <c r="O19" i="2"/>
  <c r="B27" i="1"/>
  <c r="F203" i="4"/>
  <c r="B29" i="3"/>
  <c r="I203" i="4"/>
  <c r="AD38" i="1" l="1"/>
  <c r="X1202" i="4"/>
  <c r="X1215" i="4"/>
  <c r="X1216" i="4" s="1"/>
  <c r="V16" i="13"/>
  <c r="J27" i="13"/>
  <c r="B32" i="3"/>
  <c r="B29" i="1"/>
  <c r="P1215" i="4"/>
  <c r="P1216" i="4" s="1"/>
  <c r="P1202" i="4"/>
  <c r="B35" i="2"/>
  <c r="T1202" i="4"/>
  <c r="T1215" i="4"/>
  <c r="T1216" i="4" s="1"/>
  <c r="B36" i="2" l="1"/>
  <c r="B37" i="2" s="1"/>
  <c r="B38" i="2" s="1"/>
  <c r="B39" i="2" s="1"/>
  <c r="B42" i="2" s="1"/>
  <c r="B44" i="2" s="1"/>
  <c r="B35" i="3"/>
  <c r="B36" i="3" s="1"/>
  <c r="P1171" i="4"/>
  <c r="P1172" i="4" s="1"/>
  <c r="P1203" i="4"/>
  <c r="X1171" i="4"/>
  <c r="X1172" i="4" s="1"/>
  <c r="X1203" i="4"/>
  <c r="T1171" i="4"/>
  <c r="T1172" i="4" s="1"/>
  <c r="T1203" i="4"/>
  <c r="E10" i="13"/>
  <c r="V27" i="13"/>
  <c r="B32" i="1"/>
  <c r="B35" i="1" l="1"/>
  <c r="F10" i="13"/>
  <c r="E39" i="13"/>
  <c r="T10" i="13"/>
  <c r="T12" i="13" s="1"/>
  <c r="E12" i="13"/>
  <c r="F12" i="13" s="1"/>
  <c r="B38" i="3"/>
  <c r="B39" i="3" s="1"/>
  <c r="B42" i="3" s="1"/>
  <c r="B44" i="3" s="1"/>
  <c r="X1205" i="4"/>
  <c r="X1206" i="4" s="1"/>
  <c r="B37" i="3"/>
  <c r="B36" i="1" l="1"/>
  <c r="B37" i="1" s="1"/>
  <c r="B38" i="1" s="1"/>
  <c r="B39" i="1" s="1"/>
  <c r="B42" i="1" s="1"/>
  <c r="B44" i="1" s="1"/>
  <c r="F1279" i="4" l="1"/>
  <c r="L1279" i="4"/>
  <c r="P1279" i="4" s="1"/>
  <c r="O46" i="3"/>
  <c r="Q46" i="3" s="1"/>
  <c r="O46" i="2"/>
  <c r="Q46" i="2" s="1"/>
  <c r="S46" i="2" s="1"/>
  <c r="O46" i="1"/>
  <c r="Q46" i="1" s="1"/>
  <c r="S46" i="1" s="1"/>
  <c r="F1105" i="4" l="1"/>
  <c r="F1106" i="4" s="1"/>
  <c r="L1105" i="4"/>
  <c r="I1106" i="4"/>
  <c r="C1106" i="4"/>
  <c r="L449" i="4"/>
  <c r="F449" i="4"/>
  <c r="F450" i="4" s="1"/>
  <c r="I379" i="4"/>
  <c r="I450" i="4"/>
  <c r="C485" i="4"/>
  <c r="C486" i="4" s="1"/>
  <c r="C556" i="4"/>
  <c r="F898" i="4"/>
  <c r="F899" i="4" s="1"/>
  <c r="L898" i="4"/>
  <c r="I899" i="4"/>
  <c r="L344" i="4"/>
  <c r="F344" i="4"/>
  <c r="F345" i="4" s="1"/>
  <c r="I241" i="4"/>
  <c r="I345" i="4"/>
  <c r="F821" i="4"/>
  <c r="F822" i="4" s="1"/>
  <c r="L821" i="4"/>
  <c r="I768" i="4"/>
  <c r="I822" i="4"/>
  <c r="F1086" i="4"/>
  <c r="F1087" i="4" s="1"/>
  <c r="F936" i="4" s="1"/>
  <c r="L1086" i="4"/>
  <c r="I1049" i="4"/>
  <c r="I991" i="4"/>
  <c r="I1087" i="4"/>
  <c r="L83" i="4"/>
  <c r="F83" i="4"/>
  <c r="I26" i="4"/>
  <c r="I84" i="4"/>
  <c r="L555" i="4"/>
  <c r="F555" i="4"/>
  <c r="F556" i="4" s="1"/>
  <c r="I485" i="4"/>
  <c r="I556" i="4"/>
  <c r="F874" i="4"/>
  <c r="F875" i="4" s="1"/>
  <c r="L874" i="4"/>
  <c r="I875" i="4"/>
  <c r="C241" i="4"/>
  <c r="C345" i="4"/>
  <c r="C84" i="4"/>
  <c r="C26" i="4"/>
  <c r="C27" i="4" s="1"/>
  <c r="L35" i="1" l="1"/>
  <c r="L42" i="1" s="1"/>
  <c r="L35" i="2"/>
  <c r="L42" i="2" s="1"/>
  <c r="L35" i="3"/>
  <c r="L42" i="3" s="1"/>
  <c r="F485" i="4"/>
  <c r="F486" i="4" s="1"/>
  <c r="L485" i="4"/>
  <c r="I486" i="4"/>
  <c r="L26" i="4"/>
  <c r="I27" i="4"/>
  <c r="O26" i="3"/>
  <c r="O26" i="2"/>
  <c r="O26" i="1"/>
  <c r="F26" i="4"/>
  <c r="F27" i="4" s="1"/>
  <c r="F84" i="4"/>
  <c r="F768" i="4"/>
  <c r="F769" i="4" s="1"/>
  <c r="I769" i="4"/>
  <c r="F241" i="4"/>
  <c r="F242" i="4" s="1"/>
  <c r="L241" i="4"/>
  <c r="I204" i="4"/>
  <c r="I242" i="4"/>
  <c r="T898" i="4"/>
  <c r="P898" i="4"/>
  <c r="X898" i="4"/>
  <c r="F991" i="4"/>
  <c r="F992" i="4" s="1"/>
  <c r="L991" i="4"/>
  <c r="I992" i="4"/>
  <c r="I954" i="4"/>
  <c r="C991" i="4"/>
  <c r="C1049" i="4"/>
  <c r="C1087" i="4"/>
  <c r="L768" i="4"/>
  <c r="F379" i="4"/>
  <c r="F380" i="4" s="1"/>
  <c r="L379" i="4"/>
  <c r="I380" i="4"/>
  <c r="P1105" i="4"/>
  <c r="C899" i="4"/>
  <c r="C242" i="4"/>
  <c r="C715" i="4"/>
  <c r="C636" i="4"/>
  <c r="C637" i="4" s="1"/>
  <c r="F1049" i="4"/>
  <c r="F1050" i="4" s="1"/>
  <c r="L1049" i="4"/>
  <c r="I1050" i="4"/>
  <c r="I1011" i="4"/>
  <c r="F714" i="4"/>
  <c r="F715" i="4" s="1"/>
  <c r="I636" i="4"/>
  <c r="L714" i="4"/>
  <c r="I715" i="4"/>
  <c r="L636" i="4" l="1"/>
  <c r="F636" i="4"/>
  <c r="F637" i="4" s="1"/>
  <c r="I637" i="4"/>
  <c r="C992" i="4"/>
  <c r="C954" i="4"/>
  <c r="F1011" i="4"/>
  <c r="F1012" i="4" s="1"/>
  <c r="L1011" i="4"/>
  <c r="I1012" i="4"/>
  <c r="L24" i="2"/>
  <c r="L24" i="3"/>
  <c r="L24" i="1"/>
  <c r="L26" i="3"/>
  <c r="L26" i="2"/>
  <c r="L26" i="1"/>
  <c r="I935" i="4"/>
  <c r="L954" i="4"/>
  <c r="F954" i="4"/>
  <c r="F955" i="4" s="1"/>
  <c r="I955" i="4"/>
  <c r="C1050" i="4"/>
  <c r="C1011" i="4"/>
  <c r="C1012" i="4" s="1"/>
  <c r="L204" i="4"/>
  <c r="F204" i="4"/>
  <c r="F205" i="4" s="1"/>
  <c r="I205" i="4"/>
  <c r="O25" i="3"/>
  <c r="O25" i="2"/>
  <c r="O25" i="1"/>
  <c r="C379" i="4"/>
  <c r="C450" i="4"/>
  <c r="O35" i="3"/>
  <c r="O35" i="2"/>
  <c r="O35" i="1"/>
  <c r="O42" i="1" s="1"/>
  <c r="L935" i="4" l="1"/>
  <c r="L916" i="4" s="1"/>
  <c r="O42" i="2"/>
  <c r="F935" i="4"/>
  <c r="I916" i="4"/>
  <c r="O24" i="3"/>
  <c r="O24" i="1"/>
  <c r="O24" i="2"/>
  <c r="O42" i="3"/>
  <c r="C380" i="4"/>
  <c r="C204" i="4"/>
  <c r="C205" i="4" s="1"/>
  <c r="I936" i="4"/>
  <c r="O22" i="1"/>
  <c r="O22" i="3"/>
  <c r="O22" i="2"/>
  <c r="C955" i="4"/>
  <c r="C936" i="4" s="1"/>
  <c r="C935" i="4"/>
  <c r="C916" i="4" s="1"/>
  <c r="C917" i="4" s="1"/>
  <c r="F916" i="4" l="1"/>
  <c r="F917" i="4" s="1"/>
  <c r="F1277" i="4" s="1"/>
  <c r="F1280" i="4" s="1"/>
  <c r="I917" i="4"/>
  <c r="I1277" i="4" s="1"/>
  <c r="I1280" i="4" s="1"/>
  <c r="L27" i="2"/>
  <c r="L27" i="3"/>
  <c r="L27" i="1"/>
  <c r="O27" i="3"/>
  <c r="O32" i="3" s="1"/>
  <c r="O44" i="3" s="1"/>
  <c r="O48" i="3" s="1"/>
  <c r="O27" i="1"/>
  <c r="O32" i="1" s="1"/>
  <c r="O44" i="1" s="1"/>
  <c r="O48" i="1" s="1"/>
  <c r="O27" i="2"/>
  <c r="L22" i="3"/>
  <c r="L22" i="1"/>
  <c r="L22" i="2"/>
  <c r="L32" i="2" s="1"/>
  <c r="L44" i="2" s="1"/>
  <c r="L48" i="2" s="1"/>
  <c r="C1277" i="4"/>
  <c r="C1280" i="4" s="1"/>
  <c r="L32" i="1" l="1"/>
  <c r="L44" i="1" s="1"/>
  <c r="L48" i="1" s="1"/>
  <c r="O32" i="2"/>
  <c r="O44" i="2" s="1"/>
  <c r="L32" i="3"/>
  <c r="L44" i="3" s="1"/>
  <c r="L48" i="3" s="1"/>
  <c r="C1287" i="4"/>
  <c r="O48" i="2" l="1"/>
  <c r="Z1159" i="4" l="1"/>
  <c r="Z1233" i="4"/>
  <c r="B44" i="13" l="1"/>
  <c r="E44" i="13" s="1"/>
  <c r="Z1273" i="4"/>
  <c r="Z1143" i="4"/>
  <c r="V21" i="9" l="1"/>
  <c r="N779" i="4"/>
  <c r="J779" i="4"/>
  <c r="J750" i="4"/>
  <c r="J832" i="4"/>
  <c r="AA725" i="4"/>
  <c r="R16" i="12"/>
  <c r="AA1094" i="4"/>
  <c r="L1094" i="4"/>
  <c r="J54" i="4"/>
  <c r="L54" i="4" s="1"/>
  <c r="J36" i="4"/>
  <c r="L36" i="4" s="1"/>
  <c r="J72" i="4"/>
  <c r="L72" i="4" s="1"/>
  <c r="J534" i="4"/>
  <c r="J499" i="4"/>
  <c r="J428" i="4"/>
  <c r="J464" i="4"/>
  <c r="J476" i="4" s="1"/>
  <c r="J289" i="4"/>
  <c r="J358" i="4"/>
  <c r="J370" i="4" s="1"/>
  <c r="J254" i="4"/>
  <c r="J393" i="4"/>
  <c r="J187" i="4"/>
  <c r="AA180" i="4"/>
  <c r="J323" i="4"/>
  <c r="J195" i="4"/>
  <c r="J220" i="4"/>
  <c r="J987" i="4"/>
  <c r="L987" i="4" s="1"/>
  <c r="AA949" i="4"/>
  <c r="J969" i="4"/>
  <c r="L949" i="4"/>
  <c r="J952" i="4"/>
  <c r="AA952" i="4" s="1"/>
  <c r="J126" i="4"/>
  <c r="J94" i="4"/>
  <c r="AB94" i="4" s="1"/>
  <c r="AB92" i="4"/>
  <c r="J141" i="4"/>
  <c r="J111" i="4"/>
  <c r="J156" i="4"/>
  <c r="AC1181" i="4"/>
  <c r="Z1174" i="4"/>
  <c r="J1103" i="4"/>
  <c r="AA1103" i="4" s="1"/>
  <c r="AA1100" i="4"/>
  <c r="L1100" i="4"/>
  <c r="J463" i="4"/>
  <c r="J475" i="4" s="1"/>
  <c r="J357" i="4"/>
  <c r="J369" i="4" s="1"/>
  <c r="J253" i="4"/>
  <c r="J427" i="4"/>
  <c r="J392" i="4"/>
  <c r="J322" i="4"/>
  <c r="J498" i="4"/>
  <c r="J288" i="4"/>
  <c r="J533" i="4"/>
  <c r="J194" i="4"/>
  <c r="AA179" i="4"/>
  <c r="J186" i="4"/>
  <c r="J219" i="4"/>
  <c r="J500" i="4"/>
  <c r="J465" i="4"/>
  <c r="J477" i="4" s="1"/>
  <c r="J221" i="4"/>
  <c r="J429" i="4"/>
  <c r="J290" i="4"/>
  <c r="J535" i="4"/>
  <c r="J359" i="4"/>
  <c r="J371" i="4" s="1"/>
  <c r="J324" i="4"/>
  <c r="J255" i="4"/>
  <c r="J188" i="4"/>
  <c r="AA181" i="4"/>
  <c r="J196" i="4"/>
  <c r="J394" i="4"/>
  <c r="E46" i="13"/>
  <c r="E48" i="13" s="1"/>
  <c r="J29" i="13" s="1"/>
  <c r="E35" i="13"/>
  <c r="J966" i="4" l="1"/>
  <c r="L946" i="4"/>
  <c r="AA946" i="4"/>
  <c r="J984" i="4"/>
  <c r="L984" i="4" s="1"/>
  <c r="N832" i="4"/>
  <c r="N750" i="4"/>
  <c r="J426" i="4"/>
  <c r="J497" i="4"/>
  <c r="J391" i="4"/>
  <c r="J321" i="4"/>
  <c r="J532" i="4"/>
  <c r="J462" i="4"/>
  <c r="J474" i="4" s="1"/>
  <c r="J356" i="4"/>
  <c r="J368" i="4" s="1"/>
  <c r="J252" i="4"/>
  <c r="J193" i="4"/>
  <c r="AA178" i="4"/>
  <c r="J218" i="4"/>
  <c r="J287" i="4"/>
  <c r="R17" i="12"/>
  <c r="U17" i="12" s="1"/>
  <c r="AA1098" i="4"/>
  <c r="L1098" i="4"/>
  <c r="L535" i="4"/>
  <c r="J547" i="4"/>
  <c r="L547" i="4" s="1"/>
  <c r="J265" i="4"/>
  <c r="L265" i="4" s="1"/>
  <c r="L253" i="4"/>
  <c r="J143" i="4"/>
  <c r="L143" i="4" s="1"/>
  <c r="L141" i="4"/>
  <c r="L393" i="4"/>
  <c r="J405" i="4"/>
  <c r="L405" i="4" s="1"/>
  <c r="J687" i="4"/>
  <c r="J649" i="4"/>
  <c r="J624" i="4"/>
  <c r="AA607" i="4"/>
  <c r="J59" i="4"/>
  <c r="L59" i="4" s="1"/>
  <c r="J77" i="4"/>
  <c r="L77" i="4" s="1"/>
  <c r="J41" i="4"/>
  <c r="L41" i="4" s="1"/>
  <c r="J983" i="4"/>
  <c r="L983" i="4" s="1"/>
  <c r="L945" i="4"/>
  <c r="J965" i="4"/>
  <c r="AA945" i="4"/>
  <c r="J267" i="4"/>
  <c r="L267" i="4" s="1"/>
  <c r="L255" i="4"/>
  <c r="L290" i="4"/>
  <c r="J302" i="4"/>
  <c r="L302" i="4" s="1"/>
  <c r="J335" i="4"/>
  <c r="L335" i="4" s="1"/>
  <c r="L323" i="4"/>
  <c r="L254" i="4"/>
  <c r="J266" i="4"/>
  <c r="L266" i="4" s="1"/>
  <c r="J440" i="4"/>
  <c r="L440" i="4" s="1"/>
  <c r="L428" i="4"/>
  <c r="L15" i="4"/>
  <c r="J803" i="4"/>
  <c r="L803" i="4" s="1"/>
  <c r="L779" i="4"/>
  <c r="AA608" i="4"/>
  <c r="J688" i="4"/>
  <c r="J650" i="4"/>
  <c r="J625" i="4"/>
  <c r="V111" i="4"/>
  <c r="V115" i="4" s="1"/>
  <c r="V126" i="4"/>
  <c r="V128" i="4" s="1"/>
  <c r="X92" i="4"/>
  <c r="V156" i="4"/>
  <c r="V141" i="4"/>
  <c r="J73" i="4"/>
  <c r="L73" i="4" s="1"/>
  <c r="J37" i="4"/>
  <c r="L37" i="4" s="1"/>
  <c r="J55" i="4"/>
  <c r="L55" i="4" s="1"/>
  <c r="V19" i="9"/>
  <c r="J841" i="4"/>
  <c r="J788" i="4"/>
  <c r="J755" i="4"/>
  <c r="AA734" i="4"/>
  <c r="J336" i="4"/>
  <c r="L336" i="4" s="1"/>
  <c r="L324" i="4"/>
  <c r="L429" i="4"/>
  <c r="J441" i="4"/>
  <c r="L441" i="4" s="1"/>
  <c r="J231" i="4"/>
  <c r="J545" i="4"/>
  <c r="L545" i="4" s="1"/>
  <c r="L533" i="4"/>
  <c r="J404" i="4"/>
  <c r="L404" i="4" s="1"/>
  <c r="L392" i="4"/>
  <c r="L156" i="4"/>
  <c r="J158" i="4"/>
  <c r="L158" i="4" s="1"/>
  <c r="L499" i="4"/>
  <c r="L464" i="4" s="1"/>
  <c r="J511" i="4"/>
  <c r="L511" i="4" s="1"/>
  <c r="P779" i="4"/>
  <c r="N803" i="4"/>
  <c r="P803" i="4" s="1"/>
  <c r="V18" i="9"/>
  <c r="J840" i="4"/>
  <c r="AA733" i="4"/>
  <c r="J787" i="4"/>
  <c r="J754" i="4"/>
  <c r="J76" i="4"/>
  <c r="L76" i="4" s="1"/>
  <c r="J58" i="4"/>
  <c r="L58" i="4" s="1"/>
  <c r="J40" i="4"/>
  <c r="L40" i="4" s="1"/>
  <c r="J157" i="4"/>
  <c r="L157" i="4" s="1"/>
  <c r="J127" i="4"/>
  <c r="L127" i="4" s="1"/>
  <c r="AB93" i="4"/>
  <c r="J142" i="4"/>
  <c r="L142" i="4" s="1"/>
  <c r="J112" i="4"/>
  <c r="L112" i="4" s="1"/>
  <c r="J510" i="4"/>
  <c r="L510" i="4" s="1"/>
  <c r="L475" i="4" s="1"/>
  <c r="L498" i="4"/>
  <c r="Z1277" i="4"/>
  <c r="J848" i="4"/>
  <c r="J795" i="4"/>
  <c r="J762" i="4"/>
  <c r="J744" i="4"/>
  <c r="AA744" i="4" s="1"/>
  <c r="AA741" i="4"/>
  <c r="V17" i="9"/>
  <c r="AA732" i="4"/>
  <c r="J839" i="4"/>
  <c r="J739" i="4"/>
  <c r="J760" i="4" s="1"/>
  <c r="J753" i="4"/>
  <c r="J786" i="4"/>
  <c r="J406" i="4"/>
  <c r="L406" i="4" s="1"/>
  <c r="L371" i="4" s="1"/>
  <c r="L394" i="4"/>
  <c r="L500" i="4"/>
  <c r="J512" i="4"/>
  <c r="L512" i="4" s="1"/>
  <c r="L322" i="4"/>
  <c r="J334" i="4"/>
  <c r="L334" i="4" s="1"/>
  <c r="J837" i="4"/>
  <c r="J784" i="4"/>
  <c r="J738" i="4"/>
  <c r="J759" i="4" s="1"/>
  <c r="AA730" i="4"/>
  <c r="J751" i="4"/>
  <c r="N778" i="4"/>
  <c r="V20" i="9"/>
  <c r="J778" i="4"/>
  <c r="J831" i="4"/>
  <c r="AA724" i="4"/>
  <c r="J749" i="4"/>
  <c r="J74" i="4"/>
  <c r="L74" i="4" s="1"/>
  <c r="J56" i="4"/>
  <c r="L56" i="4" s="1"/>
  <c r="J38" i="4"/>
  <c r="L38" i="4" s="1"/>
  <c r="J78" i="4"/>
  <c r="L78" i="4" s="1"/>
  <c r="J42" i="4"/>
  <c r="L42" i="4" s="1"/>
  <c r="J60" i="4"/>
  <c r="L60" i="4" s="1"/>
  <c r="S16" i="12"/>
  <c r="AA1097" i="4"/>
  <c r="L1097" i="4"/>
  <c r="D17" i="14"/>
  <c r="E40" i="13"/>
  <c r="C17" i="14" s="1"/>
  <c r="E37" i="13"/>
  <c r="G35" i="13"/>
  <c r="H35" i="13" s="1"/>
  <c r="J233" i="4"/>
  <c r="J300" i="4"/>
  <c r="L300" i="4" s="1"/>
  <c r="L288" i="4"/>
  <c r="L427" i="4"/>
  <c r="J439" i="4"/>
  <c r="L439" i="4" s="1"/>
  <c r="L111" i="4"/>
  <c r="J115" i="4"/>
  <c r="L115" i="4" s="1"/>
  <c r="L94" i="4" s="1"/>
  <c r="J128" i="4"/>
  <c r="L128" i="4" s="1"/>
  <c r="L126" i="4"/>
  <c r="J890" i="4"/>
  <c r="L969" i="4"/>
  <c r="J232" i="4"/>
  <c r="J301" i="4"/>
  <c r="L301" i="4" s="1"/>
  <c r="L232" i="4" s="1"/>
  <c r="L289" i="4"/>
  <c r="J546" i="4"/>
  <c r="L546" i="4" s="1"/>
  <c r="L534" i="4"/>
  <c r="L1104" i="4"/>
  <c r="L1106" i="4" s="1"/>
  <c r="L906" i="4"/>
  <c r="J856" i="4"/>
  <c r="L856" i="4" s="1"/>
  <c r="L832" i="4"/>
  <c r="X94" i="4"/>
  <c r="L477" i="4" l="1"/>
  <c r="L463" i="4"/>
  <c r="L161" i="4"/>
  <c r="L163" i="4" s="1"/>
  <c r="L64" i="4"/>
  <c r="L66" i="4" s="1"/>
  <c r="L82" i="4"/>
  <c r="L84" i="4" s="1"/>
  <c r="L220" i="4"/>
  <c r="L359" i="4"/>
  <c r="L16" i="4"/>
  <c r="L750" i="4"/>
  <c r="L20" i="4"/>
  <c r="N831" i="4"/>
  <c r="N749" i="4"/>
  <c r="N841" i="4"/>
  <c r="N788" i="4"/>
  <c r="N755" i="4"/>
  <c r="N839" i="4"/>
  <c r="N786" i="4"/>
  <c r="N753" i="4"/>
  <c r="N739" i="4"/>
  <c r="N760" i="4" s="1"/>
  <c r="J895" i="4"/>
  <c r="L895" i="4" s="1"/>
  <c r="L890" i="4"/>
  <c r="L837" i="4"/>
  <c r="J857" i="4"/>
  <c r="L857" i="4" s="1"/>
  <c r="J845" i="4"/>
  <c r="J846" i="4"/>
  <c r="J859" i="4"/>
  <c r="L859" i="4" s="1"/>
  <c r="L839" i="4"/>
  <c r="L357" i="4"/>
  <c r="S16" i="8"/>
  <c r="L650" i="4"/>
  <c r="J665" i="4"/>
  <c r="L665" i="4" s="1"/>
  <c r="L625" i="4" s="1"/>
  <c r="J702" i="4"/>
  <c r="L702" i="4" s="1"/>
  <c r="L687" i="4"/>
  <c r="L497" i="4"/>
  <c r="J509" i="4"/>
  <c r="L509" i="4" s="1"/>
  <c r="L474" i="4" s="1"/>
  <c r="N965" i="4"/>
  <c r="N983" i="4"/>
  <c r="P983" i="4" s="1"/>
  <c r="L219" i="4"/>
  <c r="J793" i="4"/>
  <c r="L786" i="4"/>
  <c r="J806" i="4"/>
  <c r="L806" i="4" s="1"/>
  <c r="L753" i="4" s="1"/>
  <c r="J860" i="4"/>
  <c r="L860" i="4" s="1"/>
  <c r="L840" i="4"/>
  <c r="J703" i="4"/>
  <c r="L703" i="4" s="1"/>
  <c r="L688" i="4"/>
  <c r="L233" i="4"/>
  <c r="L196" i="4" s="1"/>
  <c r="J693" i="4"/>
  <c r="J655" i="4"/>
  <c r="J628" i="4"/>
  <c r="AA613" i="4"/>
  <c r="J618" i="4"/>
  <c r="AA618" i="4" s="1"/>
  <c r="L426" i="4"/>
  <c r="J438" i="4"/>
  <c r="L438" i="4" s="1"/>
  <c r="N688" i="4"/>
  <c r="N625" i="4"/>
  <c r="N650" i="4"/>
  <c r="N840" i="4"/>
  <c r="N787" i="4"/>
  <c r="N754" i="4"/>
  <c r="J1009" i="4"/>
  <c r="AA1009" i="4" s="1"/>
  <c r="AA1006" i="4"/>
  <c r="J1045" i="4"/>
  <c r="L1045" i="4" s="1"/>
  <c r="L1082" i="4" s="1"/>
  <c r="J1027" i="4"/>
  <c r="L1006" i="4"/>
  <c r="L931" i="4" s="1"/>
  <c r="L912" i="4" s="1"/>
  <c r="L131" i="4"/>
  <c r="L133" i="4" s="1"/>
  <c r="L231" i="4"/>
  <c r="L465" i="4"/>
  <c r="M19" i="9"/>
  <c r="Q19" i="9" s="1"/>
  <c r="M18" i="9"/>
  <c r="Q18" i="9" s="1"/>
  <c r="M20" i="9"/>
  <c r="Q20" i="9" s="1"/>
  <c r="M23" i="9"/>
  <c r="Q23" i="9" s="1"/>
  <c r="M25" i="9"/>
  <c r="Q25" i="9" s="1"/>
  <c r="M24" i="9"/>
  <c r="Q24" i="9" s="1"/>
  <c r="J815" i="4"/>
  <c r="L815" i="4" s="1"/>
  <c r="L795" i="4"/>
  <c r="L93" i="4"/>
  <c r="M27" i="9"/>
  <c r="Q27" i="9" s="1"/>
  <c r="M29" i="9"/>
  <c r="Q29" i="9" s="1"/>
  <c r="M33" i="9"/>
  <c r="Q33" i="9" s="1"/>
  <c r="M28" i="9"/>
  <c r="Q28" i="9" s="1"/>
  <c r="M32" i="9"/>
  <c r="Q32" i="9" s="1"/>
  <c r="M31" i="9"/>
  <c r="Q31" i="9" s="1"/>
  <c r="J985" i="4"/>
  <c r="L985" i="4" s="1"/>
  <c r="L990" i="4" s="1"/>
  <c r="L992" i="4" s="1"/>
  <c r="J967" i="4"/>
  <c r="L947" i="4"/>
  <c r="AA947" i="4"/>
  <c r="X141" i="4"/>
  <c r="V143" i="4"/>
  <c r="X143" i="4" s="1"/>
  <c r="L221" i="4"/>
  <c r="R15" i="10"/>
  <c r="Z927" i="4"/>
  <c r="AA927" i="4" s="1"/>
  <c r="L965" i="4"/>
  <c r="J886" i="4"/>
  <c r="L886" i="4" s="1"/>
  <c r="L358" i="4"/>
  <c r="AA614" i="4"/>
  <c r="J694" i="4"/>
  <c r="J656" i="4"/>
  <c r="J629" i="4"/>
  <c r="J619" i="4"/>
  <c r="AA619" i="4" s="1"/>
  <c r="L287" i="4"/>
  <c r="J299" i="4"/>
  <c r="L299" i="4" s="1"/>
  <c r="J264" i="4"/>
  <c r="L264" i="4" s="1"/>
  <c r="L252" i="4"/>
  <c r="L274" i="4" s="1"/>
  <c r="L276" i="4" s="1"/>
  <c r="J333" i="4"/>
  <c r="L333" i="4" s="1"/>
  <c r="L321" i="4"/>
  <c r="L343" i="4" s="1"/>
  <c r="L345" i="4" s="1"/>
  <c r="N649" i="4"/>
  <c r="N624" i="4"/>
  <c r="N687" i="4"/>
  <c r="AA1109" i="4"/>
  <c r="Y1109" i="4"/>
  <c r="Z1109" i="4"/>
  <c r="Z1107" i="4"/>
  <c r="L831" i="4"/>
  <c r="J855" i="4"/>
  <c r="L855" i="4" s="1"/>
  <c r="L788" i="4"/>
  <c r="J808" i="4"/>
  <c r="L808" i="4" s="1"/>
  <c r="V157" i="4"/>
  <c r="X157" i="4" s="1"/>
  <c r="V127" i="4"/>
  <c r="X93" i="4"/>
  <c r="V112" i="4"/>
  <c r="V142" i="4"/>
  <c r="X142" i="4" s="1"/>
  <c r="L92" i="4"/>
  <c r="L116" i="4"/>
  <c r="L21" i="4"/>
  <c r="L778" i="4"/>
  <c r="J802" i="4"/>
  <c r="L802" i="4" s="1"/>
  <c r="L369" i="4"/>
  <c r="J861" i="4"/>
  <c r="L861" i="4" s="1"/>
  <c r="L841" i="4"/>
  <c r="L46" i="4"/>
  <c r="L370" i="4"/>
  <c r="J544" i="4"/>
  <c r="L544" i="4" s="1"/>
  <c r="L532" i="4"/>
  <c r="L554" i="4" s="1"/>
  <c r="L556" i="4" s="1"/>
  <c r="N984" i="4"/>
  <c r="P984" i="4" s="1"/>
  <c r="N966" i="4"/>
  <c r="N837" i="4"/>
  <c r="N784" i="4"/>
  <c r="N738" i="4"/>
  <c r="N759" i="4" s="1"/>
  <c r="N751" i="4"/>
  <c r="L180" i="4"/>
  <c r="L17" i="4"/>
  <c r="N802" i="4"/>
  <c r="P802" i="4" s="1"/>
  <c r="P778" i="4"/>
  <c r="L784" i="4"/>
  <c r="L730" i="4" s="1"/>
  <c r="J792" i="4"/>
  <c r="J804" i="4"/>
  <c r="L804" i="4" s="1"/>
  <c r="L848" i="4"/>
  <c r="J868" i="4"/>
  <c r="L868" i="4" s="1"/>
  <c r="L19" i="4"/>
  <c r="J807" i="4"/>
  <c r="L807" i="4" s="1"/>
  <c r="L787" i="4"/>
  <c r="L476" i="4"/>
  <c r="L195" i="4" s="1"/>
  <c r="X156" i="4"/>
  <c r="V158" i="4"/>
  <c r="X158" i="4" s="1"/>
  <c r="L725" i="4"/>
  <c r="L953" i="4"/>
  <c r="S15" i="8"/>
  <c r="J664" i="4"/>
  <c r="L664" i="4" s="1"/>
  <c r="L624" i="4" s="1"/>
  <c r="L649" i="4"/>
  <c r="L146" i="4"/>
  <c r="L148" i="4" s="1"/>
  <c r="AA20" i="7"/>
  <c r="AB20" i="7" s="1"/>
  <c r="J230" i="4"/>
  <c r="L391" i="4"/>
  <c r="J403" i="4"/>
  <c r="L403" i="4" s="1"/>
  <c r="L368" i="4" s="1"/>
  <c r="P832" i="4"/>
  <c r="N856" i="4"/>
  <c r="P856" i="4" s="1"/>
  <c r="L966" i="4"/>
  <c r="R16" i="10"/>
  <c r="J887" i="4"/>
  <c r="L887" i="4" s="1"/>
  <c r="Z928" i="4"/>
  <c r="AA928" i="4" s="1"/>
  <c r="N581" i="4"/>
  <c r="N582" i="4"/>
  <c r="L230" i="4" l="1"/>
  <c r="L181" i="4"/>
  <c r="L955" i="4"/>
  <c r="J812" i="4"/>
  <c r="L812" i="4" s="1"/>
  <c r="L792" i="4"/>
  <c r="L738" i="4" s="1"/>
  <c r="N804" i="4"/>
  <c r="P804" i="4" s="1"/>
  <c r="N792" i="4"/>
  <c r="P784" i="4"/>
  <c r="L99" i="4"/>
  <c r="L101" i="4" s="1"/>
  <c r="L118" i="4"/>
  <c r="N702" i="4"/>
  <c r="P702" i="4" s="1"/>
  <c r="P687" i="4"/>
  <c r="L193" i="4"/>
  <c r="L656" i="4"/>
  <c r="J669" i="4"/>
  <c r="L669" i="4" s="1"/>
  <c r="P787" i="4"/>
  <c r="N807" i="4"/>
  <c r="P807" i="4" s="1"/>
  <c r="N806" i="4"/>
  <c r="P806" i="4" s="1"/>
  <c r="N793" i="4"/>
  <c r="P786" i="4"/>
  <c r="L607" i="4"/>
  <c r="L749" i="4"/>
  <c r="X1105" i="4"/>
  <c r="P840" i="4"/>
  <c r="N860" i="4"/>
  <c r="P860" i="4" s="1"/>
  <c r="L179" i="4"/>
  <c r="N846" i="4"/>
  <c r="P839" i="4"/>
  <c r="N859" i="4"/>
  <c r="P859" i="4" s="1"/>
  <c r="L733" i="4"/>
  <c r="N887" i="4"/>
  <c r="P966" i="4"/>
  <c r="L724" i="4"/>
  <c r="L734" i="4"/>
  <c r="P649" i="4"/>
  <c r="N664" i="4"/>
  <c r="P664" i="4" s="1"/>
  <c r="L741" i="4"/>
  <c r="P650" i="4"/>
  <c r="N665" i="4"/>
  <c r="P665" i="4" s="1"/>
  <c r="L448" i="4"/>
  <c r="J668" i="4"/>
  <c r="L668" i="4" s="1"/>
  <c r="L655" i="4"/>
  <c r="L608" i="4"/>
  <c r="N855" i="4"/>
  <c r="P855" i="4" s="1"/>
  <c r="P831" i="4"/>
  <c r="N703" i="4"/>
  <c r="P703" i="4" s="1"/>
  <c r="P688" i="4"/>
  <c r="J813" i="4"/>
  <c r="L813" i="4" s="1"/>
  <c r="L760" i="4" s="1"/>
  <c r="L793" i="4"/>
  <c r="J865" i="4"/>
  <c r="L865" i="4" s="1"/>
  <c r="L845" i="4"/>
  <c r="P841" i="4"/>
  <c r="N861" i="4"/>
  <c r="P861" i="4" s="1"/>
  <c r="L356" i="4"/>
  <c r="L413" i="4"/>
  <c r="N857" i="4"/>
  <c r="P857" i="4" s="1"/>
  <c r="N845" i="4"/>
  <c r="P837" i="4"/>
  <c r="L755" i="4"/>
  <c r="L218" i="4"/>
  <c r="L309" i="4"/>
  <c r="J707" i="4"/>
  <c r="L707" i="4" s="1"/>
  <c r="L694" i="4"/>
  <c r="Q17" i="10"/>
  <c r="T17" i="10" s="1"/>
  <c r="L967" i="4"/>
  <c r="L972" i="4" s="1"/>
  <c r="L974" i="4" s="1"/>
  <c r="Z929" i="4"/>
  <c r="AA929" i="4" s="1"/>
  <c r="J888" i="4"/>
  <c r="L462" i="4"/>
  <c r="L519" i="4"/>
  <c r="L754" i="4"/>
  <c r="L751" i="4"/>
  <c r="L48" i="4"/>
  <c r="L25" i="4"/>
  <c r="L27" i="4" s="1"/>
  <c r="T1105" i="4"/>
  <c r="L762" i="4"/>
  <c r="L194" i="4"/>
  <c r="L1027" i="4"/>
  <c r="L1063" i="4" s="1"/>
  <c r="J706" i="4"/>
  <c r="L706" i="4" s="1"/>
  <c r="L693" i="4"/>
  <c r="L732" i="4"/>
  <c r="P965" i="4"/>
  <c r="N886" i="4"/>
  <c r="J866" i="4"/>
  <c r="L866" i="4" s="1"/>
  <c r="L846" i="4"/>
  <c r="N808" i="4"/>
  <c r="P808" i="4" s="1"/>
  <c r="P788" i="4"/>
  <c r="I1287" i="4"/>
  <c r="L759" i="4" l="1"/>
  <c r="L613" i="4"/>
  <c r="L450" i="4"/>
  <c r="L363" i="4"/>
  <c r="L185" i="4" s="1"/>
  <c r="L1284" i="4" s="1"/>
  <c r="N813" i="4"/>
  <c r="P813" i="4" s="1"/>
  <c r="P793" i="4"/>
  <c r="X103" i="4"/>
  <c r="Q16" i="2"/>
  <c r="Z104" i="4"/>
  <c r="Q16" i="1"/>
  <c r="AA104" i="4"/>
  <c r="Y104" i="4"/>
  <c r="Z102" i="4"/>
  <c r="Z31" i="4"/>
  <c r="Y31" i="4"/>
  <c r="X30" i="4"/>
  <c r="Q35" i="2"/>
  <c r="Q35" i="1"/>
  <c r="AA31" i="4"/>
  <c r="Z29" i="4"/>
  <c r="L311" i="4"/>
  <c r="L240" i="4"/>
  <c r="P845" i="4"/>
  <c r="N865" i="4"/>
  <c r="P865" i="4" s="1"/>
  <c r="P846" i="4"/>
  <c r="N866" i="4"/>
  <c r="P866" i="4" s="1"/>
  <c r="L629" i="4"/>
  <c r="J1043" i="4"/>
  <c r="L1043" i="4" s="1"/>
  <c r="L1080" i="4" s="1"/>
  <c r="AA1004" i="4"/>
  <c r="J1025" i="4"/>
  <c r="L1004" i="4"/>
  <c r="L929" i="4" s="1"/>
  <c r="L910" i="4" s="1"/>
  <c r="L178" i="4"/>
  <c r="L628" i="4"/>
  <c r="L614" i="4"/>
  <c r="P792" i="4"/>
  <c r="N812" i="4"/>
  <c r="P812" i="4" s="1"/>
  <c r="Z957" i="4"/>
  <c r="Y957" i="4"/>
  <c r="AA957" i="4"/>
  <c r="L521" i="4"/>
  <c r="L484" i="4"/>
  <c r="L486" i="4" s="1"/>
  <c r="J893" i="4"/>
  <c r="L893" i="4" s="1"/>
  <c r="J894" i="4"/>
  <c r="L894" i="4" s="1"/>
  <c r="L888" i="4"/>
  <c r="L378" i="4"/>
  <c r="L380" i="4" s="1"/>
  <c r="L415" i="4"/>
  <c r="L739" i="4"/>
  <c r="L571" i="4"/>
  <c r="L897" i="4" l="1"/>
  <c r="L899" i="4" s="1"/>
  <c r="P100" i="4"/>
  <c r="T26" i="4"/>
  <c r="T83" i="4" s="1"/>
  <c r="T973" i="4"/>
  <c r="T991" i="4"/>
  <c r="T954" i="4"/>
  <c r="U19" i="2"/>
  <c r="V16" i="2"/>
  <c r="Q42" i="2"/>
  <c r="P147" i="4"/>
  <c r="P117" i="4"/>
  <c r="P132" i="4"/>
  <c r="P162" i="4"/>
  <c r="Q19" i="2"/>
  <c r="J581" i="4"/>
  <c r="L581" i="4" s="1"/>
  <c r="L566" i="4"/>
  <c r="X100" i="4"/>
  <c r="X90" i="4" s="1"/>
  <c r="AA1002" i="4"/>
  <c r="J1041" i="4"/>
  <c r="L1041" i="4" s="1"/>
  <c r="J1023" i="4"/>
  <c r="L1002" i="4"/>
  <c r="P906" i="4"/>
  <c r="X973" i="4"/>
  <c r="X991" i="4"/>
  <c r="X954" i="4"/>
  <c r="Q17" i="11"/>
  <c r="T17" i="11" s="1"/>
  <c r="L1025" i="4"/>
  <c r="L1061" i="4" s="1"/>
  <c r="X26" i="4"/>
  <c r="P26" i="4"/>
  <c r="Q19" i="1"/>
  <c r="AD19" i="1" s="1"/>
  <c r="AD16" i="1"/>
  <c r="AA1003" i="4"/>
  <c r="J1024" i="4"/>
  <c r="J1042" i="4"/>
  <c r="L1042" i="4" s="1"/>
  <c r="L1079" i="4" s="1"/>
  <c r="L1003" i="4"/>
  <c r="L928" i="4" s="1"/>
  <c r="L909" i="4" s="1"/>
  <c r="Q26" i="2"/>
  <c r="Q26" i="1"/>
  <c r="Z900" i="4"/>
  <c r="J582" i="4"/>
  <c r="L582" i="4" s="1"/>
  <c r="L567" i="4"/>
  <c r="P973" i="4"/>
  <c r="P991" i="4"/>
  <c r="P954" i="4"/>
  <c r="U19" i="1"/>
  <c r="V16" i="1"/>
  <c r="L242" i="4"/>
  <c r="L203" i="4"/>
  <c r="L205" i="4" s="1"/>
  <c r="Q42" i="1"/>
  <c r="AD35" i="1"/>
  <c r="T65" i="4"/>
  <c r="T100" i="4"/>
  <c r="T47" i="4" l="1"/>
  <c r="R139" i="4"/>
  <c r="T139" i="4" s="1"/>
  <c r="R154" i="4"/>
  <c r="T154" i="4" s="1"/>
  <c r="R124" i="4"/>
  <c r="R97" i="4"/>
  <c r="R109" i="4"/>
  <c r="T90" i="4"/>
  <c r="V19" i="2"/>
  <c r="T132" i="4"/>
  <c r="T117" i="4"/>
  <c r="T162" i="4"/>
  <c r="T147" i="4"/>
  <c r="V19" i="1"/>
  <c r="P47" i="4"/>
  <c r="P83" i="4"/>
  <c r="P65" i="4"/>
  <c r="J843" i="4"/>
  <c r="AA736" i="4"/>
  <c r="J790" i="4"/>
  <c r="J757" i="4"/>
  <c r="AD26" i="1"/>
  <c r="X83" i="4"/>
  <c r="X65" i="4"/>
  <c r="X47" i="4"/>
  <c r="L1010" i="4"/>
  <c r="L927" i="4"/>
  <c r="L908" i="4" s="1"/>
  <c r="L1078" i="4"/>
  <c r="L1048" i="4"/>
  <c r="AA208" i="4"/>
  <c r="X204" i="4" s="1"/>
  <c r="Q22" i="2"/>
  <c r="Y208" i="4"/>
  <c r="Z208" i="4"/>
  <c r="Q22" i="1"/>
  <c r="Z206" i="4"/>
  <c r="J842" i="4"/>
  <c r="J789" i="4"/>
  <c r="AA735" i="4"/>
  <c r="J756" i="4"/>
  <c r="J592" i="4"/>
  <c r="L592" i="4" s="1"/>
  <c r="J585" i="4"/>
  <c r="L585" i="4" s="1"/>
  <c r="L572" i="4"/>
  <c r="N98" i="4"/>
  <c r="P91" i="4"/>
  <c r="N155" i="4"/>
  <c r="P155" i="4" s="1"/>
  <c r="N125" i="4"/>
  <c r="N110" i="4"/>
  <c r="N140" i="4" s="1"/>
  <c r="P140" i="4" s="1"/>
  <c r="N1023" i="4"/>
  <c r="P1023" i="4" s="1"/>
  <c r="N1041" i="4"/>
  <c r="P1041" i="4" s="1"/>
  <c r="N1042" i="4"/>
  <c r="P1042" i="4" s="1"/>
  <c r="P1079" i="4" s="1"/>
  <c r="N1024" i="4"/>
  <c r="P1024" i="4" s="1"/>
  <c r="P1060" i="4" s="1"/>
  <c r="AD42" i="1"/>
  <c r="R16" i="11"/>
  <c r="L1024" i="4"/>
  <c r="L1060" i="4" s="1"/>
  <c r="R15" i="11"/>
  <c r="L1023" i="4"/>
  <c r="X132" i="4"/>
  <c r="X162" i="4"/>
  <c r="X117" i="4"/>
  <c r="X147" i="4"/>
  <c r="P1078" i="4" l="1"/>
  <c r="AD22" i="1"/>
  <c r="L1012" i="4"/>
  <c r="L934" i="4"/>
  <c r="L790" i="4"/>
  <c r="J810" i="4"/>
  <c r="L810" i="4" s="1"/>
  <c r="P1059" i="4"/>
  <c r="T204" i="4"/>
  <c r="L1050" i="4"/>
  <c r="L1085" i="4"/>
  <c r="L1087" i="4" s="1"/>
  <c r="N843" i="4"/>
  <c r="N790" i="4"/>
  <c r="N757" i="4"/>
  <c r="L1059" i="4"/>
  <c r="L1030" i="4"/>
  <c r="P928" i="4"/>
  <c r="P909" i="4" s="1"/>
  <c r="L789" i="4"/>
  <c r="J809" i="4"/>
  <c r="L809" i="4" s="1"/>
  <c r="P204" i="4"/>
  <c r="J863" i="4"/>
  <c r="L863" i="4" s="1"/>
  <c r="L843" i="4"/>
  <c r="N789" i="4"/>
  <c r="N842" i="4"/>
  <c r="N756" i="4"/>
  <c r="X485" i="4"/>
  <c r="X555" i="4"/>
  <c r="X449" i="4"/>
  <c r="X241" i="4"/>
  <c r="X344" i="4"/>
  <c r="X310" i="4"/>
  <c r="X520" i="4"/>
  <c r="X414" i="4"/>
  <c r="X379" i="4"/>
  <c r="X275" i="4"/>
  <c r="R155" i="4"/>
  <c r="T155" i="4" s="1"/>
  <c r="T161" i="4" s="1"/>
  <c r="T163" i="4" s="1"/>
  <c r="R125" i="4"/>
  <c r="R110" i="4"/>
  <c r="R140" i="4" s="1"/>
  <c r="T140" i="4" s="1"/>
  <c r="R98" i="4"/>
  <c r="T91" i="4"/>
  <c r="T99" i="4" s="1"/>
  <c r="T101" i="4" s="1"/>
  <c r="V109" i="4"/>
  <c r="V124" i="4"/>
  <c r="V139" i="4"/>
  <c r="X139" i="4" s="1"/>
  <c r="X146" i="4" s="1"/>
  <c r="X148" i="4" s="1"/>
  <c r="V154" i="4"/>
  <c r="X154" i="4" s="1"/>
  <c r="V97" i="4"/>
  <c r="X91" i="4"/>
  <c r="X99" i="4" s="1"/>
  <c r="X101" i="4" s="1"/>
  <c r="V155" i="4"/>
  <c r="X155" i="4" s="1"/>
  <c r="V125" i="4"/>
  <c r="V110" i="4"/>
  <c r="V140" i="4" s="1"/>
  <c r="X140" i="4" s="1"/>
  <c r="V98" i="4"/>
  <c r="N109" i="4"/>
  <c r="N97" i="4"/>
  <c r="P90" i="4"/>
  <c r="P99" i="4" s="1"/>
  <c r="P101" i="4" s="1"/>
  <c r="N124" i="4"/>
  <c r="N139" i="4"/>
  <c r="P139" i="4" s="1"/>
  <c r="P146" i="4" s="1"/>
  <c r="P148" i="4" s="1"/>
  <c r="N154" i="4"/>
  <c r="P154" i="4" s="1"/>
  <c r="P161" i="4" s="1"/>
  <c r="P163" i="4" s="1"/>
  <c r="L842" i="4"/>
  <c r="J862" i="4"/>
  <c r="L862" i="4" s="1"/>
  <c r="T146" i="4"/>
  <c r="T148" i="4" s="1"/>
  <c r="P131" i="4"/>
  <c r="P133" i="4" s="1"/>
  <c r="L873" i="4" l="1"/>
  <c r="L875" i="4" s="1"/>
  <c r="L756" i="4"/>
  <c r="X161" i="4"/>
  <c r="X163" i="4" s="1"/>
  <c r="N862" i="4"/>
  <c r="P862" i="4" s="1"/>
  <c r="P842" i="4"/>
  <c r="L1032" i="4"/>
  <c r="L1066" i="4"/>
  <c r="L1068" i="4" s="1"/>
  <c r="L915" i="4"/>
  <c r="L917" i="4" s="1"/>
  <c r="L914" i="4"/>
  <c r="P789" i="4"/>
  <c r="N809" i="4"/>
  <c r="P809" i="4" s="1"/>
  <c r="N810" i="4"/>
  <c r="P810" i="4" s="1"/>
  <c r="P790" i="4"/>
  <c r="T520" i="4"/>
  <c r="T485" i="4"/>
  <c r="T449" i="4"/>
  <c r="T379" i="4"/>
  <c r="T275" i="4"/>
  <c r="T555" i="4"/>
  <c r="T241" i="4"/>
  <c r="T344" i="4"/>
  <c r="T414" i="4"/>
  <c r="T310" i="4"/>
  <c r="AA1012" i="4"/>
  <c r="Z1014" i="4"/>
  <c r="Y1014" i="4"/>
  <c r="AA1014" i="4"/>
  <c r="L936" i="4"/>
  <c r="Y939" i="4"/>
  <c r="AA939" i="4" s="1"/>
  <c r="Z937" i="4"/>
  <c r="P116" i="4"/>
  <c r="P118" i="4" s="1"/>
  <c r="V35" i="2"/>
  <c r="U42" i="2"/>
  <c r="L735" i="4"/>
  <c r="L820" i="4"/>
  <c r="P843" i="4"/>
  <c r="N863" i="4"/>
  <c r="P863" i="4" s="1"/>
  <c r="L757" i="4"/>
  <c r="V27" i="2"/>
  <c r="P520" i="4"/>
  <c r="P414" i="4"/>
  <c r="P485" i="4"/>
  <c r="P449" i="4"/>
  <c r="P379" i="4"/>
  <c r="P275" i="4"/>
  <c r="P555" i="4"/>
  <c r="P310" i="4"/>
  <c r="P241" i="4"/>
  <c r="P344" i="4"/>
  <c r="V35" i="1"/>
  <c r="U42" i="1"/>
  <c r="L736" i="4"/>
  <c r="X1284" i="4"/>
  <c r="P1010" i="4" l="1"/>
  <c r="P1012" i="4" s="1"/>
  <c r="P1067" i="4"/>
  <c r="P1031" i="4"/>
  <c r="P1086" i="4"/>
  <c r="P1049" i="4"/>
  <c r="P1011" i="4"/>
  <c r="P935" i="4" s="1"/>
  <c r="P916" i="4" s="1"/>
  <c r="P1104" i="4"/>
  <c r="P1106" i="4" s="1"/>
  <c r="V27" i="1"/>
  <c r="T932" i="4"/>
  <c r="T913" i="4" s="1"/>
  <c r="V42" i="1"/>
  <c r="V42" i="2"/>
  <c r="T116" i="4"/>
  <c r="T118" i="4" s="1"/>
  <c r="V26" i="2"/>
  <c r="X932" i="4"/>
  <c r="X913" i="4" s="1"/>
  <c r="L822" i="4"/>
  <c r="L769" i="4" s="1"/>
  <c r="L767" i="4"/>
  <c r="X116" i="4"/>
  <c r="X118" i="4" s="1"/>
  <c r="X131" i="4"/>
  <c r="X133" i="4" s="1"/>
  <c r="T1067" i="4"/>
  <c r="T1031" i="4"/>
  <c r="T1086" i="4"/>
  <c r="T1049" i="4"/>
  <c r="T1011" i="4"/>
  <c r="T935" i="4" s="1"/>
  <c r="T916" i="4" s="1"/>
  <c r="T131" i="4"/>
  <c r="T133" i="4" s="1"/>
  <c r="X1067" i="4"/>
  <c r="X1031" i="4"/>
  <c r="X1086" i="4"/>
  <c r="X1049" i="4"/>
  <c r="X1011" i="4"/>
  <c r="X935" i="4" s="1"/>
  <c r="X916" i="4" s="1"/>
  <c r="Q27" i="2"/>
  <c r="Q27" i="1"/>
  <c r="Z918" i="4"/>
  <c r="T25" i="4"/>
  <c r="T27" i="4" s="1"/>
  <c r="R1028" i="4" l="1"/>
  <c r="T1028" i="4" s="1"/>
  <c r="R1046" i="4"/>
  <c r="T1046" i="4" s="1"/>
  <c r="AD27" i="1"/>
  <c r="Z877" i="4"/>
  <c r="AA877" i="4"/>
  <c r="Q25" i="2"/>
  <c r="Q25" i="1"/>
  <c r="Y877" i="4"/>
  <c r="Z770" i="4"/>
  <c r="V25" i="2"/>
  <c r="P25" i="4"/>
  <c r="P27" i="4" s="1"/>
  <c r="V26" i="1"/>
  <c r="N1025" i="4"/>
  <c r="P1025" i="4" s="1"/>
  <c r="N1043" i="4"/>
  <c r="P1043" i="4" s="1"/>
  <c r="X25" i="4"/>
  <c r="X27" i="4" s="1"/>
  <c r="X1104" i="4"/>
  <c r="X1106" i="4" s="1"/>
  <c r="V58" i="4" l="1"/>
  <c r="X58" i="4" s="1"/>
  <c r="V40" i="4"/>
  <c r="X40" i="4" s="1"/>
  <c r="V76" i="4"/>
  <c r="X76" i="4" s="1"/>
  <c r="P1030" i="4"/>
  <c r="X1010" i="4"/>
  <c r="X1012" i="4" s="1"/>
  <c r="V1046" i="4"/>
  <c r="X1046" i="4" s="1"/>
  <c r="V1028" i="4"/>
  <c r="X1028" i="4" s="1"/>
  <c r="V25" i="1"/>
  <c r="AD25" i="1"/>
  <c r="T1104" i="4"/>
  <c r="T1106" i="4" s="1"/>
  <c r="R970" i="4"/>
  <c r="R988" i="4"/>
  <c r="T988" i="4" s="1"/>
  <c r="T1083" i="4" s="1"/>
  <c r="R54" i="4"/>
  <c r="T54" i="4" s="1"/>
  <c r="R72" i="4"/>
  <c r="T72" i="4" s="1"/>
  <c r="R36" i="4"/>
  <c r="T36" i="4" s="1"/>
  <c r="V22" i="1"/>
  <c r="V38" i="4"/>
  <c r="X38" i="4" s="1"/>
  <c r="V56" i="4"/>
  <c r="X56" i="4" s="1"/>
  <c r="V74" i="4"/>
  <c r="X74" i="4" s="1"/>
  <c r="V988" i="4"/>
  <c r="X988" i="4" s="1"/>
  <c r="V970" i="4"/>
  <c r="P1048" i="4"/>
  <c r="V22" i="2"/>
  <c r="R1103" i="4"/>
  <c r="V198" i="4"/>
  <c r="R198" i="4"/>
  <c r="X1083" i="4" l="1"/>
  <c r="R514" i="4"/>
  <c r="T514" i="4" s="1"/>
  <c r="R549" i="4"/>
  <c r="T549" i="4" s="1"/>
  <c r="R408" i="4"/>
  <c r="T408" i="4" s="1"/>
  <c r="T373" i="4" s="1"/>
  <c r="R338" i="4"/>
  <c r="T338" i="4" s="1"/>
  <c r="R304" i="4"/>
  <c r="T304" i="4" s="1"/>
  <c r="R479" i="4"/>
  <c r="R269" i="4"/>
  <c r="T269" i="4" s="1"/>
  <c r="R373" i="4"/>
  <c r="R443" i="4"/>
  <c r="T443" i="4" s="1"/>
  <c r="R235" i="4"/>
  <c r="V1103" i="4"/>
  <c r="V1025" i="4"/>
  <c r="X1025" i="4" s="1"/>
  <c r="V1043" i="4"/>
  <c r="X1043" i="4" s="1"/>
  <c r="R74" i="4"/>
  <c r="T74" i="4" s="1"/>
  <c r="R56" i="4"/>
  <c r="T56" i="4" s="1"/>
  <c r="R38" i="4"/>
  <c r="T38" i="4" s="1"/>
  <c r="N72" i="4"/>
  <c r="P72" i="4" s="1"/>
  <c r="N54" i="4"/>
  <c r="P54" i="4" s="1"/>
  <c r="N36" i="4"/>
  <c r="P36" i="4" s="1"/>
  <c r="R891" i="4"/>
  <c r="R892" i="4" s="1"/>
  <c r="T970" i="4"/>
  <c r="T1064" i="4" s="1"/>
  <c r="R76" i="4"/>
  <c r="T76" i="4" s="1"/>
  <c r="R58" i="4"/>
  <c r="T58" i="4" s="1"/>
  <c r="R40" i="4"/>
  <c r="T40" i="4" s="1"/>
  <c r="V479" i="4"/>
  <c r="V549" i="4"/>
  <c r="X549" i="4" s="1"/>
  <c r="V443" i="4"/>
  <c r="X443" i="4" s="1"/>
  <c r="V373" i="4"/>
  <c r="V235" i="4"/>
  <c r="V514" i="4"/>
  <c r="X514" i="4" s="1"/>
  <c r="X479" i="4" s="1"/>
  <c r="V338" i="4"/>
  <c r="X338" i="4" s="1"/>
  <c r="V408" i="4"/>
  <c r="X408" i="4" s="1"/>
  <c r="V269" i="4"/>
  <c r="X269" i="4" s="1"/>
  <c r="V304" i="4"/>
  <c r="X304" i="4" s="1"/>
  <c r="V77" i="4"/>
  <c r="X77" i="4" s="1"/>
  <c r="V59" i="4"/>
  <c r="X59" i="4" s="1"/>
  <c r="V41" i="4"/>
  <c r="X41" i="4" s="1"/>
  <c r="V73" i="4"/>
  <c r="X73" i="4" s="1"/>
  <c r="V55" i="4"/>
  <c r="X55" i="4" s="1"/>
  <c r="V37" i="4"/>
  <c r="X37" i="4" s="1"/>
  <c r="R37" i="4"/>
  <c r="T37" i="4" s="1"/>
  <c r="R55" i="4"/>
  <c r="T55" i="4" s="1"/>
  <c r="R73" i="4"/>
  <c r="T73" i="4" s="1"/>
  <c r="N78" i="4"/>
  <c r="P78" i="4" s="1"/>
  <c r="N60" i="4"/>
  <c r="P60" i="4" s="1"/>
  <c r="N42" i="4"/>
  <c r="P42" i="4" s="1"/>
  <c r="V72" i="4"/>
  <c r="X72" i="4" s="1"/>
  <c r="V54" i="4"/>
  <c r="X54" i="4" s="1"/>
  <c r="V36" i="4"/>
  <c r="X36" i="4" s="1"/>
  <c r="P874" i="4"/>
  <c r="P821" i="4"/>
  <c r="P1050" i="4"/>
  <c r="N73" i="4"/>
  <c r="P73" i="4" s="1"/>
  <c r="N55" i="4"/>
  <c r="P55" i="4" s="1"/>
  <c r="N37" i="4"/>
  <c r="P37" i="4" s="1"/>
  <c r="R42" i="4"/>
  <c r="T42" i="4" s="1"/>
  <c r="R60" i="4"/>
  <c r="T60" i="4" s="1"/>
  <c r="R78" i="4"/>
  <c r="T78" i="4" s="1"/>
  <c r="T82" i="4" s="1"/>
  <c r="T84" i="4" s="1"/>
  <c r="R1043" i="4"/>
  <c r="T1043" i="4" s="1"/>
  <c r="R1025" i="4"/>
  <c r="T1025" i="4" s="1"/>
  <c r="T874" i="4"/>
  <c r="T821" i="4"/>
  <c r="X970" i="4"/>
  <c r="V891" i="4"/>
  <c r="V892" i="4" s="1"/>
  <c r="N40" i="4"/>
  <c r="P40" i="4" s="1"/>
  <c r="N58" i="4"/>
  <c r="P58" i="4" s="1"/>
  <c r="N76" i="4"/>
  <c r="P76" i="4" s="1"/>
  <c r="X874" i="4"/>
  <c r="X821" i="4"/>
  <c r="T1010" i="4"/>
  <c r="T1012" i="4" s="1"/>
  <c r="V78" i="4"/>
  <c r="X78" i="4" s="1"/>
  <c r="V60" i="4"/>
  <c r="X60" i="4" s="1"/>
  <c r="V42" i="4"/>
  <c r="X42" i="4" s="1"/>
  <c r="R77" i="4"/>
  <c r="T77" i="4" s="1"/>
  <c r="R41" i="4"/>
  <c r="T41" i="4" s="1"/>
  <c r="R59" i="4"/>
  <c r="T59" i="4" s="1"/>
  <c r="N77" i="4"/>
  <c r="P77" i="4" s="1"/>
  <c r="N59" i="4"/>
  <c r="P59" i="4" s="1"/>
  <c r="N41" i="4"/>
  <c r="P41" i="4" s="1"/>
  <c r="N56" i="4"/>
  <c r="P56" i="4" s="1"/>
  <c r="N38" i="4"/>
  <c r="P38" i="4" s="1"/>
  <c r="N74" i="4"/>
  <c r="P74" i="4" s="1"/>
  <c r="X1064" i="4"/>
  <c r="P1032" i="4"/>
  <c r="T64" i="4" l="1"/>
  <c r="T66" i="4" s="1"/>
  <c r="X46" i="4"/>
  <c r="X48" i="4" s="1"/>
  <c r="T46" i="4"/>
  <c r="T48" i="4" s="1"/>
  <c r="T479" i="4"/>
  <c r="V501" i="4"/>
  <c r="V466" i="4"/>
  <c r="V478" i="4" s="1"/>
  <c r="V430" i="4"/>
  <c r="V291" i="4"/>
  <c r="V536" i="4"/>
  <c r="V360" i="4"/>
  <c r="V372" i="4" s="1"/>
  <c r="V256" i="4"/>
  <c r="V325" i="4"/>
  <c r="V222" i="4"/>
  <c r="V234" i="4" s="1"/>
  <c r="V197" i="4"/>
  <c r="V395" i="4"/>
  <c r="V1027" i="4"/>
  <c r="X1027" i="4" s="1"/>
  <c r="V1045" i="4"/>
  <c r="X1045" i="4" s="1"/>
  <c r="V1009" i="4"/>
  <c r="P64" i="4"/>
  <c r="P66" i="4" s="1"/>
  <c r="X64" i="4"/>
  <c r="X66" i="4" s="1"/>
  <c r="P82" i="4"/>
  <c r="P84" i="4" s="1"/>
  <c r="X1048" i="4"/>
  <c r="R849" i="4"/>
  <c r="R796" i="4"/>
  <c r="R763" i="4"/>
  <c r="P46" i="4"/>
  <c r="P48" i="4" s="1"/>
  <c r="V849" i="4"/>
  <c r="V796" i="4"/>
  <c r="V763" i="4"/>
  <c r="X235" i="4"/>
  <c r="R536" i="4"/>
  <c r="R430" i="4"/>
  <c r="R325" i="4"/>
  <c r="R501" i="4"/>
  <c r="R466" i="4"/>
  <c r="R478" i="4" s="1"/>
  <c r="R395" i="4"/>
  <c r="R222" i="4"/>
  <c r="R234" i="4" s="1"/>
  <c r="R360" i="4"/>
  <c r="R372" i="4" s="1"/>
  <c r="R291" i="4"/>
  <c r="R256" i="4"/>
  <c r="R197" i="4"/>
  <c r="X82" i="4"/>
  <c r="X84" i="4" s="1"/>
  <c r="X373" i="4"/>
  <c r="X1030" i="4"/>
  <c r="T235" i="4"/>
  <c r="X1032" i="4" l="1"/>
  <c r="R337" i="4"/>
  <c r="T337" i="4" s="1"/>
  <c r="T325" i="4"/>
  <c r="V303" i="4"/>
  <c r="X303" i="4" s="1"/>
  <c r="X291" i="4"/>
  <c r="T256" i="4"/>
  <c r="R268" i="4"/>
  <c r="T268" i="4" s="1"/>
  <c r="T395" i="4"/>
  <c r="R407" i="4"/>
  <c r="T407" i="4" s="1"/>
  <c r="R442" i="4"/>
  <c r="T442" i="4" s="1"/>
  <c r="T430" i="4"/>
  <c r="V816" i="4"/>
  <c r="X816" i="4" s="1"/>
  <c r="X796" i="4"/>
  <c r="T796" i="4"/>
  <c r="R816" i="4"/>
  <c r="T816" i="4" s="1"/>
  <c r="V870" i="4"/>
  <c r="X870" i="4" s="1"/>
  <c r="V817" i="4"/>
  <c r="X817" i="4" s="1"/>
  <c r="V407" i="4"/>
  <c r="X407" i="4" s="1"/>
  <c r="X395" i="4"/>
  <c r="X256" i="4"/>
  <c r="V268" i="4"/>
  <c r="X268" i="4" s="1"/>
  <c r="X430" i="4"/>
  <c r="V442" i="4"/>
  <c r="X442" i="4" s="1"/>
  <c r="R817" i="4"/>
  <c r="T817" i="4" s="1"/>
  <c r="R870" i="4"/>
  <c r="T870" i="4" s="1"/>
  <c r="T291" i="4"/>
  <c r="R303" i="4"/>
  <c r="T303" i="4" s="1"/>
  <c r="T234" i="4" s="1"/>
  <c r="R548" i="4"/>
  <c r="T548" i="4" s="1"/>
  <c r="T536" i="4"/>
  <c r="V869" i="4"/>
  <c r="X869" i="4" s="1"/>
  <c r="X849" i="4"/>
  <c r="R869" i="4"/>
  <c r="T869" i="4" s="1"/>
  <c r="T849" i="4"/>
  <c r="V337" i="4"/>
  <c r="X337" i="4" s="1"/>
  <c r="X325" i="4"/>
  <c r="T501" i="4"/>
  <c r="T466" i="4" s="1"/>
  <c r="R513" i="4"/>
  <c r="T513" i="4" s="1"/>
  <c r="X1050" i="4"/>
  <c r="R1045" i="4"/>
  <c r="T1045" i="4" s="1"/>
  <c r="R1009" i="4"/>
  <c r="R1027" i="4"/>
  <c r="T1027" i="4" s="1"/>
  <c r="X536" i="4"/>
  <c r="V548" i="4"/>
  <c r="X548" i="4" s="1"/>
  <c r="V513" i="4"/>
  <c r="X513" i="4" s="1"/>
  <c r="X501" i="4"/>
  <c r="X466" i="4" s="1"/>
  <c r="X478" i="4" l="1"/>
  <c r="X360" i="4"/>
  <c r="T372" i="4"/>
  <c r="T360" i="4"/>
  <c r="T478" i="4"/>
  <c r="X222" i="4"/>
  <c r="T222" i="4"/>
  <c r="X372" i="4"/>
  <c r="X234" i="4"/>
  <c r="T1048" i="4"/>
  <c r="T1030" i="4"/>
  <c r="T1032" i="4" l="1"/>
  <c r="T1050" i="4"/>
  <c r="P929" i="4" l="1"/>
  <c r="P910" i="4" s="1"/>
  <c r="P953" i="4" l="1"/>
  <c r="P927" i="4"/>
  <c r="P908" i="4" s="1"/>
  <c r="T929" i="4" l="1"/>
  <c r="T910" i="4" s="1"/>
  <c r="P955" i="4"/>
  <c r="P936" i="4" s="1"/>
  <c r="P934" i="4"/>
  <c r="N967" i="4"/>
  <c r="N985" i="4"/>
  <c r="P985" i="4" s="1"/>
  <c r="X929" i="4"/>
  <c r="X910" i="4" s="1"/>
  <c r="X953" i="4"/>
  <c r="X931" i="4"/>
  <c r="X912" i="4" s="1"/>
  <c r="R985" i="4" l="1"/>
  <c r="T985" i="4" s="1"/>
  <c r="R967" i="4"/>
  <c r="P990" i="4"/>
  <c r="P1080" i="4"/>
  <c r="X934" i="4"/>
  <c r="X955" i="4"/>
  <c r="X936" i="4" s="1"/>
  <c r="P914" i="4"/>
  <c r="P915" i="4"/>
  <c r="P917" i="4" s="1"/>
  <c r="V967" i="4"/>
  <c r="V985" i="4"/>
  <c r="X985" i="4" s="1"/>
  <c r="N888" i="4"/>
  <c r="P967" i="4"/>
  <c r="V969" i="4" l="1"/>
  <c r="V952" i="4"/>
  <c r="V987" i="4"/>
  <c r="X987" i="4" s="1"/>
  <c r="X1082" i="4" s="1"/>
  <c r="N893" i="4"/>
  <c r="N894" i="4"/>
  <c r="T931" i="4"/>
  <c r="T912" i="4" s="1"/>
  <c r="T953" i="4"/>
  <c r="X990" i="4"/>
  <c r="X1080" i="4"/>
  <c r="T967" i="4"/>
  <c r="R888" i="4"/>
  <c r="P972" i="4"/>
  <c r="P1061" i="4"/>
  <c r="P992" i="4"/>
  <c r="P1085" i="4"/>
  <c r="P1087" i="4" s="1"/>
  <c r="X967" i="4"/>
  <c r="V888" i="4"/>
  <c r="X914" i="4"/>
  <c r="X915" i="4"/>
  <c r="X917" i="4" s="1"/>
  <c r="T1080" i="4"/>
  <c r="T1061" i="4" l="1"/>
  <c r="P897" i="4"/>
  <c r="P899" i="4" s="1"/>
  <c r="X972" i="4"/>
  <c r="X1061" i="4"/>
  <c r="P974" i="4"/>
  <c r="P1066" i="4"/>
  <c r="P1068" i="4" s="1"/>
  <c r="X992" i="4"/>
  <c r="X1085" i="4"/>
  <c r="X1087" i="4" s="1"/>
  <c r="R987" i="4"/>
  <c r="T987" i="4" s="1"/>
  <c r="R969" i="4"/>
  <c r="R952" i="4"/>
  <c r="V893" i="4"/>
  <c r="V894" i="4"/>
  <c r="X969" i="4"/>
  <c r="X1063" i="4" s="1"/>
  <c r="V890" i="4"/>
  <c r="V895" i="4" s="1"/>
  <c r="R894" i="4"/>
  <c r="R893" i="4"/>
  <c r="T955" i="4"/>
  <c r="T936" i="4" s="1"/>
  <c r="T934" i="4"/>
  <c r="T914" i="4" l="1"/>
  <c r="T915" i="4"/>
  <c r="T917" i="4" s="1"/>
  <c r="T969" i="4"/>
  <c r="R890" i="4"/>
  <c r="R895" i="4" s="1"/>
  <c r="X974" i="4"/>
  <c r="X1066" i="4"/>
  <c r="X1068" i="4" s="1"/>
  <c r="T1082" i="4"/>
  <c r="T990" i="4"/>
  <c r="X897" i="4"/>
  <c r="X899" i="4" s="1"/>
  <c r="T1063" i="4" l="1"/>
  <c r="T972" i="4"/>
  <c r="T992" i="4"/>
  <c r="T1085" i="4"/>
  <c r="T1087" i="4" s="1"/>
  <c r="T897" i="4"/>
  <c r="T899" i="4" s="1"/>
  <c r="T974" i="4" l="1"/>
  <c r="T1066" i="4"/>
  <c r="T1068" i="4" s="1"/>
  <c r="R18" i="8" l="1"/>
  <c r="U18" i="8" s="1"/>
  <c r="N186" i="4"/>
  <c r="R186" i="4"/>
  <c r="V186" i="4"/>
  <c r="N187" i="4"/>
  <c r="R187" i="4"/>
  <c r="V187" i="4"/>
  <c r="N188" i="4"/>
  <c r="R188" i="4"/>
  <c r="V188" i="4"/>
  <c r="N193" i="4"/>
  <c r="R193" i="4"/>
  <c r="V193" i="4"/>
  <c r="N194" i="4"/>
  <c r="R194" i="4"/>
  <c r="V194" i="4"/>
  <c r="N195" i="4"/>
  <c r="R195" i="4"/>
  <c r="V195" i="4"/>
  <c r="N196" i="4"/>
  <c r="R196" i="4"/>
  <c r="V196" i="4"/>
  <c r="P203" i="4"/>
  <c r="T203" i="4"/>
  <c r="T205" i="4" s="1"/>
  <c r="X203" i="4"/>
  <c r="X205" i="4" s="1"/>
  <c r="P205" i="4"/>
  <c r="N218" i="4"/>
  <c r="R218" i="4"/>
  <c r="V218" i="4"/>
  <c r="N219" i="4"/>
  <c r="R219" i="4"/>
  <c r="R231" i="4" s="1"/>
  <c r="V219" i="4"/>
  <c r="N220" i="4"/>
  <c r="N232" i="4" s="1"/>
  <c r="R220" i="4"/>
  <c r="V220" i="4"/>
  <c r="N221" i="4"/>
  <c r="R221" i="4"/>
  <c r="V221" i="4"/>
  <c r="N230" i="4"/>
  <c r="R230" i="4"/>
  <c r="V230" i="4"/>
  <c r="N231" i="4"/>
  <c r="V231" i="4"/>
  <c r="R232" i="4"/>
  <c r="V232" i="4"/>
  <c r="N233" i="4"/>
  <c r="R233" i="4"/>
  <c r="V233" i="4"/>
  <c r="N252" i="4"/>
  <c r="P252" i="4"/>
  <c r="R252" i="4"/>
  <c r="V252" i="4"/>
  <c r="X252" i="4"/>
  <c r="N253" i="4"/>
  <c r="R253" i="4"/>
  <c r="T253" i="4"/>
  <c r="V253" i="4"/>
  <c r="X253" i="4" s="1"/>
  <c r="N254" i="4"/>
  <c r="P254" i="4"/>
  <c r="R254" i="4"/>
  <c r="T254" i="4" s="1"/>
  <c r="V254" i="4"/>
  <c r="X254" i="4"/>
  <c r="N255" i="4"/>
  <c r="R255" i="4"/>
  <c r="T255" i="4"/>
  <c r="V255" i="4"/>
  <c r="N264" i="4"/>
  <c r="P264" i="4"/>
  <c r="V264" i="4"/>
  <c r="X264" i="4"/>
  <c r="R265" i="4"/>
  <c r="T265" i="4"/>
  <c r="V265" i="4"/>
  <c r="X265" i="4" s="1"/>
  <c r="N266" i="4"/>
  <c r="P266" i="4"/>
  <c r="R266" i="4"/>
  <c r="T266" i="4" s="1"/>
  <c r="V266" i="4"/>
  <c r="X266" i="4"/>
  <c r="R267" i="4"/>
  <c r="T267" i="4"/>
  <c r="N287" i="4"/>
  <c r="R287" i="4"/>
  <c r="T287" i="4"/>
  <c r="V287" i="4"/>
  <c r="X287" i="4" s="1"/>
  <c r="N288" i="4"/>
  <c r="P288" i="4"/>
  <c r="R288" i="4"/>
  <c r="T288" i="4" s="1"/>
  <c r="V288" i="4"/>
  <c r="X288" i="4"/>
  <c r="N289" i="4"/>
  <c r="R289" i="4"/>
  <c r="T289" i="4"/>
  <c r="V289" i="4"/>
  <c r="N290" i="4"/>
  <c r="P290" i="4"/>
  <c r="R290" i="4"/>
  <c r="T290" i="4" s="1"/>
  <c r="T221" i="4" s="1"/>
  <c r="V290" i="4"/>
  <c r="X290" i="4"/>
  <c r="R299" i="4"/>
  <c r="T299" i="4"/>
  <c r="V299" i="4"/>
  <c r="X299" i="4" s="1"/>
  <c r="X230" i="4" s="1"/>
  <c r="N300" i="4"/>
  <c r="P300" i="4"/>
  <c r="R300" i="4"/>
  <c r="T300" i="4" s="1"/>
  <c r="T231" i="4" s="1"/>
  <c r="V300" i="4"/>
  <c r="X300" i="4"/>
  <c r="R301" i="4"/>
  <c r="T301" i="4"/>
  <c r="T232" i="4" s="1"/>
  <c r="N302" i="4"/>
  <c r="P302" i="4"/>
  <c r="R302" i="4"/>
  <c r="T302" i="4" s="1"/>
  <c r="T233" i="4" s="1"/>
  <c r="V302" i="4"/>
  <c r="X302" i="4"/>
  <c r="N321" i="4"/>
  <c r="P321" i="4"/>
  <c r="R321" i="4"/>
  <c r="T321" i="4"/>
  <c r="V321" i="4"/>
  <c r="X321" i="4"/>
  <c r="N322" i="4"/>
  <c r="P322" i="4"/>
  <c r="R322" i="4"/>
  <c r="T322" i="4"/>
  <c r="V322" i="4"/>
  <c r="X322" i="4"/>
  <c r="N323" i="4"/>
  <c r="P323" i="4"/>
  <c r="R323" i="4"/>
  <c r="T323" i="4"/>
  <c r="V323" i="4"/>
  <c r="X323" i="4"/>
  <c r="N324" i="4"/>
  <c r="P324" i="4"/>
  <c r="R324" i="4"/>
  <c r="T324" i="4"/>
  <c r="V324" i="4"/>
  <c r="X324" i="4"/>
  <c r="N333" i="4"/>
  <c r="P333" i="4"/>
  <c r="R333" i="4"/>
  <c r="T333" i="4"/>
  <c r="V333" i="4"/>
  <c r="X333" i="4"/>
  <c r="N334" i="4"/>
  <c r="P334" i="4"/>
  <c r="R334" i="4"/>
  <c r="T334" i="4"/>
  <c r="V334" i="4"/>
  <c r="X334" i="4"/>
  <c r="N335" i="4"/>
  <c r="P335" i="4"/>
  <c r="R335" i="4"/>
  <c r="T335" i="4"/>
  <c r="V335" i="4"/>
  <c r="X335" i="4"/>
  <c r="N336" i="4"/>
  <c r="P336" i="4"/>
  <c r="R336" i="4"/>
  <c r="T336" i="4"/>
  <c r="V336" i="4"/>
  <c r="X336" i="4"/>
  <c r="N356" i="4"/>
  <c r="R356" i="4"/>
  <c r="V356" i="4"/>
  <c r="N357" i="4"/>
  <c r="R357" i="4"/>
  <c r="V357" i="4"/>
  <c r="N358" i="4"/>
  <c r="N370" i="4" s="1"/>
  <c r="R358" i="4"/>
  <c r="V358" i="4"/>
  <c r="N359" i="4"/>
  <c r="R359" i="4"/>
  <c r="V359" i="4"/>
  <c r="N368" i="4"/>
  <c r="R368" i="4"/>
  <c r="V368" i="4"/>
  <c r="N369" i="4"/>
  <c r="R369" i="4"/>
  <c r="V369" i="4"/>
  <c r="R370" i="4"/>
  <c r="T370" i="4"/>
  <c r="V370" i="4"/>
  <c r="N371" i="4"/>
  <c r="R371" i="4"/>
  <c r="V371" i="4"/>
  <c r="N391" i="4"/>
  <c r="P391" i="4"/>
  <c r="R391" i="4"/>
  <c r="V391" i="4"/>
  <c r="X391" i="4"/>
  <c r="N392" i="4"/>
  <c r="R392" i="4"/>
  <c r="T392" i="4"/>
  <c r="V392" i="4"/>
  <c r="X392" i="4" s="1"/>
  <c r="N393" i="4"/>
  <c r="P393" i="4"/>
  <c r="P358" i="4" s="1"/>
  <c r="R393" i="4"/>
  <c r="T393" i="4" s="1"/>
  <c r="V393" i="4"/>
  <c r="X393" i="4"/>
  <c r="N394" i="4"/>
  <c r="R394" i="4"/>
  <c r="T394" i="4"/>
  <c r="V394" i="4"/>
  <c r="N403" i="4"/>
  <c r="P403" i="4"/>
  <c r="V403" i="4"/>
  <c r="X403" i="4"/>
  <c r="R404" i="4"/>
  <c r="T404" i="4"/>
  <c r="V404" i="4"/>
  <c r="X404" i="4" s="1"/>
  <c r="N405" i="4"/>
  <c r="P405" i="4"/>
  <c r="R405" i="4"/>
  <c r="T405" i="4" s="1"/>
  <c r="V405" i="4"/>
  <c r="X405" i="4"/>
  <c r="R406" i="4"/>
  <c r="T406" i="4"/>
  <c r="N426" i="4"/>
  <c r="P426" i="4" s="1"/>
  <c r="R426" i="4"/>
  <c r="T426" i="4"/>
  <c r="V426" i="4"/>
  <c r="N427" i="4"/>
  <c r="P427" i="4"/>
  <c r="R427" i="4"/>
  <c r="V427" i="4"/>
  <c r="X427" i="4"/>
  <c r="N428" i="4"/>
  <c r="P428" i="4" s="1"/>
  <c r="R428" i="4"/>
  <c r="T428" i="4"/>
  <c r="V428" i="4"/>
  <c r="X428" i="4" s="1"/>
  <c r="N429" i="4"/>
  <c r="P429" i="4"/>
  <c r="R429" i="4"/>
  <c r="V429" i="4"/>
  <c r="X429" i="4"/>
  <c r="N438" i="4"/>
  <c r="P438" i="4" s="1"/>
  <c r="R438" i="4"/>
  <c r="T438" i="4"/>
  <c r="N439" i="4"/>
  <c r="P439" i="4"/>
  <c r="V439" i="4"/>
  <c r="X439" i="4"/>
  <c r="N440" i="4"/>
  <c r="P440" i="4" s="1"/>
  <c r="R440" i="4"/>
  <c r="T440" i="4"/>
  <c r="V440" i="4"/>
  <c r="X440" i="4" s="1"/>
  <c r="N441" i="4"/>
  <c r="P441" i="4"/>
  <c r="V441" i="4"/>
  <c r="X441" i="4"/>
  <c r="N462" i="4"/>
  <c r="R462" i="4"/>
  <c r="V462" i="4"/>
  <c r="N463" i="4"/>
  <c r="R463" i="4"/>
  <c r="V463" i="4"/>
  <c r="V475" i="4" s="1"/>
  <c r="N464" i="4"/>
  <c r="R464" i="4"/>
  <c r="R476" i="4" s="1"/>
  <c r="V464" i="4"/>
  <c r="N465" i="4"/>
  <c r="R465" i="4"/>
  <c r="V465" i="4"/>
  <c r="N474" i="4"/>
  <c r="R474" i="4"/>
  <c r="V474" i="4"/>
  <c r="N475" i="4"/>
  <c r="R475" i="4"/>
  <c r="N476" i="4"/>
  <c r="V476" i="4"/>
  <c r="N477" i="4"/>
  <c r="R477" i="4"/>
  <c r="V477" i="4"/>
  <c r="N497" i="4"/>
  <c r="P497" i="4" s="1"/>
  <c r="R497" i="4"/>
  <c r="T497" i="4"/>
  <c r="V497" i="4"/>
  <c r="X497" i="4" s="1"/>
  <c r="N498" i="4"/>
  <c r="P498" i="4"/>
  <c r="R498" i="4"/>
  <c r="T498" i="4" s="1"/>
  <c r="T463" i="4" s="1"/>
  <c r="V498" i="4"/>
  <c r="X498" i="4"/>
  <c r="N499" i="4"/>
  <c r="P499" i="4" s="1"/>
  <c r="P464" i="4" s="1"/>
  <c r="R499" i="4"/>
  <c r="T499" i="4"/>
  <c r="T464" i="4" s="1"/>
  <c r="V499" i="4"/>
  <c r="X499" i="4" s="1"/>
  <c r="N500" i="4"/>
  <c r="P500" i="4"/>
  <c r="P465" i="4" s="1"/>
  <c r="R500" i="4"/>
  <c r="T500" i="4" s="1"/>
  <c r="V500" i="4"/>
  <c r="X500" i="4"/>
  <c r="N509" i="4"/>
  <c r="P509" i="4" s="1"/>
  <c r="P474" i="4" s="1"/>
  <c r="R509" i="4"/>
  <c r="T509" i="4"/>
  <c r="V509" i="4"/>
  <c r="X509" i="4" s="1"/>
  <c r="X474" i="4" s="1"/>
  <c r="N510" i="4"/>
  <c r="P510" i="4"/>
  <c r="R510" i="4"/>
  <c r="T510" i="4" s="1"/>
  <c r="V510" i="4"/>
  <c r="X510" i="4"/>
  <c r="N511" i="4"/>
  <c r="P511" i="4" s="1"/>
  <c r="P476" i="4" s="1"/>
  <c r="R511" i="4"/>
  <c r="T511" i="4"/>
  <c r="V511" i="4"/>
  <c r="X511" i="4" s="1"/>
  <c r="X476" i="4" s="1"/>
  <c r="N512" i="4"/>
  <c r="P512" i="4"/>
  <c r="R512" i="4"/>
  <c r="T512" i="4" s="1"/>
  <c r="T477" i="4" s="1"/>
  <c r="V512" i="4"/>
  <c r="X512" i="4"/>
  <c r="N532" i="4"/>
  <c r="P532" i="4"/>
  <c r="R532" i="4"/>
  <c r="T532" i="4" s="1"/>
  <c r="V532" i="4"/>
  <c r="X532" i="4"/>
  <c r="N533" i="4"/>
  <c r="R533" i="4"/>
  <c r="T533" i="4"/>
  <c r="V533" i="4"/>
  <c r="N534" i="4"/>
  <c r="P534" i="4"/>
  <c r="R534" i="4"/>
  <c r="T534" i="4" s="1"/>
  <c r="V534" i="4"/>
  <c r="X534" i="4"/>
  <c r="N535" i="4"/>
  <c r="P535" i="4" s="1"/>
  <c r="R535" i="4"/>
  <c r="T535" i="4"/>
  <c r="V535" i="4"/>
  <c r="N544" i="4"/>
  <c r="P544" i="4"/>
  <c r="R544" i="4"/>
  <c r="T544" i="4" s="1"/>
  <c r="V544" i="4"/>
  <c r="X544" i="4"/>
  <c r="R545" i="4"/>
  <c r="T545" i="4"/>
  <c r="N546" i="4"/>
  <c r="P546" i="4"/>
  <c r="R546" i="4"/>
  <c r="T546" i="4" s="1"/>
  <c r="V546" i="4"/>
  <c r="X546" i="4"/>
  <c r="N547" i="4"/>
  <c r="P547" i="4" s="1"/>
  <c r="R547" i="4"/>
  <c r="T547" i="4"/>
  <c r="L569" i="4"/>
  <c r="J583" i="4"/>
  <c r="N583" i="4"/>
  <c r="R583" i="4"/>
  <c r="V583" i="4"/>
  <c r="R585" i="4"/>
  <c r="V585" i="4"/>
  <c r="R586" i="4"/>
  <c r="V586" i="4"/>
  <c r="R587" i="4"/>
  <c r="V587" i="4"/>
  <c r="R590" i="4"/>
  <c r="V590" i="4"/>
  <c r="R591" i="4"/>
  <c r="V591" i="4"/>
  <c r="R592" i="4"/>
  <c r="V592" i="4"/>
  <c r="P595" i="4"/>
  <c r="P597" i="4" s="1"/>
  <c r="T595" i="4"/>
  <c r="X595" i="4"/>
  <c r="T597" i="4"/>
  <c r="X597" i="4"/>
  <c r="AA610" i="4"/>
  <c r="J611" i="4"/>
  <c r="N611" i="4"/>
  <c r="N627" i="4" s="1"/>
  <c r="R611" i="4"/>
  <c r="R627" i="4" s="1"/>
  <c r="V611" i="4"/>
  <c r="AA611" i="4"/>
  <c r="R618" i="4"/>
  <c r="V618" i="4"/>
  <c r="R619" i="4"/>
  <c r="V619" i="4"/>
  <c r="J626" i="4"/>
  <c r="N626" i="4"/>
  <c r="R626" i="4"/>
  <c r="V626" i="4"/>
  <c r="J627" i="4"/>
  <c r="V627" i="4"/>
  <c r="R628" i="4"/>
  <c r="V628" i="4"/>
  <c r="R629" i="4"/>
  <c r="V629" i="4"/>
  <c r="R630" i="4"/>
  <c r="V630" i="4"/>
  <c r="P635" i="4"/>
  <c r="T635" i="4"/>
  <c r="X635" i="4"/>
  <c r="J652" i="4"/>
  <c r="L652" i="4"/>
  <c r="N652" i="4"/>
  <c r="R652" i="4"/>
  <c r="T652" i="4" s="1"/>
  <c r="V652" i="4"/>
  <c r="X652" i="4" s="1"/>
  <c r="J653" i="4"/>
  <c r="L653" i="4" s="1"/>
  <c r="R653" i="4"/>
  <c r="T653" i="4"/>
  <c r="V653" i="4"/>
  <c r="R655" i="4"/>
  <c r="T655" i="4"/>
  <c r="V655" i="4"/>
  <c r="X655" i="4" s="1"/>
  <c r="R656" i="4"/>
  <c r="V656" i="4"/>
  <c r="X656" i="4" s="1"/>
  <c r="R657" i="4"/>
  <c r="R670" i="4" s="1"/>
  <c r="T670" i="4" s="1"/>
  <c r="T657" i="4"/>
  <c r="V657" i="4"/>
  <c r="X657" i="4" s="1"/>
  <c r="J666" i="4"/>
  <c r="L666" i="4"/>
  <c r="N666" i="4"/>
  <c r="P666" i="4" s="1"/>
  <c r="V666" i="4"/>
  <c r="X666" i="4" s="1"/>
  <c r="J667" i="4"/>
  <c r="L667" i="4" s="1"/>
  <c r="R667" i="4"/>
  <c r="T667" i="4"/>
  <c r="R668" i="4"/>
  <c r="T668" i="4"/>
  <c r="V669" i="4"/>
  <c r="X669" i="4" s="1"/>
  <c r="V670" i="4"/>
  <c r="X670" i="4" s="1"/>
  <c r="R671" i="4"/>
  <c r="T671" i="4" s="1"/>
  <c r="V671" i="4"/>
  <c r="X671" i="4" s="1"/>
  <c r="J690" i="4"/>
  <c r="L690" i="4"/>
  <c r="N690" i="4"/>
  <c r="P690" i="4"/>
  <c r="R690" i="4"/>
  <c r="T690" i="4"/>
  <c r="V690" i="4"/>
  <c r="X690" i="4"/>
  <c r="X713" i="4" s="1"/>
  <c r="J691" i="4"/>
  <c r="L691" i="4"/>
  <c r="N691" i="4"/>
  <c r="P691" i="4"/>
  <c r="R691" i="4"/>
  <c r="T691" i="4"/>
  <c r="V691" i="4"/>
  <c r="X691" i="4"/>
  <c r="R693" i="4"/>
  <c r="T693" i="4"/>
  <c r="V693" i="4"/>
  <c r="X693" i="4"/>
  <c r="R694" i="4"/>
  <c r="T694" i="4"/>
  <c r="V694" i="4"/>
  <c r="X694" i="4"/>
  <c r="R695" i="4"/>
  <c r="T695" i="4"/>
  <c r="V695" i="4"/>
  <c r="X695" i="4"/>
  <c r="J704" i="4"/>
  <c r="L704" i="4"/>
  <c r="N704" i="4"/>
  <c r="P704" i="4"/>
  <c r="R704" i="4"/>
  <c r="T704" i="4"/>
  <c r="V704" i="4"/>
  <c r="X704" i="4"/>
  <c r="J705" i="4"/>
  <c r="L705" i="4"/>
  <c r="N705" i="4"/>
  <c r="P705" i="4"/>
  <c r="R705" i="4"/>
  <c r="T705" i="4"/>
  <c r="V705" i="4"/>
  <c r="X705" i="4"/>
  <c r="R706" i="4"/>
  <c r="T706" i="4"/>
  <c r="V706" i="4"/>
  <c r="X706" i="4"/>
  <c r="R707" i="4"/>
  <c r="T707" i="4"/>
  <c r="V707" i="4"/>
  <c r="X707" i="4"/>
  <c r="R708" i="4"/>
  <c r="T708" i="4"/>
  <c r="V708" i="4"/>
  <c r="X708" i="4"/>
  <c r="R709" i="4"/>
  <c r="T709" i="4"/>
  <c r="V709" i="4"/>
  <c r="X709" i="4"/>
  <c r="P713" i="4"/>
  <c r="T713" i="4"/>
  <c r="N744" i="4"/>
  <c r="R744" i="4"/>
  <c r="V744" i="4"/>
  <c r="N762" i="4"/>
  <c r="R762" i="4"/>
  <c r="V762" i="4"/>
  <c r="P767" i="4"/>
  <c r="P769" i="4" s="1"/>
  <c r="T767" i="4"/>
  <c r="X767" i="4"/>
  <c r="X769" i="4" s="1"/>
  <c r="T769" i="4"/>
  <c r="N795" i="4"/>
  <c r="P795" i="4" s="1"/>
  <c r="R795" i="4"/>
  <c r="T795" i="4"/>
  <c r="V795" i="4"/>
  <c r="X795" i="4" s="1"/>
  <c r="N815" i="4"/>
  <c r="P815" i="4"/>
  <c r="R815" i="4"/>
  <c r="T815" i="4" s="1"/>
  <c r="V815" i="4"/>
  <c r="X815" i="4"/>
  <c r="P820" i="4"/>
  <c r="P822" i="4" s="1"/>
  <c r="X820" i="4"/>
  <c r="X822" i="4" s="1"/>
  <c r="N848" i="4"/>
  <c r="P848" i="4"/>
  <c r="R848" i="4"/>
  <c r="T848" i="4" s="1"/>
  <c r="V848" i="4"/>
  <c r="X848" i="4"/>
  <c r="N868" i="4"/>
  <c r="P868" i="4" s="1"/>
  <c r="R868" i="4"/>
  <c r="T868" i="4"/>
  <c r="T873" i="4" s="1"/>
  <c r="T875" i="4" s="1"/>
  <c r="V868" i="4"/>
  <c r="X868" i="4" s="1"/>
  <c r="P873" i="4"/>
  <c r="P875" i="4" s="1"/>
  <c r="V24" i="1"/>
  <c r="V23" i="1" s="1"/>
  <c r="U32" i="1"/>
  <c r="V24" i="2"/>
  <c r="V23" i="2" s="1"/>
  <c r="U32" i="2"/>
  <c r="V32" i="2"/>
  <c r="U44" i="2"/>
  <c r="V44" i="2"/>
  <c r="U48" i="2"/>
  <c r="V48" i="2"/>
  <c r="X533" i="4" l="1"/>
  <c r="V545" i="4"/>
  <c r="X545" i="4" s="1"/>
  <c r="X368" i="4"/>
  <c r="X394" i="4"/>
  <c r="X359" i="4" s="1"/>
  <c r="V406" i="4"/>
  <c r="X406" i="4" s="1"/>
  <c r="X371" i="4" s="1"/>
  <c r="X358" i="4"/>
  <c r="X413" i="4"/>
  <c r="P392" i="4"/>
  <c r="P357" i="4" s="1"/>
  <c r="N404" i="4"/>
  <c r="P404" i="4" s="1"/>
  <c r="P369" i="4" s="1"/>
  <c r="P356" i="4"/>
  <c r="P475" i="4"/>
  <c r="T465" i="4"/>
  <c r="X519" i="4"/>
  <c r="X462" i="4"/>
  <c r="T429" i="4"/>
  <c r="R441" i="4"/>
  <c r="T441" i="4" s="1"/>
  <c r="T371" i="4" s="1"/>
  <c r="X426" i="4"/>
  <c r="V438" i="4"/>
  <c r="X438" i="4" s="1"/>
  <c r="U44" i="1"/>
  <c r="V32" i="1"/>
  <c r="L713" i="4"/>
  <c r="L715" i="4" s="1"/>
  <c r="P255" i="4"/>
  <c r="P221" i="4" s="1"/>
  <c r="N267" i="4"/>
  <c r="P267" i="4" s="1"/>
  <c r="T252" i="4"/>
  <c r="R264" i="4"/>
  <c r="T264" i="4" s="1"/>
  <c r="T230" i="4" s="1"/>
  <c r="X873" i="4"/>
  <c r="X875" i="4" s="1"/>
  <c r="V668" i="4"/>
  <c r="X668" i="4" s="1"/>
  <c r="L626" i="4"/>
  <c r="X343" i="4"/>
  <c r="X345" i="4" s="1"/>
  <c r="T343" i="4"/>
  <c r="T345" i="4" s="1"/>
  <c r="T820" i="4"/>
  <c r="T822" i="4" s="1"/>
  <c r="L627" i="4"/>
  <c r="L611" i="4"/>
  <c r="L610" i="4"/>
  <c r="L675" i="4"/>
  <c r="X475" i="4"/>
  <c r="T462" i="4"/>
  <c r="T519" i="4"/>
  <c r="P233" i="4"/>
  <c r="P289" i="4"/>
  <c r="P220" i="4" s="1"/>
  <c r="N301" i="4"/>
  <c r="P301" i="4" s="1"/>
  <c r="P232" i="4" s="1"/>
  <c r="P219" i="4"/>
  <c r="X255" i="4"/>
  <c r="X221" i="4" s="1"/>
  <c r="V267" i="4"/>
  <c r="X267" i="4" s="1"/>
  <c r="X233" i="4" s="1"/>
  <c r="P253" i="4"/>
  <c r="P274" i="4" s="1"/>
  <c r="P276" i="4" s="1"/>
  <c r="N265" i="4"/>
  <c r="P265" i="4" s="1"/>
  <c r="P231" i="4" s="1"/>
  <c r="T656" i="4"/>
  <c r="R669" i="4"/>
  <c r="T669" i="4" s="1"/>
  <c r="X653" i="4"/>
  <c r="V667" i="4"/>
  <c r="X667" i="4" s="1"/>
  <c r="X675" i="4"/>
  <c r="N590" i="4"/>
  <c r="N591" i="4"/>
  <c r="X535" i="4"/>
  <c r="V547" i="4"/>
  <c r="X547" i="4" s="1"/>
  <c r="X554" i="4" s="1"/>
  <c r="X556" i="4" s="1"/>
  <c r="P533" i="4"/>
  <c r="P463" i="4" s="1"/>
  <c r="N545" i="4"/>
  <c r="P545" i="4" s="1"/>
  <c r="P394" i="4"/>
  <c r="P359" i="4" s="1"/>
  <c r="N406" i="4"/>
  <c r="P406" i="4" s="1"/>
  <c r="P371" i="4" s="1"/>
  <c r="T391" i="4"/>
  <c r="R403" i="4"/>
  <c r="T403" i="4" s="1"/>
  <c r="T368" i="4" s="1"/>
  <c r="X289" i="4"/>
  <c r="X220" i="4" s="1"/>
  <c r="V301" i="4"/>
  <c r="X301" i="4" s="1"/>
  <c r="X232" i="4" s="1"/>
  <c r="X219" i="4"/>
  <c r="P287" i="4"/>
  <c r="N299" i="4"/>
  <c r="P299" i="4" s="1"/>
  <c r="P230" i="4" s="1"/>
  <c r="L583" i="4"/>
  <c r="L595" i="4" s="1"/>
  <c r="L597" i="4" s="1"/>
  <c r="J590" i="4"/>
  <c r="L590" i="4" s="1"/>
  <c r="J591" i="4"/>
  <c r="L591" i="4" s="1"/>
  <c r="T476" i="4"/>
  <c r="X465" i="4"/>
  <c r="P448" i="4"/>
  <c r="P450" i="4" s="1"/>
  <c r="T427" i="4"/>
  <c r="T448" i="4" s="1"/>
  <c r="T450" i="4" s="1"/>
  <c r="R439" i="4"/>
  <c r="T439" i="4" s="1"/>
  <c r="T369" i="4" s="1"/>
  <c r="X369" i="4"/>
  <c r="T359" i="4"/>
  <c r="X356" i="4"/>
  <c r="T220" i="4"/>
  <c r="X309" i="4"/>
  <c r="X218" i="4"/>
  <c r="X274" i="4"/>
  <c r="X276" i="4" s="1"/>
  <c r="R666" i="4"/>
  <c r="T666" i="4" s="1"/>
  <c r="P652" i="4"/>
  <c r="N653" i="4"/>
  <c r="T554" i="4"/>
  <c r="T556" i="4" s="1"/>
  <c r="P477" i="4"/>
  <c r="T475" i="4"/>
  <c r="T474" i="4"/>
  <c r="X464" i="4"/>
  <c r="X463" i="4"/>
  <c r="P462" i="4"/>
  <c r="P519" i="4"/>
  <c r="T357" i="4"/>
  <c r="X231" i="4"/>
  <c r="T219" i="4"/>
  <c r="T309" i="4"/>
  <c r="T218" i="4"/>
  <c r="P370" i="4"/>
  <c r="X357" i="4"/>
  <c r="X370" i="4"/>
  <c r="P368" i="4"/>
  <c r="T358" i="4"/>
  <c r="P343" i="4"/>
  <c r="P345" i="4" s="1"/>
  <c r="X240" i="4" l="1"/>
  <c r="X242" i="4" s="1"/>
  <c r="X311" i="4"/>
  <c r="L677" i="4"/>
  <c r="L635" i="4"/>
  <c r="L637" i="4" s="1"/>
  <c r="V44" i="1"/>
  <c r="U48" i="1"/>
  <c r="V48" i="1" s="1"/>
  <c r="P413" i="4"/>
  <c r="P218" i="4"/>
  <c r="P309" i="4"/>
  <c r="P554" i="4"/>
  <c r="P556" i="4" s="1"/>
  <c r="T274" i="4"/>
  <c r="T276" i="4" s="1"/>
  <c r="X477" i="4"/>
  <c r="L1277" i="4"/>
  <c r="Q23" i="2"/>
  <c r="Q23" i="1"/>
  <c r="X415" i="4"/>
  <c r="T675" i="4"/>
  <c r="T484" i="4"/>
  <c r="T486" i="4" s="1"/>
  <c r="T521" i="4"/>
  <c r="T311" i="4"/>
  <c r="T240" i="4"/>
  <c r="T242" i="4" s="1"/>
  <c r="P521" i="4"/>
  <c r="P653" i="4"/>
  <c r="P675" i="4" s="1"/>
  <c r="N667" i="4"/>
  <c r="P667" i="4" s="1"/>
  <c r="T356" i="4"/>
  <c r="T413" i="4"/>
  <c r="X448" i="4"/>
  <c r="X378" i="4" s="1"/>
  <c r="X380" i="4" s="1"/>
  <c r="X521" i="4"/>
  <c r="X484" i="4"/>
  <c r="X486" i="4" s="1"/>
  <c r="L1280" i="4" l="1"/>
  <c r="Z1278" i="4"/>
  <c r="T415" i="4"/>
  <c r="T378" i="4"/>
  <c r="T380" i="4" s="1"/>
  <c r="P311" i="4"/>
  <c r="P240" i="4"/>
  <c r="P242" i="4" s="1"/>
  <c r="P484" i="4"/>
  <c r="P486" i="4" s="1"/>
  <c r="X450" i="4"/>
  <c r="X363" i="4"/>
  <c r="Q32" i="2"/>
  <c r="Q44" i="2" s="1"/>
  <c r="P415" i="4"/>
  <c r="P378" i="4"/>
  <c r="P380" i="4" s="1"/>
  <c r="AA640" i="4"/>
  <c r="Y640" i="4"/>
  <c r="Z640" i="4"/>
  <c r="T636" i="4" s="1"/>
  <c r="Q24" i="2"/>
  <c r="Q24" i="1"/>
  <c r="Z638" i="4"/>
  <c r="P636" i="4" l="1"/>
  <c r="X636" i="4"/>
  <c r="T637" i="4"/>
  <c r="T1277" i="4" s="1"/>
  <c r="T1280" i="4" s="1"/>
  <c r="T676" i="4"/>
  <c r="T677" i="4" s="1"/>
  <c r="T714" i="4"/>
  <c r="T715" i="4" s="1"/>
  <c r="AB22" i="2"/>
  <c r="AB36" i="2"/>
  <c r="W36" i="2" s="1"/>
  <c r="AB38" i="2"/>
  <c r="W38" i="2" s="1"/>
  <c r="Q48" i="2"/>
  <c r="AB16" i="2"/>
  <c r="AB29" i="2"/>
  <c r="W29" i="2" s="1"/>
  <c r="AB27" i="2"/>
  <c r="AB35" i="2"/>
  <c r="W35" i="2" s="1"/>
  <c r="AB39" i="2"/>
  <c r="W39" i="2" s="1"/>
  <c r="AB28" i="2"/>
  <c r="AB25" i="2"/>
  <c r="AB37" i="2"/>
  <c r="W37" i="2" s="1"/>
  <c r="AD24" i="1"/>
  <c r="AB24" i="2"/>
  <c r="Q32" i="1"/>
  <c r="Q27" i="10" l="1"/>
  <c r="Q18" i="10" s="1"/>
  <c r="R27" i="12"/>
  <c r="R18" i="12" s="1"/>
  <c r="Q27" i="11"/>
  <c r="Q18" i="11" s="1"/>
  <c r="AB26" i="2"/>
  <c r="W26" i="2" s="1"/>
  <c r="W27" i="2"/>
  <c r="Q44" i="1"/>
  <c r="AD32" i="1"/>
  <c r="S29" i="2"/>
  <c r="Z29" i="2"/>
  <c r="Y29" i="2"/>
  <c r="X29" i="2"/>
  <c r="U29" i="3"/>
  <c r="U36" i="3"/>
  <c r="X36" i="2"/>
  <c r="Z36" i="2"/>
  <c r="Y36" i="2"/>
  <c r="S36" i="2"/>
  <c r="Y39" i="2"/>
  <c r="S39" i="2"/>
  <c r="Z39" i="2"/>
  <c r="X39" i="2"/>
  <c r="U39" i="3"/>
  <c r="Y19" i="5"/>
  <c r="W16" i="2"/>
  <c r="AA32" i="7"/>
  <c r="W22" i="2"/>
  <c r="X676" i="4"/>
  <c r="X677" i="4" s="1"/>
  <c r="X714" i="4"/>
  <c r="X715" i="4" s="1"/>
  <c r="X637" i="4"/>
  <c r="X1277" i="4" s="1"/>
  <c r="X1280" i="4" s="1"/>
  <c r="V30" i="9"/>
  <c r="V14" i="9" s="1"/>
  <c r="W25" i="2"/>
  <c r="U38" i="3"/>
  <c r="X38" i="2"/>
  <c r="S38" i="2"/>
  <c r="Y38" i="2"/>
  <c r="Z38" i="2"/>
  <c r="R29" i="8"/>
  <c r="AB23" i="2"/>
  <c r="W23" i="2" s="1"/>
  <c r="W24" i="2"/>
  <c r="Y37" i="2"/>
  <c r="S37" i="2"/>
  <c r="Z37" i="2"/>
  <c r="U37" i="3"/>
  <c r="X37" i="2"/>
  <c r="Y35" i="2"/>
  <c r="W42" i="2"/>
  <c r="S35" i="2"/>
  <c r="S42" i="2" s="1"/>
  <c r="Z35" i="2"/>
  <c r="X35" i="2"/>
  <c r="U35" i="3"/>
  <c r="P714" i="4"/>
  <c r="P715" i="4" s="1"/>
  <c r="P676" i="4"/>
  <c r="P677" i="4" s="1"/>
  <c r="P637" i="4"/>
  <c r="P1277" i="4" s="1"/>
  <c r="P1280" i="4" s="1"/>
  <c r="AF38" i="3" l="1"/>
  <c r="V38" i="3"/>
  <c r="Q38" i="3"/>
  <c r="S16" i="2"/>
  <c r="S19" i="2" s="1"/>
  <c r="Z16" i="2"/>
  <c r="W19" i="2"/>
  <c r="U16" i="3"/>
  <c r="X16" i="2"/>
  <c r="Y16" i="2"/>
  <c r="Q37" i="3"/>
  <c r="AF37" i="3"/>
  <c r="V37" i="3"/>
  <c r="U25" i="3"/>
  <c r="Y25" i="2"/>
  <c r="S25" i="2"/>
  <c r="Z25" i="2"/>
  <c r="X25" i="2"/>
  <c r="Y9" i="5"/>
  <c r="Y10" i="5"/>
  <c r="U42" i="3"/>
  <c r="Q35" i="3"/>
  <c r="AF35" i="3"/>
  <c r="V35" i="3"/>
  <c r="W44" i="2"/>
  <c r="X42" i="2"/>
  <c r="Z42" i="2"/>
  <c r="Y42" i="2"/>
  <c r="U23" i="3"/>
  <c r="Y23" i="2"/>
  <c r="S23" i="2"/>
  <c r="K18" i="9"/>
  <c r="O18" i="9" s="1"/>
  <c r="K20" i="9"/>
  <c r="O20" i="9" s="1"/>
  <c r="K24" i="9"/>
  <c r="O24" i="9" s="1"/>
  <c r="K27" i="9"/>
  <c r="O27" i="9" s="1"/>
  <c r="K29" i="9"/>
  <c r="O29" i="9" s="1"/>
  <c r="K31" i="9"/>
  <c r="O31" i="9" s="1"/>
  <c r="K33" i="9"/>
  <c r="O33" i="9" s="1"/>
  <c r="K23" i="9"/>
  <c r="O23" i="9" s="1"/>
  <c r="K28" i="9"/>
  <c r="O28" i="9" s="1"/>
  <c r="K19" i="9"/>
  <c r="O19" i="9" s="1"/>
  <c r="K32" i="9"/>
  <c r="O32" i="9" s="1"/>
  <c r="K25" i="9"/>
  <c r="O25" i="9" s="1"/>
  <c r="U22" i="3"/>
  <c r="X22" i="2"/>
  <c r="Z22" i="2"/>
  <c r="W32" i="2"/>
  <c r="Y22" i="2"/>
  <c r="S22" i="2"/>
  <c r="Q39" i="3"/>
  <c r="V39" i="3"/>
  <c r="AF39" i="3"/>
  <c r="AB25" i="1"/>
  <c r="W25" i="1" s="1"/>
  <c r="AB27" i="1"/>
  <c r="W27" i="1" s="1"/>
  <c r="AD44" i="1"/>
  <c r="AB22" i="1"/>
  <c r="W22" i="1" s="1"/>
  <c r="AB28" i="1"/>
  <c r="AB35" i="1"/>
  <c r="W35" i="1" s="1"/>
  <c r="AB37" i="1"/>
  <c r="W37" i="1" s="1"/>
  <c r="AB39" i="1"/>
  <c r="W39" i="1" s="1"/>
  <c r="Q48" i="1"/>
  <c r="AD48" i="1" s="1"/>
  <c r="AB36" i="1"/>
  <c r="W36" i="1" s="1"/>
  <c r="AB44" i="1"/>
  <c r="AB29" i="1"/>
  <c r="W29" i="1" s="1"/>
  <c r="AB38" i="1"/>
  <c r="W38" i="1" s="1"/>
  <c r="AB26" i="1"/>
  <c r="W26" i="1" s="1"/>
  <c r="AB16" i="1"/>
  <c r="W16" i="1" s="1"/>
  <c r="AB24" i="1"/>
  <c r="I16" i="12"/>
  <c r="K16" i="12" s="1"/>
  <c r="I20" i="12"/>
  <c r="K20" i="12" s="1"/>
  <c r="I23" i="12"/>
  <c r="K23" i="12" s="1"/>
  <c r="I25" i="12"/>
  <c r="K25" i="12" s="1"/>
  <c r="I29" i="12"/>
  <c r="K29" i="12" s="1"/>
  <c r="I15" i="12"/>
  <c r="K15" i="12" s="1"/>
  <c r="I19" i="12"/>
  <c r="K19" i="12" s="1"/>
  <c r="I24" i="12"/>
  <c r="K24" i="12" s="1"/>
  <c r="U18" i="12"/>
  <c r="I28" i="12"/>
  <c r="K28" i="12" s="1"/>
  <c r="I21" i="12"/>
  <c r="K21" i="12" s="1"/>
  <c r="I27" i="12"/>
  <c r="K27" i="12" s="1"/>
  <c r="I17" i="12"/>
  <c r="K17" i="12" s="1"/>
  <c r="V29" i="3"/>
  <c r="AF29" i="3"/>
  <c r="Q29" i="3"/>
  <c r="X26" i="2"/>
  <c r="S26" i="2"/>
  <c r="Y26" i="2"/>
  <c r="U26" i="3"/>
  <c r="Z26" i="2"/>
  <c r="X24" i="2"/>
  <c r="X23" i="2" s="1"/>
  <c r="Z24" i="2"/>
  <c r="Z23" i="2" s="1"/>
  <c r="U24" i="3"/>
  <c r="Y24" i="2"/>
  <c r="S24" i="2"/>
  <c r="I16" i="11"/>
  <c r="K16" i="11" s="1"/>
  <c r="I20" i="11"/>
  <c r="K20" i="11" s="1"/>
  <c r="I23" i="11"/>
  <c r="K23" i="11" s="1"/>
  <c r="I25" i="11"/>
  <c r="K25" i="11" s="1"/>
  <c r="I29" i="11"/>
  <c r="K29" i="11" s="1"/>
  <c r="I17" i="11"/>
  <c r="K17" i="11" s="1"/>
  <c r="I21" i="11"/>
  <c r="K21" i="11" s="1"/>
  <c r="I27" i="11"/>
  <c r="K27" i="11" s="1"/>
  <c r="T18" i="11"/>
  <c r="I28" i="11"/>
  <c r="K28" i="11" s="1"/>
  <c r="I19" i="11"/>
  <c r="K19" i="11" s="1"/>
  <c r="I15" i="11"/>
  <c r="K15" i="11" s="1"/>
  <c r="I24" i="11"/>
  <c r="K24" i="11" s="1"/>
  <c r="R19" i="8"/>
  <c r="R20" i="8"/>
  <c r="U20" i="8" s="1"/>
  <c r="AA21" i="7"/>
  <c r="AA23" i="7"/>
  <c r="AB23" i="7" s="1"/>
  <c r="AA22" i="7"/>
  <c r="AB22" i="7" s="1"/>
  <c r="AF36" i="3"/>
  <c r="V36" i="3"/>
  <c r="Q36" i="3"/>
  <c r="U27" i="3"/>
  <c r="Y27" i="2"/>
  <c r="S27" i="2"/>
  <c r="Z27" i="2"/>
  <c r="X27" i="2"/>
  <c r="I16" i="10"/>
  <c r="K16" i="10" s="1"/>
  <c r="I20" i="10"/>
  <c r="K20" i="10" s="1"/>
  <c r="I23" i="10"/>
  <c r="K23" i="10" s="1"/>
  <c r="I25" i="10"/>
  <c r="K25" i="10" s="1"/>
  <c r="I29" i="10"/>
  <c r="K29" i="10" s="1"/>
  <c r="I17" i="10"/>
  <c r="K17" i="10" s="1"/>
  <c r="I21" i="10"/>
  <c r="K21" i="10" s="1"/>
  <c r="I27" i="10"/>
  <c r="K27" i="10" s="1"/>
  <c r="I19" i="10"/>
  <c r="K19" i="10" s="1"/>
  <c r="I24" i="10"/>
  <c r="K24" i="10" s="1"/>
  <c r="I28" i="10"/>
  <c r="K28" i="10" s="1"/>
  <c r="I15" i="10"/>
  <c r="K15" i="10" s="1"/>
  <c r="T18" i="10"/>
  <c r="AF26" i="3" l="1"/>
  <c r="Q26" i="3"/>
  <c r="V26" i="3"/>
  <c r="X38" i="1"/>
  <c r="Y38" i="1"/>
  <c r="Z38" i="1" s="1"/>
  <c r="S38" i="1"/>
  <c r="X25" i="1"/>
  <c r="S25" i="1"/>
  <c r="Y25" i="1"/>
  <c r="Z25" i="1" s="1"/>
  <c r="AD39" i="3"/>
  <c r="AD38" i="3"/>
  <c r="K15" i="7"/>
  <c r="K18" i="7"/>
  <c r="K20" i="7"/>
  <c r="K22" i="7"/>
  <c r="K23" i="7"/>
  <c r="K24" i="7"/>
  <c r="K27" i="7"/>
  <c r="K14" i="7"/>
  <c r="K19" i="7"/>
  <c r="K28" i="7"/>
  <c r="K31" i="7"/>
  <c r="K30" i="7"/>
  <c r="AB21" i="7"/>
  <c r="K16" i="7"/>
  <c r="K32" i="7"/>
  <c r="K26" i="7"/>
  <c r="AB23" i="1"/>
  <c r="W23" i="1" s="1"/>
  <c r="W24" i="1"/>
  <c r="S39" i="1"/>
  <c r="Y39" i="1"/>
  <c r="Z39" i="1" s="1"/>
  <c r="X39" i="1"/>
  <c r="S32" i="2"/>
  <c r="S44" i="2" s="1"/>
  <c r="S48" i="2" s="1"/>
  <c r="Q23" i="3"/>
  <c r="AF25" i="3"/>
  <c r="Q25" i="3"/>
  <c r="V25" i="3"/>
  <c r="T33" i="9" s="1"/>
  <c r="X19" i="2"/>
  <c r="Y19" i="2"/>
  <c r="Z19" i="2"/>
  <c r="AF27" i="3"/>
  <c r="Q27" i="3"/>
  <c r="V27" i="3"/>
  <c r="Y16" i="1"/>
  <c r="Z16" i="1" s="1"/>
  <c r="W19" i="1"/>
  <c r="S16" i="1"/>
  <c r="S19" i="1" s="1"/>
  <c r="X16" i="1"/>
  <c r="S37" i="1"/>
  <c r="X37" i="1"/>
  <c r="Y37" i="1"/>
  <c r="Z37" i="1" s="1"/>
  <c r="AF22" i="3"/>
  <c r="Q22" i="3"/>
  <c r="V22" i="3"/>
  <c r="X34" i="7" s="1"/>
  <c r="U32" i="3"/>
  <c r="V42" i="3"/>
  <c r="AF42" i="3"/>
  <c r="L10" i="5"/>
  <c r="L12" i="5"/>
  <c r="L17" i="5"/>
  <c r="L21" i="5"/>
  <c r="L25" i="5"/>
  <c r="L29" i="5"/>
  <c r="Y9" i="6"/>
  <c r="AA9" i="5"/>
  <c r="L11" i="5"/>
  <c r="L16" i="5"/>
  <c r="L20" i="5"/>
  <c r="L23" i="5"/>
  <c r="L28" i="5"/>
  <c r="L33" i="5"/>
  <c r="L27" i="5"/>
  <c r="L14" i="5"/>
  <c r="L31" i="5"/>
  <c r="L32" i="5"/>
  <c r="L19" i="5"/>
  <c r="L22" i="5"/>
  <c r="L26" i="5"/>
  <c r="L15" i="5"/>
  <c r="Q16" i="3"/>
  <c r="V16" i="3"/>
  <c r="W22" i="5" s="1"/>
  <c r="W30" i="6" s="1"/>
  <c r="AF16" i="3"/>
  <c r="U19" i="3"/>
  <c r="U44" i="3" s="1"/>
  <c r="AD29" i="3"/>
  <c r="X29" i="1"/>
  <c r="Y29" i="1"/>
  <c r="Z29" i="1" s="1"/>
  <c r="S29" i="1"/>
  <c r="S22" i="1"/>
  <c r="W32" i="1"/>
  <c r="X22" i="1"/>
  <c r="Y22" i="1"/>
  <c r="Z22" i="1" s="1"/>
  <c r="W48" i="2"/>
  <c r="X48" i="2" s="1"/>
  <c r="X44" i="2"/>
  <c r="Z44" i="2"/>
  <c r="Y44" i="2"/>
  <c r="AD35" i="3"/>
  <c r="Q42" i="3"/>
  <c r="AD37" i="3"/>
  <c r="AD36" i="3"/>
  <c r="I30" i="8"/>
  <c r="K30" i="8" s="1"/>
  <c r="I32" i="8"/>
  <c r="K32" i="8" s="1"/>
  <c r="I15" i="8"/>
  <c r="K15" i="8" s="1"/>
  <c r="I18" i="8"/>
  <c r="K18" i="8" s="1"/>
  <c r="I19" i="8"/>
  <c r="K19" i="8" s="1"/>
  <c r="I20" i="8"/>
  <c r="K20" i="8" s="1"/>
  <c r="I22" i="8"/>
  <c r="K22" i="8" s="1"/>
  <c r="I24" i="8"/>
  <c r="K24" i="8" s="1"/>
  <c r="I27" i="8"/>
  <c r="K27" i="8" s="1"/>
  <c r="I34" i="8"/>
  <c r="K34" i="8" s="1"/>
  <c r="I36" i="8"/>
  <c r="K36" i="8" s="1"/>
  <c r="I39" i="8"/>
  <c r="K39" i="8" s="1"/>
  <c r="I31" i="8"/>
  <c r="K31" i="8" s="1"/>
  <c r="I16" i="8"/>
  <c r="K16" i="8" s="1"/>
  <c r="I23" i="8"/>
  <c r="K23" i="8" s="1"/>
  <c r="I28" i="8"/>
  <c r="K28" i="8" s="1"/>
  <c r="I38" i="8"/>
  <c r="K38" i="8" s="1"/>
  <c r="I26" i="8"/>
  <c r="K26" i="8" s="1"/>
  <c r="I35" i="8"/>
  <c r="K35" i="8" s="1"/>
  <c r="U19" i="8"/>
  <c r="I40" i="8"/>
  <c r="K40" i="8" s="1"/>
  <c r="I14" i="8"/>
  <c r="K14" i="8" s="1"/>
  <c r="V24" i="3"/>
  <c r="AF24" i="3"/>
  <c r="Q24" i="3"/>
  <c r="Y26" i="1"/>
  <c r="Z26" i="1" s="1"/>
  <c r="S26" i="1"/>
  <c r="X26" i="1"/>
  <c r="X36" i="1"/>
  <c r="Y36" i="1"/>
  <c r="Z36" i="1" s="1"/>
  <c r="S36" i="1"/>
  <c r="S35" i="1"/>
  <c r="Y35" i="1"/>
  <c r="Z35" i="1" s="1"/>
  <c r="X35" i="1"/>
  <c r="W42" i="1"/>
  <c r="X27" i="1"/>
  <c r="S27" i="1"/>
  <c r="Y27" i="1"/>
  <c r="Z27" i="1" s="1"/>
  <c r="Y32" i="2"/>
  <c r="X32" i="2"/>
  <c r="Y10" i="6"/>
  <c r="AA10" i="6" s="1"/>
  <c r="AA10" i="5"/>
  <c r="AF44" i="3" l="1"/>
  <c r="V44" i="3"/>
  <c r="U48" i="3"/>
  <c r="R19" i="5"/>
  <c r="P19" i="5"/>
  <c r="T19" i="5"/>
  <c r="N19" i="5"/>
  <c r="P27" i="5"/>
  <c r="N27" i="5"/>
  <c r="T27" i="5"/>
  <c r="R27" i="5"/>
  <c r="N20" i="5"/>
  <c r="T20" i="5"/>
  <c r="R20" i="5"/>
  <c r="P20" i="5"/>
  <c r="L15" i="6"/>
  <c r="L20" i="6"/>
  <c r="L25" i="6"/>
  <c r="L29" i="6"/>
  <c r="L33" i="6"/>
  <c r="L14" i="6"/>
  <c r="L19" i="6"/>
  <c r="L23" i="6"/>
  <c r="L28" i="6"/>
  <c r="L32" i="6"/>
  <c r="L10" i="6"/>
  <c r="L17" i="6"/>
  <c r="L27" i="6"/>
  <c r="L31" i="6"/>
  <c r="AA9" i="6"/>
  <c r="L11" i="6"/>
  <c r="L21" i="6"/>
  <c r="L22" i="6"/>
  <c r="L16" i="6"/>
  <c r="L12" i="6"/>
  <c r="L26" i="6"/>
  <c r="T17" i="5"/>
  <c r="R17" i="5"/>
  <c r="P17" i="5"/>
  <c r="N17" i="5"/>
  <c r="AD27" i="3"/>
  <c r="Y24" i="1"/>
  <c r="Z24" i="1" s="1"/>
  <c r="X24" i="1"/>
  <c r="X23" i="1" s="1"/>
  <c r="Z23" i="1" s="1"/>
  <c r="S24" i="1"/>
  <c r="S32" i="1" s="1"/>
  <c r="O16" i="7"/>
  <c r="S16" i="7"/>
  <c r="S28" i="7"/>
  <c r="O28" i="7"/>
  <c r="S24" i="7"/>
  <c r="O24" i="7"/>
  <c r="S18" i="7"/>
  <c r="O18" i="7"/>
  <c r="X42" i="1"/>
  <c r="Y42" i="1"/>
  <c r="Z42" i="1" s="1"/>
  <c r="W44" i="1"/>
  <c r="AD42" i="3"/>
  <c r="AD16" i="3"/>
  <c r="Q19" i="3"/>
  <c r="AD19" i="3" s="1"/>
  <c r="O32" i="8"/>
  <c r="V23" i="3"/>
  <c r="X32" i="1"/>
  <c r="Y32" i="1"/>
  <c r="V19" i="3"/>
  <c r="AF19" i="3"/>
  <c r="P15" i="5"/>
  <c r="N15" i="5"/>
  <c r="T15" i="5"/>
  <c r="R15" i="5"/>
  <c r="P32" i="5"/>
  <c r="N32" i="5"/>
  <c r="T32" i="5"/>
  <c r="R32" i="5"/>
  <c r="N33" i="5"/>
  <c r="T33" i="5"/>
  <c r="P33" i="5"/>
  <c r="R33" i="5"/>
  <c r="N16" i="5"/>
  <c r="T16" i="5"/>
  <c r="R16" i="5"/>
  <c r="P16" i="5"/>
  <c r="T29" i="5"/>
  <c r="R29" i="5"/>
  <c r="N29" i="5"/>
  <c r="P29" i="5"/>
  <c r="T12" i="5"/>
  <c r="R12" i="5"/>
  <c r="P12" i="5"/>
  <c r="N12" i="5"/>
  <c r="Q32" i="3"/>
  <c r="AD32" i="3" s="1"/>
  <c r="AD22" i="3"/>
  <c r="X19" i="1"/>
  <c r="Y19" i="1"/>
  <c r="Z19" i="1" s="1"/>
  <c r="Y23" i="1"/>
  <c r="S23" i="1"/>
  <c r="M15" i="7"/>
  <c r="M18" i="7"/>
  <c r="M20" i="7"/>
  <c r="M22" i="7"/>
  <c r="M23" i="7"/>
  <c r="M24" i="7"/>
  <c r="M27" i="7"/>
  <c r="M14" i="7"/>
  <c r="M19" i="7"/>
  <c r="M28" i="7"/>
  <c r="M31" i="7"/>
  <c r="M16" i="7"/>
  <c r="M26" i="7"/>
  <c r="M32" i="7"/>
  <c r="M30" i="7"/>
  <c r="O19" i="7"/>
  <c r="S19" i="7"/>
  <c r="S23" i="7"/>
  <c r="O23" i="7"/>
  <c r="S15" i="7"/>
  <c r="O15" i="7"/>
  <c r="AD24" i="3"/>
  <c r="R26" i="5"/>
  <c r="P26" i="5"/>
  <c r="T26" i="5"/>
  <c r="N26" i="5"/>
  <c r="R31" i="5"/>
  <c r="P31" i="5"/>
  <c r="N31" i="5"/>
  <c r="T31" i="5"/>
  <c r="N28" i="5"/>
  <c r="T28" i="5"/>
  <c r="R28" i="5"/>
  <c r="P28" i="5"/>
  <c r="N11" i="5"/>
  <c r="T11" i="5"/>
  <c r="R11" i="5"/>
  <c r="P11" i="5"/>
  <c r="T25" i="5"/>
  <c r="R25" i="5"/>
  <c r="P25" i="5"/>
  <c r="N25" i="5"/>
  <c r="T10" i="5"/>
  <c r="R10" i="5"/>
  <c r="P10" i="5"/>
  <c r="N10" i="5"/>
  <c r="O26" i="7"/>
  <c r="S26" i="7"/>
  <c r="O30" i="7"/>
  <c r="S30" i="7"/>
  <c r="O14" i="7"/>
  <c r="S14" i="7"/>
  <c r="S22" i="7"/>
  <c r="O22" i="7"/>
  <c r="AD26" i="3"/>
  <c r="S42" i="1"/>
  <c r="R22" i="5"/>
  <c r="P22" i="5"/>
  <c r="T22" i="5"/>
  <c r="N22" i="5"/>
  <c r="R14" i="5"/>
  <c r="P14" i="5"/>
  <c r="N14" i="5"/>
  <c r="T14" i="5"/>
  <c r="N23" i="5"/>
  <c r="T23" i="5"/>
  <c r="R23" i="5"/>
  <c r="P23" i="5"/>
  <c r="T21" i="5"/>
  <c r="R21" i="5"/>
  <c r="P21" i="5"/>
  <c r="N21" i="5"/>
  <c r="AF32" i="3"/>
  <c r="V32" i="3"/>
  <c r="N30" i="10"/>
  <c r="N30" i="12"/>
  <c r="N30" i="11"/>
  <c r="AD25" i="3"/>
  <c r="O32" i="7"/>
  <c r="S32" i="7"/>
  <c r="S31" i="7"/>
  <c r="O31" i="7"/>
  <c r="S27" i="7"/>
  <c r="O27" i="7"/>
  <c r="S20" i="7"/>
  <c r="O20" i="7"/>
  <c r="Q30" i="7" l="1"/>
  <c r="U30" i="7"/>
  <c r="U27" i="7"/>
  <c r="Q27" i="7"/>
  <c r="R16" i="6"/>
  <c r="P16" i="6"/>
  <c r="T16" i="6"/>
  <c r="N16" i="6"/>
  <c r="N19" i="6"/>
  <c r="T19" i="6"/>
  <c r="R19" i="6"/>
  <c r="P19" i="6"/>
  <c r="U24" i="7"/>
  <c r="Q24" i="7"/>
  <c r="Q16" i="7"/>
  <c r="U16" i="7"/>
  <c r="Q14" i="7"/>
  <c r="U14" i="7"/>
  <c r="U22" i="7"/>
  <c r="Q22" i="7"/>
  <c r="P12" i="6"/>
  <c r="N12" i="6"/>
  <c r="T12" i="6"/>
  <c r="R12" i="6"/>
  <c r="R11" i="6"/>
  <c r="P11" i="6"/>
  <c r="N11" i="6"/>
  <c r="T11" i="6"/>
  <c r="P17" i="6"/>
  <c r="N17" i="6"/>
  <c r="T17" i="6"/>
  <c r="R17" i="6"/>
  <c r="N23" i="6"/>
  <c r="T23" i="6"/>
  <c r="P23" i="6"/>
  <c r="R23" i="6"/>
  <c r="T29" i="6"/>
  <c r="R29" i="6"/>
  <c r="P29" i="6"/>
  <c r="N29" i="6"/>
  <c r="V48" i="3"/>
  <c r="AF48" i="3"/>
  <c r="S44" i="1"/>
  <c r="S48" i="1" s="1"/>
  <c r="U31" i="7"/>
  <c r="Q31" i="7"/>
  <c r="U20" i="7"/>
  <c r="Q20" i="7"/>
  <c r="P10" i="6"/>
  <c r="N10" i="6"/>
  <c r="T10" i="6"/>
  <c r="R10" i="6"/>
  <c r="T25" i="6"/>
  <c r="R25" i="6"/>
  <c r="P25" i="6"/>
  <c r="N25" i="6"/>
  <c r="Q32" i="7"/>
  <c r="U32" i="7"/>
  <c r="U28" i="7"/>
  <c r="Q28" i="7"/>
  <c r="U18" i="7"/>
  <c r="Q18" i="7"/>
  <c r="Q44" i="3"/>
  <c r="P22" i="6"/>
  <c r="N22" i="6"/>
  <c r="T22" i="6"/>
  <c r="R22" i="6"/>
  <c r="P31" i="6"/>
  <c r="N31" i="6"/>
  <c r="R31" i="6"/>
  <c r="T31" i="6"/>
  <c r="N32" i="6"/>
  <c r="T32" i="6"/>
  <c r="R32" i="6"/>
  <c r="P32" i="6"/>
  <c r="N14" i="6"/>
  <c r="T14" i="6"/>
  <c r="R14" i="6"/>
  <c r="P14" i="6"/>
  <c r="T20" i="6"/>
  <c r="R20" i="6"/>
  <c r="N20" i="6"/>
  <c r="P20" i="6"/>
  <c r="Q26" i="7"/>
  <c r="U26" i="7"/>
  <c r="Q19" i="7"/>
  <c r="U19" i="7"/>
  <c r="U23" i="7"/>
  <c r="Q23" i="7"/>
  <c r="U15" i="7"/>
  <c r="Q15" i="7"/>
  <c r="X44" i="1"/>
  <c r="W48" i="1"/>
  <c r="X48" i="1" s="1"/>
  <c r="Y44" i="1"/>
  <c r="Z44" i="1" s="1"/>
  <c r="R26" i="6"/>
  <c r="P26" i="6"/>
  <c r="T26" i="6"/>
  <c r="N26" i="6"/>
  <c r="R21" i="6"/>
  <c r="P21" i="6"/>
  <c r="N21" i="6"/>
  <c r="T21" i="6"/>
  <c r="P27" i="6"/>
  <c r="N27" i="6"/>
  <c r="R27" i="6"/>
  <c r="T27" i="6"/>
  <c r="N28" i="6"/>
  <c r="T28" i="6"/>
  <c r="R28" i="6"/>
  <c r="P28" i="6"/>
  <c r="T33" i="6"/>
  <c r="R33" i="6"/>
  <c r="P33" i="6"/>
  <c r="N33" i="6"/>
  <c r="T15" i="6"/>
  <c r="R15" i="6"/>
  <c r="P15" i="6"/>
  <c r="N15" i="6"/>
  <c r="AB28" i="3" l="1"/>
  <c r="AD44" i="3"/>
  <c r="Q48" i="3"/>
  <c r="AD48" i="3" s="1"/>
  <c r="AB44" i="3"/>
  <c r="AB38" i="3"/>
  <c r="W38" i="3" s="1"/>
  <c r="AB29" i="3"/>
  <c r="W29" i="3" s="1"/>
  <c r="AB37" i="3"/>
  <c r="W37" i="3" s="1"/>
  <c r="AB35" i="3"/>
  <c r="W35" i="3" s="1"/>
  <c r="AB39" i="3"/>
  <c r="W39" i="3" s="1"/>
  <c r="AB36" i="3"/>
  <c r="W36" i="3" s="1"/>
  <c r="AB16" i="3"/>
  <c r="W16" i="3" s="1"/>
  <c r="AB26" i="3"/>
  <c r="W26" i="3" s="1"/>
  <c r="AB27" i="3"/>
  <c r="W27" i="3" s="1"/>
  <c r="AB24" i="3"/>
  <c r="AB22" i="3"/>
  <c r="W22" i="3" s="1"/>
  <c r="AB25" i="3"/>
  <c r="W25" i="3" s="1"/>
  <c r="X25" i="3" l="1"/>
  <c r="Y25" i="3"/>
  <c r="Z25" i="3" s="1"/>
  <c r="X26" i="3"/>
  <c r="Y26" i="3"/>
  <c r="Z26" i="3" s="1"/>
  <c r="X35" i="3"/>
  <c r="W42" i="3"/>
  <c r="Y35" i="3"/>
  <c r="Z35" i="3" s="1"/>
  <c r="X22" i="3"/>
  <c r="Y22" i="3"/>
  <c r="Z22" i="3" s="1"/>
  <c r="X16" i="3"/>
  <c r="W19" i="3"/>
  <c r="Y16" i="3"/>
  <c r="Z16" i="3" s="1"/>
  <c r="X37" i="3"/>
  <c r="Y37" i="3"/>
  <c r="Z37" i="3" s="1"/>
  <c r="AB23" i="3"/>
  <c r="W23" i="3" s="1"/>
  <c r="Y23" i="3" s="1"/>
  <c r="W24" i="3"/>
  <c r="X36" i="3"/>
  <c r="Y36" i="3"/>
  <c r="Z36" i="3" s="1"/>
  <c r="X29" i="3"/>
  <c r="Y29" i="3"/>
  <c r="Z29" i="3" s="1"/>
  <c r="X27" i="3"/>
  <c r="Y27" i="3"/>
  <c r="Z27" i="3" s="1"/>
  <c r="X39" i="3"/>
  <c r="Y39" i="3"/>
  <c r="Z39" i="3" s="1"/>
  <c r="X38" i="3"/>
  <c r="Y38" i="3"/>
  <c r="Z38" i="3" s="1"/>
  <c r="X19" i="3" l="1"/>
  <c r="Y19" i="3"/>
  <c r="Z19" i="3" s="1"/>
  <c r="X42" i="3"/>
  <c r="Y42" i="3"/>
  <c r="Z42" i="3" s="1"/>
  <c r="X24" i="3"/>
  <c r="X23" i="3" s="1"/>
  <c r="Z23" i="3" s="1"/>
  <c r="Y24" i="3"/>
  <c r="Z24" i="3" s="1"/>
  <c r="W32" i="3"/>
  <c r="X32" i="3" l="1"/>
  <c r="Y32" i="3"/>
  <c r="W44" i="3"/>
  <c r="X44" i="3" l="1"/>
  <c r="W48" i="3"/>
  <c r="X48" i="3" s="1"/>
  <c r="Y44" i="3"/>
  <c r="Z44" i="3" s="1"/>
</calcChain>
</file>

<file path=xl/sharedStrings.xml><?xml version="1.0" encoding="utf-8"?>
<sst xmlns="http://schemas.openxmlformats.org/spreadsheetml/2006/main" count="4659" uniqueCount="486">
  <si>
    <t xml:space="preserve"> </t>
  </si>
  <si>
    <t>TABLE A. PRESENT AND PROPOSED RATES</t>
  </si>
  <si>
    <t>PACIFIC POWER &amp; LIGHT COMPANY</t>
  </si>
  <si>
    <t>ESTIMATED EFFECT OF PROPOSED BASE RATE INCREASE</t>
  </si>
  <si>
    <t>ON REVENUES FROM ELECTRIC SALES TO ULTIMATE CONSUMERS</t>
  </si>
  <si>
    <t>IN WASHINGTON</t>
  </si>
  <si>
    <t>12 MONTHS ENDED DECEMBER 2013</t>
  </si>
  <si>
    <t>Deferrals</t>
  </si>
  <si>
    <t>Actual</t>
  </si>
  <si>
    <t>Present</t>
  </si>
  <si>
    <t>Proposed</t>
  </si>
  <si>
    <t>Surcharge</t>
  </si>
  <si>
    <t>Curr.</t>
  </si>
  <si>
    <t>Avg.</t>
  </si>
  <si>
    <t>Base</t>
  </si>
  <si>
    <t>Net</t>
  </si>
  <si>
    <t>Change</t>
  </si>
  <si>
    <t>Line</t>
  </si>
  <si>
    <t>Sch.</t>
  </si>
  <si>
    <t>Cust.</t>
  </si>
  <si>
    <t>MWH</t>
  </si>
  <si>
    <t>Revenues</t>
  </si>
  <si>
    <t>Increase</t>
  </si>
  <si>
    <t>Rates</t>
  </si>
  <si>
    <t>No.</t>
  </si>
  <si>
    <t>Description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</si>
  <si>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</si>
  <si>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</si>
  <si>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</si>
  <si>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</si>
  <si>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</si>
  <si>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</si>
  <si>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</si>
  <si>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</si>
  <si>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</si>
  <si>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</si>
  <si>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</si>
  <si>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</si>
  <si>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</si>
  <si>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</si>
  <si>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</si>
  <si>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(7)/(5)</t>
  </si>
  <si>
    <t>(7)+(9)</t>
  </si>
  <si>
    <t>(11)/(5)</t>
  </si>
  <si>
    <t>(6/4)</t>
  </si>
  <si>
    <t>Residential</t>
  </si>
  <si>
    <t>Residential Service</t>
  </si>
  <si>
    <t>16/17/18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</si>
  <si>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</si>
  <si>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</si>
  <si>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</si>
  <si>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</si>
  <si>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</si>
  <si>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</si>
  <si>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</si>
  <si>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Partial Requirements Service =&gt; 1,000 kW</t>
  </si>
  <si>
    <t>Large General Service =&gt; 1,000 kW</t>
  </si>
  <si>
    <t>Large General Service =&gt; 30,000 kW</t>
  </si>
  <si>
    <t>48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</si>
  <si>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</si>
  <si>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</si>
  <si>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</si>
  <si>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</si>
  <si>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</si>
  <si>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</si>
  <si>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</si>
  <si>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</si>
  <si>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</si>
  <si>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Sales to Standard Tariff Customers</t>
  </si>
  <si>
    <t>Total AGA</t>
  </si>
  <si>
    <t>Total Sales to Ultimate Consumers</t>
  </si>
  <si>
    <t>TABLE B. PRESENT AND PROPOSED RATES</t>
  </si>
  <si>
    <t>ESTIMATED EFFECT OF PROPOSED DEFERRAL SURCHARGE</t>
  </si>
  <si>
    <t>Deferral</t>
  </si>
  <si>
    <t>Adjustment</t>
  </si>
  <si>
    <t>(5)+(6)</t>
  </si>
  <si>
    <t>(6)/(5)</t>
  </si>
  <si>
    <t>TABLE C. PRESENT AND PROPOSED RATES</t>
  </si>
  <si>
    <t>ESTIMATED COMBINED EFFECT OF PROPOSED BASE RATE INCREASE AND DEFERRAL SURCHARGE</t>
  </si>
  <si>
    <t xml:space="preserve">Proposed </t>
  </si>
  <si>
    <t>Cents/</t>
  </si>
  <si>
    <t>kWh</t>
  </si>
  <si>
    <t>(8/4)</t>
  </si>
  <si>
    <t>(9/4)</t>
  </si>
  <si>
    <t>STATE OF WASHINGTON</t>
  </si>
  <si>
    <t>(Including Effects of Unbilled Revenue, Unbilled MWh and Weather Normalization)</t>
  </si>
  <si>
    <t>Prior</t>
  </si>
  <si>
    <t>Units</t>
  </si>
  <si>
    <t xml:space="preserve">Prior </t>
  </si>
  <si>
    <t>Dollars</t>
  </si>
  <si>
    <t xml:space="preserve">Distribution </t>
  </si>
  <si>
    <t>Distribution</t>
  </si>
  <si>
    <t>Transmission</t>
  </si>
  <si>
    <t>Generation</t>
  </si>
  <si>
    <t>Price</t>
  </si>
  <si>
    <t>SCHEDULE 15</t>
  </si>
  <si>
    <t>Outdoor Area Lighting Service-Grand Combined</t>
  </si>
  <si>
    <t>Mercury Vapor Lamp Charges</t>
  </si>
  <si>
    <t xml:space="preserve">     7,000 Lumens</t>
  </si>
  <si>
    <t xml:space="preserve">    21,000 Lumens</t>
  </si>
  <si>
    <t xml:space="preserve">    55,000 Lumens</t>
  </si>
  <si>
    <t>High Pressure Sodium Vapor Lamp Charges</t>
  </si>
  <si>
    <t xml:space="preserve">     5,800 Lumens</t>
  </si>
  <si>
    <t xml:space="preserve">    22,000 Lumens</t>
  </si>
  <si>
    <t xml:space="preserve">    50,000 Lumens</t>
  </si>
  <si>
    <t>Pole Charges</t>
  </si>
  <si>
    <t>NPC-Base - NPC per kWh *</t>
  </si>
  <si>
    <t>¢</t>
  </si>
  <si>
    <t>NPC</t>
  </si>
  <si>
    <t>Total Bills</t>
  </si>
  <si>
    <t>Subtotal</t>
  </si>
  <si>
    <t xml:space="preserve">  Unbilled</t>
  </si>
  <si>
    <t>Total</t>
  </si>
  <si>
    <t>Target Dollars</t>
  </si>
  <si>
    <t>*Included in Generation Price</t>
  </si>
  <si>
    <t>Difference</t>
  </si>
  <si>
    <t>Outdoor Area Lighting Service-Residential</t>
  </si>
  <si>
    <t>NPC-Base - NPC per kWh</t>
  </si>
  <si>
    <t>Outdoor Area Lighting Service-Commercial</t>
  </si>
  <si>
    <t>Outdoor Area Lighting Service-Industrial</t>
  </si>
  <si>
    <t>SCHEDULE 16/18</t>
  </si>
  <si>
    <t>Residential Service-Combined</t>
  </si>
  <si>
    <t>% Increase</t>
  </si>
  <si>
    <t xml:space="preserve">  Basic Charge</t>
  </si>
  <si>
    <t xml:space="preserve">  1st 600 kWh</t>
  </si>
  <si>
    <t xml:space="preserve">  All addt'l kWh</t>
  </si>
  <si>
    <t xml:space="preserve">  kW demand </t>
  </si>
  <si>
    <t>Minimum kW Charge</t>
  </si>
  <si>
    <t xml:space="preserve">  kW demand in minimum</t>
  </si>
  <si>
    <t>NPC-Base - 1st 600 kWh</t>
  </si>
  <si>
    <t>NPC-Base - All Addt'l kWh</t>
  </si>
  <si>
    <t>Total Rate - 1st 600 kWh</t>
  </si>
  <si>
    <t>Total Rate - All Addt'l kWh</t>
  </si>
  <si>
    <t xml:space="preserve">  Subtotal</t>
  </si>
  <si>
    <t xml:space="preserve">  Total</t>
  </si>
  <si>
    <t>SCHEDULE 16</t>
  </si>
  <si>
    <t>Includes Schedule 16 Net Metering</t>
  </si>
  <si>
    <t>SCHEDULE 17</t>
  </si>
  <si>
    <t>SCHEDULE 18</t>
  </si>
  <si>
    <t>SCHEDULE 18X</t>
  </si>
  <si>
    <t>SCHEDULE 24</t>
  </si>
  <si>
    <t>Small General Service-Grand Combined</t>
  </si>
  <si>
    <t xml:space="preserve">Seasonal </t>
  </si>
  <si>
    <t xml:space="preserve">  Single Phase</t>
  </si>
  <si>
    <t xml:space="preserve">  Three Phase</t>
  </si>
  <si>
    <t xml:space="preserve">  Load Size &gt; 15 kW</t>
  </si>
  <si>
    <t>Basic Charge</t>
  </si>
  <si>
    <t>Total Basic Charges</t>
  </si>
  <si>
    <t xml:space="preserve">  All kW &gt;15</t>
  </si>
  <si>
    <t xml:space="preserve">  1st  1,000 kWh</t>
  </si>
  <si>
    <t xml:space="preserve">  Next 8,000 kWh</t>
  </si>
  <si>
    <t xml:space="preserve">  All additional kWh</t>
  </si>
  <si>
    <t xml:space="preserve">  Excess Kvar</t>
  </si>
  <si>
    <t>NPC-Base - 1st 1,000 kWh</t>
  </si>
  <si>
    <t>NPC-Base -Next 8,000 kWh</t>
  </si>
  <si>
    <t>NPC-Base - All Additional kWh</t>
  </si>
  <si>
    <t>Total Rate - 1st 1,000 kWh</t>
  </si>
  <si>
    <t>Total Rate - Next 8,000 kWh</t>
  </si>
  <si>
    <t>Total Rate - All Additional kWh</t>
  </si>
  <si>
    <t>Discounts</t>
  </si>
  <si>
    <t xml:space="preserve">   Load Size &gt; 15 kW</t>
  </si>
  <si>
    <t xml:space="preserve">  All kW</t>
  </si>
  <si>
    <t xml:space="preserve">  1st 1,000 kWh</t>
  </si>
  <si>
    <t xml:space="preserve">  High Voltage Charge</t>
  </si>
  <si>
    <t xml:space="preserve">  Load Size Discount</t>
  </si>
  <si>
    <t>Target</t>
  </si>
  <si>
    <t>Small General Service-Combined</t>
  </si>
  <si>
    <t>Small General Service-Residential</t>
  </si>
  <si>
    <t xml:space="preserve">  All kW&gt;15</t>
  </si>
  <si>
    <t>Small General Service-Commercial</t>
  </si>
  <si>
    <t>Includes Schedule 24 Net Metering</t>
  </si>
  <si>
    <t>Small General Service-Industrial</t>
  </si>
  <si>
    <t>SCHEDULE 24F</t>
  </si>
  <si>
    <t xml:space="preserve">  Single Phase (units)</t>
  </si>
  <si>
    <t>SCHEDULE 24FP</t>
  </si>
  <si>
    <t>Seasonal</t>
  </si>
  <si>
    <t>Total Monthly Bills</t>
  </si>
  <si>
    <t>SCHEDULE 33</t>
  </si>
  <si>
    <t xml:space="preserve">  &lt;=100 kW</t>
  </si>
  <si>
    <t xml:space="preserve">  101 - 300 kW</t>
  </si>
  <si>
    <t xml:space="preserve">  &gt;300 kW</t>
  </si>
  <si>
    <t>Demand Charges</t>
  </si>
  <si>
    <t xml:space="preserve"> All kW</t>
  </si>
  <si>
    <t>Energy Charges</t>
  </si>
  <si>
    <t xml:space="preserve">  1st 40,000 kWh</t>
  </si>
  <si>
    <t xml:space="preserve">  Excess Kvarh</t>
  </si>
  <si>
    <t>NPC-Base - 1st 40,000 kWh</t>
  </si>
  <si>
    <t>NPC-Base - All additional kWh</t>
  </si>
  <si>
    <t xml:space="preserve">  Excess kVar</t>
  </si>
  <si>
    <t xml:space="preserve">  Excess kVarh</t>
  </si>
  <si>
    <t>High Voltage Charge--Primary</t>
  </si>
  <si>
    <t>Load Size Discount - Primary</t>
  </si>
  <si>
    <t>Standby kW</t>
  </si>
  <si>
    <t>Overrun kW</t>
  </si>
  <si>
    <t>Overrun kWh</t>
  </si>
  <si>
    <t xml:space="preserve">  </t>
  </si>
  <si>
    <t>SCHEDULE 36</t>
  </si>
  <si>
    <t>Large General Service &lt; 1,000 kW-Grand Combined</t>
  </si>
  <si>
    <t xml:space="preserve"> Minimum kW</t>
  </si>
  <si>
    <t>Total Rate - 1st 40,000 kWh</t>
  </si>
  <si>
    <t>Total Rate - All additional kWh</t>
  </si>
  <si>
    <t>High Voltage Charge</t>
  </si>
  <si>
    <t>Load Size Discount</t>
  </si>
  <si>
    <t>Large General Service &lt; 1,000 kW-Commercial</t>
  </si>
  <si>
    <t>Large General Service &lt; 1,000 kW-Industrial</t>
  </si>
  <si>
    <t>SCHEDULE 40</t>
  </si>
  <si>
    <t>Agricultural Pumping Service-Grand Combined</t>
  </si>
  <si>
    <t>Annual Load Size Charge</t>
  </si>
  <si>
    <t xml:space="preserve">  Single Phase Bills</t>
  </si>
  <si>
    <t xml:space="preserve">  Three Phase Bills</t>
  </si>
  <si>
    <t xml:space="preserve">      &lt; 51 kW</t>
  </si>
  <si>
    <t xml:space="preserve">     &lt; 301 kW</t>
  </si>
  <si>
    <t xml:space="preserve">     &gt; 300 kW</t>
  </si>
  <si>
    <t>Monthly Bills</t>
  </si>
  <si>
    <t>Customer Count</t>
  </si>
  <si>
    <t>Annual Load Size kW Charge</t>
  </si>
  <si>
    <t xml:space="preserve">  Single Phase kW</t>
  </si>
  <si>
    <t xml:space="preserve">  Three Phase kW</t>
  </si>
  <si>
    <t>Single Phase Minimum Bills</t>
  </si>
  <si>
    <t>Three Phase &lt;51kW Minimum Bills</t>
  </si>
  <si>
    <t>KW in Minimum</t>
  </si>
  <si>
    <t xml:space="preserve">  Three Phase &lt;51kW, kW</t>
  </si>
  <si>
    <t xml:space="preserve">  All kWh</t>
  </si>
  <si>
    <t>NPC-Base - All kWh</t>
  </si>
  <si>
    <t>Total Rate - All kWh</t>
  </si>
  <si>
    <t>Single Phase Min</t>
  </si>
  <si>
    <t>Three Phase &lt;51kW Min</t>
  </si>
  <si>
    <t>SCHEDULE 40X</t>
  </si>
  <si>
    <t>Agricultural Pumping Service-Industrial</t>
  </si>
  <si>
    <t>SCHEDULE 47T</t>
  </si>
  <si>
    <t>Large Partial Requirements Service - Secondary</t>
  </si>
  <si>
    <t xml:space="preserve">  &lt;=3000 kW</t>
  </si>
  <si>
    <t xml:space="preserve">  &gt;3000 kW</t>
  </si>
  <si>
    <t xml:space="preserve">  &lt;=3000 kW variable</t>
  </si>
  <si>
    <t xml:space="preserve">  &gt;3000 kW variable</t>
  </si>
  <si>
    <t>SCHEDULE 48T</t>
  </si>
  <si>
    <t>Large General Service 1,000 kW and over-Grand Combined</t>
  </si>
  <si>
    <t>Large General Service 1,000 kW and over-Combined</t>
  </si>
  <si>
    <t>Includes 47T</t>
  </si>
  <si>
    <t>Large General Service 1,000 kW and over-Secondary Combined</t>
  </si>
  <si>
    <t>Targets</t>
  </si>
  <si>
    <t>Large General Service 1,000 kW and over-Secondary-Commercial</t>
  </si>
  <si>
    <t>Large General Service 1,000 kW and over-Secondary-Industrial</t>
  </si>
  <si>
    <t>Large General Service 1,000 kW and over-Primary-Combined</t>
  </si>
  <si>
    <t>Large General Service 1,000 kW and over-Primary-Commercial</t>
  </si>
  <si>
    <t>Large General Service 1,000 kW and over-Primary-Industrial</t>
  </si>
  <si>
    <t>Large General Service 1,000 kW and over-Commercial-Combined</t>
  </si>
  <si>
    <t>Large General Service 1,000 kW and over-Industrial-Combined</t>
  </si>
  <si>
    <t>Large General Service 30,000 kW and over-Primary Dedicated Facilities</t>
  </si>
  <si>
    <t xml:space="preserve">  &lt;=30000 kW</t>
  </si>
  <si>
    <t xml:space="preserve">  &gt;30000 kW</t>
  </si>
  <si>
    <t xml:space="preserve">  &gt;30000 kW variable</t>
  </si>
  <si>
    <t>SCHEDULE 51</t>
  </si>
  <si>
    <t xml:space="preserve">Street Lighting Service Company-Owned </t>
  </si>
  <si>
    <t>High Pressure Sodium Vapor</t>
  </si>
  <si>
    <t>Per Lamp Charges</t>
  </si>
  <si>
    <t xml:space="preserve">     9,500 Lumens</t>
  </si>
  <si>
    <t xml:space="preserve">     9,500 Lumens-Decorative Series 1</t>
  </si>
  <si>
    <t xml:space="preserve">     9,500 Lumens-Decorative Series 2</t>
  </si>
  <si>
    <t xml:space="preserve">     16,000 Lumens</t>
  </si>
  <si>
    <t xml:space="preserve">     16,000-Lumens Decorative Series 1</t>
  </si>
  <si>
    <t xml:space="preserve">    16,000-Lumens Decorative Series 2</t>
  </si>
  <si>
    <t xml:space="preserve">    27,500 Lumens</t>
  </si>
  <si>
    <t xml:space="preserve">LED </t>
  </si>
  <si>
    <t xml:space="preserve">    4,000 Lumens</t>
  </si>
  <si>
    <t xml:space="preserve">    6,200 Lumens</t>
  </si>
  <si>
    <t xml:space="preserve">    13,000 Lumens</t>
  </si>
  <si>
    <t xml:space="preserve">    16,800 Lumens</t>
  </si>
  <si>
    <t>Metal Halide</t>
  </si>
  <si>
    <t xml:space="preserve">    9,000 Lumens-Decorative Series 1</t>
  </si>
  <si>
    <t xml:space="preserve">    9,000 Lumens-Decorative Series 2</t>
  </si>
  <si>
    <t xml:space="preserve">   12,000 Lumens</t>
  </si>
  <si>
    <t xml:space="preserve">    12,000 Lumens-Decorative Series 1</t>
  </si>
  <si>
    <t xml:space="preserve">    12,000 Lumens-Decorative Series 2</t>
  </si>
  <si>
    <t xml:space="preserve">   19,500 Lumens</t>
  </si>
  <si>
    <t xml:space="preserve">   32,000 Lumens</t>
  </si>
  <si>
    <t>NPC-Base - All kWh *</t>
  </si>
  <si>
    <t>SCHEDULE 52</t>
  </si>
  <si>
    <t>Company-Owned Street Lighting Service</t>
  </si>
  <si>
    <t>Operation, Maintenance, Depreciation &amp; Fixed Costs</t>
  </si>
  <si>
    <t>Dusk to Dawn kWh</t>
  </si>
  <si>
    <t>Dusk to Midnight kWh</t>
  </si>
  <si>
    <t>Total Energy Rate per kWh</t>
  </si>
  <si>
    <t xml:space="preserve">    Subtotal</t>
  </si>
  <si>
    <t xml:space="preserve">    Unbilled</t>
  </si>
  <si>
    <t>SCHEDULE 53</t>
  </si>
  <si>
    <t>Customer-Owned Street Lighting Service - Grand Combined</t>
  </si>
  <si>
    <t>Non-Listed Lumen-Energy Only</t>
  </si>
  <si>
    <t>Listed Lumen-Energy Only</t>
  </si>
  <si>
    <t>SCHEDULE 53F</t>
  </si>
  <si>
    <t xml:space="preserve">Customer-Owned Street Lighting Service </t>
  </si>
  <si>
    <t xml:space="preserve">     5,800 Lumens-Energy Only</t>
  </si>
  <si>
    <t xml:space="preserve">     9,500 Lumens-Energy Only</t>
  </si>
  <si>
    <t xml:space="preserve">     16,000 Lumens-Energy Only</t>
  </si>
  <si>
    <t xml:space="preserve">     22,000 Lumens-Energy Only</t>
  </si>
  <si>
    <t xml:space="preserve">     27,500 Lumens-Energy Only</t>
  </si>
  <si>
    <t xml:space="preserve">     50,000 Lumens-Energy Only</t>
  </si>
  <si>
    <t xml:space="preserve">     9,000 Lumens-Energy Only</t>
  </si>
  <si>
    <t xml:space="preserve">    12,000 Lumens-Energy Only</t>
  </si>
  <si>
    <t xml:space="preserve">     19,500 Lumens-Energy Only</t>
  </si>
  <si>
    <t xml:space="preserve">     32,000 Lumens-Energy Only</t>
  </si>
  <si>
    <t xml:space="preserve">     107,800 Lumens-Energy Only</t>
  </si>
  <si>
    <t>Estimated increase</t>
  </si>
  <si>
    <t>Listed Lumen-Energy Only-above</t>
  </si>
  <si>
    <t>Total Energy Rate</t>
  </si>
  <si>
    <t>SCHEDULE 53M</t>
  </si>
  <si>
    <t>Customer-Owned Street Lighting Service</t>
  </si>
  <si>
    <t>Option A (Co. O&amp;M) kWh</t>
  </si>
  <si>
    <t>Option B (Cust. O&amp;M) kWh</t>
  </si>
  <si>
    <t>SCHEDULE 54</t>
  </si>
  <si>
    <t xml:space="preserve">  Basic Charge 1 Phase</t>
  </si>
  <si>
    <t xml:space="preserve">  Basic Charge 3 Phase</t>
  </si>
  <si>
    <t xml:space="preserve">  Total Bills</t>
  </si>
  <si>
    <t>SCHEDULE 57</t>
  </si>
  <si>
    <t>Mercury Vapor Street Lighting Service</t>
  </si>
  <si>
    <t>Overhead System on Wood Poles</t>
  </si>
  <si>
    <t>Horizontal Lamp Charges</t>
  </si>
  <si>
    <t>Vertical Lamp Charges</t>
  </si>
  <si>
    <t>Overhead System on Metal Poles</t>
  </si>
  <si>
    <t>Underground System</t>
  </si>
  <si>
    <t>Post 1977 System</t>
  </si>
  <si>
    <t>Contract</t>
  </si>
  <si>
    <t xml:space="preserve">     21,000 Lumens</t>
  </si>
  <si>
    <t>Washington TOTALS</t>
  </si>
  <si>
    <t>AGA</t>
  </si>
  <si>
    <t>Washington TOTALS with AGA</t>
  </si>
  <si>
    <t>Check</t>
  </si>
  <si>
    <t>Tables 2 &amp; 3</t>
  </si>
  <si>
    <t>Table1</t>
  </si>
  <si>
    <t>Error Check</t>
  </si>
  <si>
    <t>Bills</t>
  </si>
  <si>
    <t>Customers</t>
  </si>
  <si>
    <t>Table 2</t>
  </si>
  <si>
    <t>Pacific Power &amp; Light Company</t>
  </si>
  <si>
    <t>Monthly Billing Comparison</t>
  </si>
  <si>
    <t>Schedule 16 - Residential Service</t>
  </si>
  <si>
    <r>
      <t xml:space="preserve">Monthly Energy Charge </t>
    </r>
    <r>
      <rPr>
        <vertAlign val="superscript"/>
        <sz val="11"/>
        <rFont val="Times New Roman"/>
        <family val="1"/>
      </rPr>
      <t>1</t>
    </r>
  </si>
  <si>
    <t>Monthly Basic Charge</t>
  </si>
  <si>
    <t>Total Change</t>
  </si>
  <si>
    <t>Present Price</t>
  </si>
  <si>
    <t>Proposed Price</t>
  </si>
  <si>
    <t>$</t>
  </si>
  <si>
    <t>Basic</t>
  </si>
  <si>
    <t>Energy - 1st 600</t>
  </si>
  <si>
    <t>Energy</t>
  </si>
  <si>
    <t>SBC</t>
  </si>
  <si>
    <t>BPA Credit</t>
  </si>
  <si>
    <t>Low Income-Current</t>
  </si>
  <si>
    <t>Low Income-Proposed</t>
  </si>
  <si>
    <t>Residential Overall:</t>
  </si>
  <si>
    <t>*</t>
  </si>
  <si>
    <t>Notes:</t>
  </si>
  <si>
    <t>* Average Washington Customer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</si>
  <si>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Charge, Deferral Surcharge and BPA Credit.</t>
    </r>
  </si>
  <si>
    <t>Schedule 17 - Residential Service</t>
  </si>
  <si>
    <t>Low Income Credit 0-75% Curr</t>
  </si>
  <si>
    <t>Low Income Credit 0-75% Prop</t>
  </si>
  <si>
    <t>Low Income Credit 76-100% Curr</t>
  </si>
  <si>
    <t>Low Income Credit 76-100% Prop</t>
  </si>
  <si>
    <t>Low Income Credit 101-150% Curr</t>
  </si>
  <si>
    <t>Low Income Credit 101-150% Prop</t>
  </si>
  <si>
    <t>* Schedule 17 Washington Customer Average Monthly Winter Usage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</si>
  <si>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Deferral Surcharge, BPA Credit and Low Income Credit @0-75% FPL.</t>
    </r>
  </si>
  <si>
    <t>Schedule 24 - Small General Service</t>
  </si>
  <si>
    <t>kW</t>
  </si>
  <si>
    <t>Monthly Billing *</t>
  </si>
  <si>
    <t>Dollar</t>
  </si>
  <si>
    <t>Percent</t>
  </si>
  <si>
    <t>Load Size/</t>
  </si>
  <si>
    <t>kWh per kW</t>
  </si>
  <si>
    <t>Present Price Schedule 24</t>
  </si>
  <si>
    <t>Proposed Price Schedule 24</t>
  </si>
  <si>
    <t>Demand</t>
  </si>
  <si>
    <t>(Equiv Hours)</t>
  </si>
  <si>
    <t>Single Phase</t>
  </si>
  <si>
    <t>Three Phase</t>
  </si>
  <si>
    <t>Load Size</t>
  </si>
  <si>
    <t>Single</t>
  </si>
  <si>
    <t>Three P</t>
  </si>
  <si>
    <t>&lt;=15</t>
  </si>
  <si>
    <t>&gt;15</t>
  </si>
  <si>
    <t>1st 1,000 kWh</t>
  </si>
  <si>
    <t>Next 8,000 kWh</t>
  </si>
  <si>
    <t>Add'l kWh</t>
  </si>
  <si>
    <t>Low Income-proposed</t>
  </si>
  <si>
    <t>Overall:</t>
  </si>
  <si>
    <t xml:space="preserve">       * Includes SBC Charge, Deferral Surcharge and Low Income Charge.</t>
  </si>
  <si>
    <t>Schedule 36 - Large General Service &lt; 1,000 kW</t>
  </si>
  <si>
    <t xml:space="preserve">Present </t>
  </si>
  <si>
    <t>Schedule 36</t>
  </si>
  <si>
    <t xml:space="preserve">Schedule 36 </t>
  </si>
  <si>
    <t>Plus</t>
  </si>
  <si>
    <t>&lt;100</t>
  </si>
  <si>
    <t>101 - 300</t>
  </si>
  <si>
    <t>&gt;300</t>
  </si>
  <si>
    <t>1st 40,000</t>
  </si>
  <si>
    <t>Add'l</t>
  </si>
  <si>
    <t>Low Income-current</t>
  </si>
  <si>
    <t>Billing Comparison</t>
  </si>
  <si>
    <t>Schedule 40 - Agricultural Pumping Service</t>
  </si>
  <si>
    <t>Present Price Schedule 40 *</t>
  </si>
  <si>
    <t>Proposed Price Schedule 40 *</t>
  </si>
  <si>
    <t>Percent Difference</t>
  </si>
  <si>
    <t>Annual</t>
  </si>
  <si>
    <t>Schedule 40 **</t>
  </si>
  <si>
    <t>Monthly **</t>
  </si>
  <si>
    <t>All kWh</t>
  </si>
  <si>
    <t>Monthly Bill</t>
  </si>
  <si>
    <t>Charge</t>
  </si>
  <si>
    <t>Bill</t>
  </si>
  <si>
    <t>0-50 kW</t>
  </si>
  <si>
    <t>51-300 kW</t>
  </si>
  <si>
    <t>&gt;300 kW</t>
  </si>
  <si>
    <t xml:space="preserve">       * Includes SBC Charge BPA Credit, Deferral Surcharge and Low Income charge.</t>
  </si>
  <si>
    <t xml:space="preserve">      ** Does not include November Load Size Charge.</t>
  </si>
  <si>
    <t>Schedule 48T - Large General Service - Secondary</t>
  </si>
  <si>
    <t>1,000 kW and Over</t>
  </si>
  <si>
    <t>Price Schedule 48T</t>
  </si>
  <si>
    <t xml:space="preserve">Price Schedule 48T </t>
  </si>
  <si>
    <t>&lt;=3000</t>
  </si>
  <si>
    <t>&gt;3000</t>
  </si>
  <si>
    <t>Schedule 48 Overall:</t>
  </si>
  <si>
    <t>Schedule 48T - Large General Service - Primary</t>
  </si>
  <si>
    <t>30,000 kW and Over</t>
  </si>
  <si>
    <t>Served by Dedicated Facilities</t>
  </si>
  <si>
    <t>&gt;30000</t>
  </si>
  <si>
    <t>Washington Low Income</t>
  </si>
  <si>
    <t>Schedule 91 Surcharge Rates Proposal</t>
  </si>
  <si>
    <t>Number of customers served</t>
  </si>
  <si>
    <t>Increase in average dollar subsidy/ client</t>
  </si>
  <si>
    <t>Current</t>
  </si>
  <si>
    <t>Program *</t>
  </si>
  <si>
    <t>Program with</t>
  </si>
  <si>
    <t>Increase Over</t>
  </si>
  <si>
    <t xml:space="preserve">Current </t>
  </si>
  <si>
    <t>Est. Annual</t>
  </si>
  <si>
    <t>Admin Costs</t>
  </si>
  <si>
    <t>Estimated</t>
  </si>
  <si>
    <t>Current*</t>
  </si>
  <si>
    <t>Annual Revenues Collections</t>
  </si>
  <si>
    <t>current</t>
  </si>
  <si>
    <t>proposed</t>
  </si>
  <si>
    <t>Monthly</t>
  </si>
  <si>
    <t>Prior Year</t>
  </si>
  <si>
    <t>Administrative Costs ($/cust)</t>
  </si>
  <si>
    <t>Collections</t>
  </si>
  <si>
    <t>Available for subsidy</t>
  </si>
  <si>
    <t xml:space="preserve">   Increase</t>
  </si>
  <si>
    <t>Aug 05</t>
  </si>
  <si>
    <t>Schedule 91 Charges</t>
  </si>
  <si>
    <t>16/18(#2)</t>
  </si>
  <si>
    <t>(#1)</t>
  </si>
  <si>
    <t>47T</t>
  </si>
  <si>
    <t>48T</t>
  </si>
  <si>
    <t>Number of Qualifying Customers</t>
  </si>
  <si>
    <t>Rev excess/(short)</t>
  </si>
  <si>
    <t>(#1) Annual Amount</t>
  </si>
  <si>
    <t>(#2) Reduced number of customers by change in new Schedule 17 customers</t>
  </si>
  <si>
    <t>Cost per Qualifying Customer</t>
  </si>
  <si>
    <t>/Customer</t>
  </si>
  <si>
    <t>Average Credit per Customer - (Credit/Customers)</t>
  </si>
  <si>
    <t>Agency Charge per Qualifying Customer</t>
  </si>
  <si>
    <t>Average Cost per Qualifying Customer</t>
  </si>
  <si>
    <t xml:space="preserve">Annual Revenues - (Average Cost x Customers) </t>
  </si>
  <si>
    <t>Annual Credits to Customers</t>
  </si>
  <si>
    <t>Proposed Credit Increase</t>
  </si>
  <si>
    <t xml:space="preserve">Current Credit per Participant plus 6.7% </t>
  </si>
  <si>
    <t>total participants</t>
  </si>
  <si>
    <t>Total benefits</t>
  </si>
  <si>
    <t>Admin Expense</t>
  </si>
  <si>
    <t>Total Program cost</t>
  </si>
  <si>
    <t xml:space="preserve">*Ordered in Docket No. UE-130694 effective June 20, 2013. </t>
  </si>
  <si>
    <t xml:space="preserve">Washington Low Income </t>
  </si>
  <si>
    <t>Energy Rate Credit Proposal</t>
  </si>
  <si>
    <t>% of Federal</t>
  </si>
  <si>
    <t xml:space="preserve">Total </t>
  </si>
  <si>
    <t>Discount/</t>
  </si>
  <si>
    <t>Rate</t>
  </si>
  <si>
    <t>Poverty Level (FPL)</t>
  </si>
  <si>
    <t>Credit</t>
  </si>
  <si>
    <t>Customer</t>
  </si>
  <si>
    <t>¢/kWh</t>
  </si>
  <si>
    <t xml:space="preserve">kWh </t>
  </si>
  <si>
    <t>0-75%</t>
  </si>
  <si>
    <t>76-100%</t>
  </si>
  <si>
    <t>101-150%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</si>
</sst>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00_);_(* \(#,##0.000\);_(* &quot;-&quot;??_);_(@_)"/>
    <numFmt numFmtId="166" formatCode="#,##0.000_);\(#,##0.000\)"/>
    <numFmt numFmtId="167" formatCode="0.000_)"/>
    <numFmt numFmtId="168" formatCode="_(&quot;$&quot;* #,##0_);_(&quot;$&quot;* \(#,##0\);_(&quot;$&quot;* &quot;-&quot;??_);_(@_)"/>
    <numFmt numFmtId="169" formatCode="0.00000000000000%"/>
    <numFmt numFmtId="170" formatCode="_(* #,##0_);_(* \(#,##0\);_(* &quot;-&quot;??_);_(@_)"/>
    <numFmt numFmtId="171" formatCode="_(* #,##0.00000_);_(* \(#,##0.00000\);_(* &quot;-&quot;??_);_(@_)"/>
    <numFmt numFmtId="172" formatCode="0.000000%"/>
    <numFmt numFmtId="173" formatCode="&quot;$&quot;#,##0.000000_);\(&quot;$&quot;#,##0.000000\)"/>
    <numFmt numFmtId="174" formatCode="0.000"/>
    <numFmt numFmtId="175" formatCode="0.000000_)"/>
    <numFmt numFmtId="176" formatCode="0.0000%"/>
    <numFmt numFmtId="177" formatCode="0.00_)"/>
    <numFmt numFmtId="178" formatCode="0.000%"/>
    <numFmt numFmtId="179" formatCode="0.0000000%"/>
    <numFmt numFmtId="180" formatCode="#,##0.0_);\(#,##0.0\)"/>
    <numFmt numFmtId="181" formatCode="&quot;$&quot;#,##0.00000_);\(&quot;$&quot;#,##0.00000\)"/>
    <numFmt numFmtId="182" formatCode="0.000000000_)"/>
    <numFmt numFmtId="183" formatCode="#,##0.00000"/>
    <numFmt numFmtId="184" formatCode="_(* #,##0.00000000_);_(* \(#,##0.00000000\);_(* &quot;-&quot;??_);_(@_)"/>
    <numFmt numFmtId="185" formatCode="0.00000000_)"/>
    <numFmt numFmtId="186" formatCode="&quot;$&quot;#,##0.000_);\(&quot;$&quot;#,##0.000\)"/>
    <numFmt numFmtId="187" formatCode="#,##0.000"/>
    <numFmt numFmtId="188" formatCode="0.0000_)"/>
    <numFmt numFmtId="189" formatCode="_(&quot;$&quot;* #,##0.000000_);_(&quot;$&quot;* \(#,##0.000000\);_(&quot;$&quot;* &quot;-&quot;??_);_(@_)"/>
    <numFmt numFmtId="190" formatCode="_(&quot;$&quot;* #,##0.00000_);_(&quot;$&quot;* \(#,##0.00000\);_(&quot;$&quot;* &quot;-&quot;??_);_(@_)"/>
    <numFmt numFmtId="191" formatCode="_(* #,##0.0000_);_(* \(#,##0.0000\);_(* &quot;-&quot;??_);_(@_)"/>
    <numFmt numFmtId="192" formatCode="0.00000E+0;\-0.00000E+0"/>
    <numFmt numFmtId="193" formatCode="########\-###\-###"/>
    <numFmt numFmtId="194" formatCode="General_)"/>
  </numFmts>
  <fonts count="43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56"/>
      <name val="Arial"/>
      <family val="2"/>
    </font>
    <font>
      <sz val="12"/>
      <color indexed="48"/>
      <name val="Times New Roman"/>
      <family val="1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0"/>
      <color indexed="8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u/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2"/>
      <color indexed="8"/>
      <name val="Times New Roman"/>
      <family val="1"/>
    </font>
    <font>
      <sz val="7"/>
      <name val="Arial"/>
      <family val="2"/>
    </font>
    <font>
      <sz val="12"/>
      <name val="Arial MT"/>
    </font>
    <font>
      <sz val="10"/>
      <name val="SWISS"/>
    </font>
    <font>
      <sz val="10"/>
      <name val="Swiss"/>
      <family val="2"/>
    </font>
    <font>
      <sz val="10"/>
      <name val="LinePrinte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0" fontId="2" fillId="0" borderId="0"/>
    <xf numFmtId="0" fontId="9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left"/>
    </xf>
    <xf numFmtId="193" fontId="9" fillId="0" borderId="0"/>
    <xf numFmtId="170" fontId="14" fillId="0" borderId="0" applyFont="0" applyAlignment="0" applyProtection="0"/>
    <xf numFmtId="0" fontId="9" fillId="0" borderId="0">
      <alignment wrapText="1"/>
    </xf>
    <xf numFmtId="0" fontId="18" fillId="0" borderId="0"/>
    <xf numFmtId="0" fontId="9" fillId="0" borderId="0"/>
    <xf numFmtId="0" fontId="39" fillId="0" borderId="0"/>
    <xf numFmtId="0" fontId="2" fillId="0" borderId="0"/>
    <xf numFmtId="0" fontId="9" fillId="0" borderId="0">
      <alignment wrapText="1"/>
    </xf>
    <xf numFmtId="41" fontId="4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>
      <alignment wrapText="1"/>
    </xf>
    <xf numFmtId="0" fontId="9" fillId="0" borderId="0"/>
    <xf numFmtId="0" fontId="9" fillId="0" borderId="0"/>
    <xf numFmtId="0" fontId="9" fillId="0" borderId="0">
      <alignment wrapText="1"/>
    </xf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94" fontId="42" fillId="0" borderId="0">
      <alignment horizontal="left"/>
    </xf>
  </cellStyleXfs>
  <cellXfs count="681">
    <xf numFmtId="0" fontId="0" fillId="0" borderId="0" xfId="0"/>
    <xf numFmtId="0" fontId="2" fillId="0" borderId="0" xfId="4" applyFill="1"/>
    <xf numFmtId="0" fontId="3" fillId="0" borderId="0" xfId="4" applyFont="1" applyFill="1"/>
    <xf numFmtId="0" fontId="4" fillId="0" borderId="0" xfId="4" applyFont="1" applyFill="1"/>
    <xf numFmtId="0" fontId="5" fillId="0" borderId="0" xfId="4" applyFont="1" applyFill="1"/>
    <xf numFmtId="0" fontId="2" fillId="0" borderId="0" xfId="4" applyFont="1" applyFill="1"/>
    <xf numFmtId="0" fontId="6" fillId="0" borderId="0" xfId="4" quotePrefix="1" applyFont="1" applyFill="1" applyAlignment="1">
      <alignment horizontal="center"/>
    </xf>
    <xf numFmtId="0" fontId="6" fillId="0" borderId="0" xfId="4" quotePrefix="1" applyFont="1" applyFill="1" applyAlignment="1"/>
    <xf numFmtId="0" fontId="6" fillId="0" borderId="0" xfId="4" applyFont="1" applyFill="1" applyAlignment="1">
      <alignment horizontal="center"/>
    </xf>
    <xf numFmtId="0" fontId="6" fillId="0" borderId="0" xfId="4" applyFont="1" applyFill="1" applyAlignment="1"/>
    <xf numFmtId="0" fontId="2" fillId="0" borderId="0" xfId="4" applyFill="1" applyBorder="1"/>
    <xf numFmtId="0" fontId="6" fillId="0" borderId="0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2" fillId="0" borderId="0" xfId="4" applyFont="1" applyFill="1" applyAlignment="1">
      <alignment horizontal="center"/>
    </xf>
    <xf numFmtId="0" fontId="2" fillId="0" borderId="0" xfId="4" applyFont="1" applyFill="1" applyBorder="1" applyAlignment="1">
      <alignment horizontal="left"/>
    </xf>
    <xf numFmtId="0" fontId="2" fillId="0" borderId="1" xfId="4" applyFont="1" applyFill="1" applyBorder="1" applyAlignment="1"/>
    <xf numFmtId="0" fontId="2" fillId="0" borderId="0" xfId="4" applyFont="1" applyFill="1" applyBorder="1" applyAlignment="1"/>
    <xf numFmtId="0" fontId="2" fillId="0" borderId="1" xfId="4" applyFont="1" applyFill="1" applyBorder="1" applyAlignment="1">
      <alignment horizontal="center"/>
    </xf>
    <xf numFmtId="0" fontId="5" fillId="0" borderId="0" xfId="4" applyFont="1" applyFill="1" applyAlignment="1">
      <alignment horizontal="center"/>
    </xf>
    <xf numFmtId="0" fontId="2" fillId="0" borderId="0" xfId="4" quotePrefix="1" applyFont="1" applyFill="1" applyBorder="1" applyAlignment="1">
      <alignment horizontal="center"/>
    </xf>
    <xf numFmtId="0" fontId="2" fillId="0" borderId="1" xfId="4" applyFont="1" applyFill="1" applyBorder="1" applyAlignment="1">
      <alignment horizontal="center"/>
    </xf>
    <xf numFmtId="0" fontId="2" fillId="0" borderId="0" xfId="4" applyFill="1" applyAlignment="1">
      <alignment horizontal="center"/>
    </xf>
    <xf numFmtId="5" fontId="2" fillId="0" borderId="0" xfId="5" applyNumberFormat="1" applyBorder="1" applyAlignment="1">
      <alignment horizontal="center"/>
    </xf>
    <xf numFmtId="0" fontId="2" fillId="0" borderId="0" xfId="4" quotePrefix="1" applyFont="1" applyFill="1" applyAlignment="1">
      <alignment horizontal="center"/>
    </xf>
    <xf numFmtId="0" fontId="2" fillId="0" borderId="0" xfId="4" applyFill="1" applyBorder="1" applyAlignment="1">
      <alignment horizontal="center"/>
    </xf>
    <xf numFmtId="0" fontId="2" fillId="0" borderId="2" xfId="4" applyFill="1" applyBorder="1" applyAlignment="1">
      <alignment horizontal="center"/>
    </xf>
    <xf numFmtId="0" fontId="5" fillId="0" borderId="2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2" fillId="0" borderId="2" xfId="4" applyFont="1" applyFill="1" applyBorder="1" applyAlignment="1">
      <alignment horizontal="center"/>
    </xf>
    <xf numFmtId="6" fontId="2" fillId="0" borderId="2" xfId="4" quotePrefix="1" applyNumberFormat="1" applyFont="1" applyFill="1" applyBorder="1" applyAlignment="1">
      <alignment horizontal="center"/>
    </xf>
    <xf numFmtId="5" fontId="2" fillId="0" borderId="1" xfId="5" quotePrefix="1" applyNumberFormat="1" applyBorder="1" applyAlignment="1">
      <alignment horizontal="center"/>
    </xf>
    <xf numFmtId="6" fontId="2" fillId="0" borderId="0" xfId="4" quotePrefix="1" applyNumberFormat="1" applyFont="1" applyFill="1" applyBorder="1" applyAlignment="1">
      <alignment horizontal="center"/>
    </xf>
    <xf numFmtId="0" fontId="2" fillId="0" borderId="1" xfId="4" quotePrefix="1" applyFont="1" applyFill="1" applyBorder="1" applyAlignment="1">
      <alignment horizontal="center"/>
    </xf>
    <xf numFmtId="6" fontId="2" fillId="0" borderId="1" xfId="4" quotePrefix="1" applyNumberFormat="1" applyFont="1" applyFill="1" applyBorder="1" applyAlignment="1">
      <alignment horizontal="center"/>
    </xf>
    <xf numFmtId="0" fontId="2" fillId="0" borderId="0" xfId="4" quotePrefix="1" applyFont="1" applyFill="1"/>
    <xf numFmtId="0" fontId="8" fillId="0" borderId="0" xfId="4" applyFont="1" applyFill="1"/>
    <xf numFmtId="0" fontId="5" fillId="0" borderId="0" xfId="4" quotePrefix="1" applyFont="1" applyFill="1" applyAlignment="1">
      <alignment horizontal="center"/>
    </xf>
    <xf numFmtId="37" fontId="2" fillId="0" borderId="0" xfId="4" applyNumberFormat="1" applyFont="1" applyFill="1" applyProtection="1"/>
    <xf numFmtId="5" fontId="5" fillId="0" borderId="0" xfId="4" applyNumberFormat="1" applyFont="1" applyFill="1" applyProtection="1">
      <protection locked="0"/>
    </xf>
    <xf numFmtId="10" fontId="5" fillId="0" borderId="0" xfId="3" applyNumberFormat="1" applyFont="1" applyFill="1" applyProtection="1">
      <protection locked="0"/>
    </xf>
    <xf numFmtId="5" fontId="5" fillId="0" borderId="0" xfId="3" applyNumberFormat="1" applyFont="1" applyFill="1" applyProtection="1">
      <protection locked="0"/>
    </xf>
    <xf numFmtId="164" fontId="5" fillId="0" borderId="0" xfId="3" applyNumberFormat="1" applyFont="1" applyFill="1" applyProtection="1">
      <protection locked="0"/>
    </xf>
    <xf numFmtId="165" fontId="5" fillId="0" borderId="0" xfId="1" applyNumberFormat="1" applyFont="1" applyFill="1" applyProtection="1">
      <protection locked="0"/>
    </xf>
    <xf numFmtId="166" fontId="2" fillId="0" borderId="0" xfId="4" applyNumberFormat="1" applyFont="1" applyFill="1" applyProtection="1"/>
    <xf numFmtId="0" fontId="2" fillId="0" borderId="0" xfId="4" applyFont="1" applyFill="1" applyBorder="1"/>
    <xf numFmtId="10" fontId="5" fillId="0" borderId="0" xfId="3" applyNumberFormat="1" applyFont="1" applyFill="1" applyBorder="1" applyProtection="1">
      <protection locked="0"/>
    </xf>
    <xf numFmtId="2" fontId="2" fillId="0" borderId="0" xfId="4" applyNumberFormat="1" applyFont="1" applyFill="1"/>
    <xf numFmtId="0" fontId="2" fillId="0" borderId="2" xfId="4" applyFill="1" applyBorder="1"/>
    <xf numFmtId="0" fontId="2" fillId="0" borderId="1" xfId="4" applyFill="1" applyBorder="1"/>
    <xf numFmtId="164" fontId="2" fillId="0" borderId="1" xfId="3" applyNumberFormat="1" applyFont="1" applyFill="1" applyBorder="1"/>
    <xf numFmtId="164" fontId="2" fillId="0" borderId="1" xfId="4" applyNumberFormat="1" applyFill="1" applyBorder="1"/>
    <xf numFmtId="165" fontId="2" fillId="0" borderId="1" xfId="4" applyNumberFormat="1" applyFill="1" applyBorder="1"/>
    <xf numFmtId="0" fontId="0" fillId="0" borderId="0" xfId="0" applyFill="1" applyBorder="1"/>
    <xf numFmtId="164" fontId="2" fillId="0" borderId="0" xfId="4" applyNumberFormat="1" applyFill="1"/>
    <xf numFmtId="165" fontId="2" fillId="0" borderId="0" xfId="4" applyNumberFormat="1" applyFill="1"/>
    <xf numFmtId="0" fontId="10" fillId="0" borderId="0" xfId="6" applyFont="1" applyFill="1" applyAlignment="1">
      <alignment horizontal="center"/>
    </xf>
    <xf numFmtId="37" fontId="2" fillId="0" borderId="0" xfId="4" applyNumberFormat="1" applyFill="1" applyProtection="1"/>
    <xf numFmtId="5" fontId="2" fillId="0" borderId="0" xfId="4" applyNumberFormat="1" applyFill="1" applyProtection="1"/>
    <xf numFmtId="165" fontId="5" fillId="0" borderId="0" xfId="3" applyNumberFormat="1" applyFont="1" applyFill="1" applyProtection="1">
      <protection locked="0"/>
    </xf>
    <xf numFmtId="167" fontId="0" fillId="0" borderId="0" xfId="0" applyNumberFormat="1" applyFill="1" applyBorder="1" applyProtection="1"/>
    <xf numFmtId="37" fontId="2" fillId="0" borderId="0" xfId="4" applyNumberFormat="1" applyFill="1"/>
    <xf numFmtId="5" fontId="2" fillId="0" borderId="0" xfId="4" applyNumberFormat="1" applyFill="1"/>
    <xf numFmtId="164" fontId="2" fillId="0" borderId="0" xfId="3" applyNumberFormat="1" applyFont="1" applyFill="1"/>
    <xf numFmtId="0" fontId="10" fillId="0" borderId="0" xfId="6" applyFont="1" applyFill="1"/>
    <xf numFmtId="37" fontId="2" fillId="0" borderId="2" xfId="4" applyNumberFormat="1" applyFill="1" applyBorder="1" applyProtection="1"/>
    <xf numFmtId="5" fontId="2" fillId="0" borderId="2" xfId="4" applyNumberFormat="1" applyFill="1" applyBorder="1" applyProtection="1"/>
    <xf numFmtId="5" fontId="2" fillId="0" borderId="0" xfId="4" applyNumberFormat="1" applyFill="1" applyBorder="1" applyProtection="1"/>
    <xf numFmtId="164" fontId="5" fillId="0" borderId="1" xfId="3" applyNumberFormat="1" applyFont="1" applyFill="1" applyBorder="1" applyProtection="1">
      <protection locked="0"/>
    </xf>
    <xf numFmtId="166" fontId="2" fillId="0" borderId="1" xfId="4" applyNumberFormat="1" applyFont="1" applyFill="1" applyBorder="1" applyProtection="1"/>
    <xf numFmtId="167" fontId="2" fillId="0" borderId="0" xfId="0" applyNumberFormat="1" applyFont="1" applyFill="1" applyBorder="1" applyProtection="1"/>
    <xf numFmtId="37" fontId="2" fillId="0" borderId="0" xfId="4" applyNumberFormat="1" applyFill="1" applyBorder="1" applyProtection="1"/>
    <xf numFmtId="164" fontId="2" fillId="0" borderId="0" xfId="4" applyNumberFormat="1" applyFill="1" applyBorder="1" applyProtection="1"/>
    <xf numFmtId="10" fontId="2" fillId="0" borderId="0" xfId="4" applyNumberFormat="1" applyFill="1" applyBorder="1" applyProtection="1"/>
    <xf numFmtId="165" fontId="2" fillId="0" borderId="0" xfId="4" applyNumberFormat="1" applyFill="1" applyBorder="1" applyProtection="1"/>
    <xf numFmtId="0" fontId="11" fillId="0" borderId="0" xfId="4" applyFont="1" applyFill="1"/>
    <xf numFmtId="37" fontId="2" fillId="0" borderId="3" xfId="4" applyNumberFormat="1" applyFill="1" applyBorder="1"/>
    <xf numFmtId="5" fontId="2" fillId="0" borderId="3" xfId="4" applyNumberFormat="1" applyFill="1" applyBorder="1"/>
    <xf numFmtId="5" fontId="2" fillId="0" borderId="0" xfId="4" applyNumberFormat="1" applyFill="1" applyBorder="1"/>
    <xf numFmtId="164" fontId="5" fillId="0" borderId="3" xfId="3" applyNumberFormat="1" applyFont="1" applyFill="1" applyBorder="1" applyProtection="1">
      <protection locked="0"/>
    </xf>
    <xf numFmtId="167" fontId="0" fillId="0" borderId="3" xfId="0" applyNumberFormat="1" applyFill="1" applyBorder="1" applyProtection="1"/>
    <xf numFmtId="0" fontId="2" fillId="0" borderId="0" xfId="4" applyFont="1" applyFill="1" applyAlignment="1">
      <alignment horizontal="left"/>
    </xf>
    <xf numFmtId="0" fontId="2" fillId="0" borderId="0" xfId="4" quotePrefix="1" applyFont="1" applyFill="1" applyAlignment="1">
      <alignment horizontal="left"/>
    </xf>
    <xf numFmtId="37" fontId="2" fillId="0" borderId="0" xfId="4" applyNumberFormat="1" applyFill="1" applyBorder="1"/>
    <xf numFmtId="10" fontId="5" fillId="0" borderId="0" xfId="3" quotePrefix="1" applyNumberFormat="1" applyFont="1" applyFill="1" applyBorder="1" applyProtection="1">
      <protection locked="0"/>
    </xf>
    <xf numFmtId="0" fontId="12" fillId="0" borderId="0" xfId="6" applyFont="1" applyFill="1"/>
    <xf numFmtId="37" fontId="2" fillId="0" borderId="3" xfId="4" applyNumberFormat="1" applyFont="1" applyFill="1" applyBorder="1" applyProtection="1"/>
    <xf numFmtId="5" fontId="5" fillId="0" borderId="3" xfId="3" applyNumberFormat="1" applyFont="1" applyFill="1" applyBorder="1" applyProtection="1">
      <protection locked="0"/>
    </xf>
    <xf numFmtId="5" fontId="2" fillId="0" borderId="0" xfId="4" applyNumberFormat="1" applyFont="1" applyFill="1"/>
    <xf numFmtId="5" fontId="2" fillId="0" borderId="0" xfId="4" applyNumberFormat="1" applyFont="1" applyFill="1" applyBorder="1"/>
    <xf numFmtId="164" fontId="5" fillId="0" borderId="0" xfId="3" applyNumberFormat="1" applyFont="1" applyFill="1" applyBorder="1" applyProtection="1">
      <protection locked="0"/>
    </xf>
    <xf numFmtId="0" fontId="2" fillId="0" borderId="0" xfId="4" applyFont="1" applyFill="1" applyAlignment="1">
      <alignment horizontal="right"/>
    </xf>
    <xf numFmtId="43" fontId="2" fillId="0" borderId="0" xfId="1" applyFont="1" applyFill="1"/>
    <xf numFmtId="10" fontId="2" fillId="0" borderId="0" xfId="3" applyNumberFormat="1" applyFont="1" applyFill="1"/>
    <xf numFmtId="168" fontId="13" fillId="0" borderId="0" xfId="2" applyNumberFormat="1" applyFont="1" applyFill="1"/>
    <xf numFmtId="164" fontId="13" fillId="0" borderId="0" xfId="3" applyNumberFormat="1" applyFont="1" applyFill="1" applyBorder="1" applyProtection="1">
      <protection locked="0"/>
    </xf>
    <xf numFmtId="1" fontId="2" fillId="0" borderId="0" xfId="4" applyNumberFormat="1" applyFill="1"/>
    <xf numFmtId="164" fontId="2" fillId="0" borderId="0" xfId="3" applyNumberFormat="1" applyFont="1" applyFill="1" applyBorder="1"/>
    <xf numFmtId="1" fontId="13" fillId="0" borderId="0" xfId="4" applyNumberFormat="1" applyFont="1" applyFill="1"/>
    <xf numFmtId="164" fontId="13" fillId="0" borderId="0" xfId="3" applyNumberFormat="1" applyFont="1" applyFill="1"/>
    <xf numFmtId="169" fontId="2" fillId="0" borderId="0" xfId="4" applyNumberFormat="1" applyFill="1"/>
    <xf numFmtId="164" fontId="14" fillId="0" borderId="0" xfId="3" applyNumberFormat="1" applyFont="1" applyFill="1"/>
    <xf numFmtId="5" fontId="2" fillId="0" borderId="3" xfId="4" applyNumberFormat="1" applyFont="1" applyFill="1" applyBorder="1"/>
    <xf numFmtId="0" fontId="2" fillId="0" borderId="1" xfId="4" quotePrefix="1" applyFont="1" applyFill="1" applyBorder="1" applyAlignment="1">
      <alignment horizontal="center"/>
    </xf>
    <xf numFmtId="167" fontId="2" fillId="0" borderId="1" xfId="4" applyNumberFormat="1" applyFill="1" applyBorder="1"/>
    <xf numFmtId="167" fontId="2" fillId="0" borderId="0" xfId="4" applyNumberFormat="1" applyFill="1"/>
    <xf numFmtId="167" fontId="0" fillId="0" borderId="1" xfId="0" applyNumberFormat="1" applyFill="1" applyBorder="1" applyProtection="1"/>
    <xf numFmtId="167" fontId="2" fillId="0" borderId="0" xfId="4" applyNumberFormat="1" applyFill="1" applyBorder="1" applyProtection="1"/>
    <xf numFmtId="10" fontId="2" fillId="0" borderId="0" xfId="4" applyNumberFormat="1" applyFont="1" applyFill="1"/>
    <xf numFmtId="0" fontId="15" fillId="0" borderId="0" xfId="0" applyFont="1" applyFill="1" applyAlignment="1">
      <alignment horizontal="center"/>
    </xf>
    <xf numFmtId="3" fontId="0" fillId="0" borderId="0" xfId="0" applyNumberFormat="1" applyFill="1" applyBorder="1"/>
    <xf numFmtId="0" fontId="0" fillId="0" borderId="0" xfId="0" applyFill="1"/>
    <xf numFmtId="0" fontId="16" fillId="0" borderId="0" xfId="0" quotePrefix="1" applyNumberFormat="1" applyFont="1" applyFill="1" applyAlignment="1">
      <alignment horizontal="center"/>
    </xf>
    <xf numFmtId="0" fontId="12" fillId="0" borderId="0" xfId="0" quotePrefix="1" applyFont="1" applyFill="1" applyAlignment="1" applyProtection="1">
      <alignment horizontal="center"/>
    </xf>
    <xf numFmtId="0" fontId="12" fillId="0" borderId="0" xfId="0" quotePrefix="1" applyFont="1" applyFill="1" applyAlignment="1" applyProtection="1">
      <alignment horizontal="centerContinuous"/>
    </xf>
    <xf numFmtId="0" fontId="16" fillId="0" borderId="0" xfId="0" applyFont="1" applyFill="1" applyAlignment="1" applyProtection="1">
      <alignment horizontal="centerContinuous"/>
    </xf>
    <xf numFmtId="37" fontId="16" fillId="0" borderId="0" xfId="0" applyNumberFormat="1" applyFont="1" applyFill="1" applyAlignment="1" applyProtection="1">
      <alignment horizontal="centerContinuous"/>
    </xf>
    <xf numFmtId="3" fontId="0" fillId="0" borderId="0" xfId="0" applyNumberFormat="1" applyFill="1"/>
    <xf numFmtId="0" fontId="16" fillId="0" borderId="0" xfId="0" applyFont="1" applyFill="1" applyProtection="1"/>
    <xf numFmtId="37" fontId="12" fillId="0" borderId="0" xfId="0" applyNumberFormat="1" applyFont="1" applyFill="1" applyAlignment="1" applyProtection="1">
      <alignment horizontal="center"/>
    </xf>
    <xf numFmtId="0" fontId="12" fillId="0" borderId="0" xfId="0" applyFont="1" applyFill="1" applyProtection="1"/>
    <xf numFmtId="0" fontId="12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37" fontId="12" fillId="0" borderId="2" xfId="0" applyNumberFormat="1" applyFont="1" applyFill="1" applyBorder="1" applyAlignment="1" applyProtection="1">
      <alignment horizontal="center"/>
    </xf>
    <xf numFmtId="0" fontId="12" fillId="0" borderId="2" xfId="0" applyFont="1" applyFill="1" applyBorder="1" applyAlignment="1" applyProtection="1">
      <alignment horizontal="center"/>
    </xf>
    <xf numFmtId="0" fontId="12" fillId="0" borderId="2" xfId="0" applyFont="1" applyFill="1" applyBorder="1" applyProtection="1"/>
    <xf numFmtId="0" fontId="17" fillId="0" borderId="0" xfId="0" applyFont="1" applyFill="1"/>
    <xf numFmtId="5" fontId="0" fillId="0" borderId="0" xfId="0" applyNumberFormat="1" applyFill="1" applyProtection="1"/>
    <xf numFmtId="37" fontId="0" fillId="0" borderId="0" xfId="0" applyNumberFormat="1" applyFill="1"/>
    <xf numFmtId="7" fontId="14" fillId="0" borderId="0" xfId="2" applyNumberFormat="1" applyFont="1" applyFill="1"/>
    <xf numFmtId="5" fontId="5" fillId="0" borderId="0" xfId="0" applyNumberFormat="1" applyFont="1" applyFill="1" applyProtection="1"/>
    <xf numFmtId="170" fontId="2" fillId="0" borderId="0" xfId="1" applyNumberFormat="1" applyFont="1" applyFill="1"/>
    <xf numFmtId="43" fontId="0" fillId="0" borderId="0" xfId="0" applyNumberFormat="1" applyFill="1"/>
    <xf numFmtId="7" fontId="14" fillId="0" borderId="0" xfId="0" applyNumberFormat="1" applyFont="1" applyFill="1"/>
    <xf numFmtId="5" fontId="0" fillId="0" borderId="0" xfId="0" applyNumberFormat="1" applyFill="1"/>
    <xf numFmtId="0" fontId="14" fillId="0" borderId="0" xfId="2" applyNumberFormat="1" applyFont="1" applyFill="1"/>
    <xf numFmtId="0" fontId="14" fillId="0" borderId="0" xfId="0" applyFont="1" applyFill="1"/>
    <xf numFmtId="7" fontId="14" fillId="0" borderId="0" xfId="2" applyNumberFormat="1" applyFont="1" applyFill="1" applyBorder="1"/>
    <xf numFmtId="0" fontId="2" fillId="0" borderId="0" xfId="0" applyFont="1" applyFill="1"/>
    <xf numFmtId="0" fontId="2" fillId="0" borderId="0" xfId="7" applyFont="1" applyFill="1"/>
    <xf numFmtId="0" fontId="2" fillId="0" borderId="0" xfId="7" applyFill="1"/>
    <xf numFmtId="37" fontId="2" fillId="0" borderId="0" xfId="7" applyNumberFormat="1" applyFill="1"/>
    <xf numFmtId="0" fontId="2" fillId="0" borderId="0" xfId="7" applyFill="1" applyBorder="1"/>
    <xf numFmtId="5" fontId="5" fillId="0" borderId="0" xfId="7" applyNumberFormat="1" applyFont="1" applyFill="1" applyProtection="1"/>
    <xf numFmtId="167" fontId="14" fillId="0" borderId="0" xfId="7" applyNumberFormat="1" applyFont="1" applyFill="1" applyProtection="1">
      <protection locked="0"/>
    </xf>
    <xf numFmtId="0" fontId="5" fillId="0" borderId="0" xfId="7" applyFont="1" applyFill="1" applyProtection="1"/>
    <xf numFmtId="5" fontId="2" fillId="0" borderId="0" xfId="7" applyNumberFormat="1" applyFill="1"/>
    <xf numFmtId="43" fontId="2" fillId="0" borderId="0" xfId="7" applyNumberFormat="1" applyFill="1"/>
    <xf numFmtId="37" fontId="0" fillId="0" borderId="0" xfId="0" applyNumberFormat="1" applyFill="1" applyBorder="1"/>
    <xf numFmtId="171" fontId="2" fillId="0" borderId="0" xfId="1" applyNumberFormat="1" applyFont="1" applyFill="1"/>
    <xf numFmtId="5" fontId="0" fillId="0" borderId="0" xfId="0" applyNumberFormat="1" applyFill="1" applyBorder="1" applyProtection="1"/>
    <xf numFmtId="5" fontId="5" fillId="0" borderId="2" xfId="0" applyNumberFormat="1" applyFont="1" applyFill="1" applyBorder="1" applyProtection="1"/>
    <xf numFmtId="5" fontId="5" fillId="0" borderId="0" xfId="0" applyNumberFormat="1" applyFont="1" applyFill="1" applyBorder="1" applyProtection="1"/>
    <xf numFmtId="0" fontId="0" fillId="0" borderId="0" xfId="0" applyFill="1" applyProtection="1"/>
    <xf numFmtId="3" fontId="2" fillId="0" borderId="0" xfId="0" applyNumberFormat="1" applyFont="1" applyFill="1" applyAlignment="1">
      <alignment horizontal="center"/>
    </xf>
    <xf numFmtId="37" fontId="0" fillId="0" borderId="4" xfId="0" applyNumberFormat="1" applyFont="1" applyFill="1" applyBorder="1" applyProtection="1"/>
    <xf numFmtId="5" fontId="5" fillId="0" borderId="4" xfId="0" applyNumberFormat="1" applyFont="1" applyFill="1" applyBorder="1" applyProtection="1"/>
    <xf numFmtId="5" fontId="5" fillId="0" borderId="5" xfId="0" applyNumberFormat="1" applyFont="1" applyFill="1" applyBorder="1" applyProtection="1"/>
    <xf numFmtId="0" fontId="0" fillId="0" borderId="6" xfId="0" applyFill="1" applyBorder="1"/>
    <xf numFmtId="5" fontId="0" fillId="0" borderId="7" xfId="0" applyNumberFormat="1" applyFill="1" applyBorder="1"/>
    <xf numFmtId="164" fontId="0" fillId="0" borderId="8" xfId="3" applyNumberFormat="1" applyFont="1" applyFill="1" applyBorder="1"/>
    <xf numFmtId="10" fontId="0" fillId="0" borderId="0" xfId="3" applyNumberFormat="1" applyFont="1" applyFill="1" applyBorder="1"/>
    <xf numFmtId="0" fontId="0" fillId="0" borderId="0" xfId="0" quotePrefix="1" applyFont="1" applyFill="1"/>
    <xf numFmtId="37" fontId="0" fillId="0" borderId="0" xfId="0" applyNumberFormat="1" applyFont="1" applyFill="1" applyBorder="1" applyProtection="1"/>
    <xf numFmtId="0" fontId="0" fillId="0" borderId="9" xfId="0" applyFill="1" applyBorder="1"/>
    <xf numFmtId="5" fontId="0" fillId="0" borderId="0" xfId="0" applyNumberFormat="1" applyFill="1" applyBorder="1"/>
    <xf numFmtId="164" fontId="0" fillId="0" borderId="10" xfId="3" applyNumberFormat="1" applyFont="1" applyFill="1" applyBorder="1"/>
    <xf numFmtId="37" fontId="0" fillId="0" borderId="0" xfId="0" applyNumberFormat="1" applyFill="1" applyProtection="1"/>
    <xf numFmtId="0" fontId="5" fillId="0" borderId="0" xfId="0" applyFont="1" applyFill="1" applyProtection="1"/>
    <xf numFmtId="0" fontId="0" fillId="0" borderId="11" xfId="0" applyFill="1" applyBorder="1"/>
    <xf numFmtId="5" fontId="0" fillId="0" borderId="1" xfId="0" applyNumberFormat="1" applyFill="1" applyBorder="1"/>
    <xf numFmtId="0" fontId="0" fillId="0" borderId="12" xfId="0" applyFill="1" applyBorder="1"/>
    <xf numFmtId="10" fontId="0" fillId="0" borderId="0" xfId="0" applyNumberFormat="1" applyFill="1" applyBorder="1"/>
    <xf numFmtId="172" fontId="2" fillId="0" borderId="0" xfId="3" applyNumberFormat="1" applyFont="1" applyFill="1"/>
    <xf numFmtId="0" fontId="18" fillId="0" borderId="0" xfId="8" applyFont="1" applyFill="1" applyBorder="1"/>
    <xf numFmtId="173" fontId="18" fillId="0" borderId="0" xfId="8" applyNumberFormat="1" applyFont="1" applyFill="1" applyBorder="1"/>
    <xf numFmtId="0" fontId="18" fillId="0" borderId="0" xfId="8" applyFont="1" applyFill="1" applyBorder="1" applyAlignment="1">
      <alignment horizontal="right"/>
    </xf>
    <xf numFmtId="170" fontId="18" fillId="0" borderId="0" xfId="1" applyNumberFormat="1" applyFont="1" applyFill="1" applyBorder="1"/>
    <xf numFmtId="0" fontId="18" fillId="0" borderId="0" xfId="8" applyFont="1" applyFill="1" applyBorder="1" applyAlignment="1">
      <alignment horizontal="left"/>
    </xf>
    <xf numFmtId="7" fontId="18" fillId="0" borderId="0" xfId="8" applyNumberFormat="1" applyFont="1" applyFill="1" applyBorder="1" applyAlignment="1">
      <alignment horizontal="right"/>
    </xf>
    <xf numFmtId="171" fontId="18" fillId="0" borderId="0" xfId="1" applyNumberFormat="1" applyFont="1" applyFill="1" applyBorder="1"/>
    <xf numFmtId="170" fontId="19" fillId="0" borderId="0" xfId="1" applyNumberFormat="1" applyFont="1" applyFill="1" applyBorder="1"/>
    <xf numFmtId="7" fontId="18" fillId="0" borderId="0" xfId="8" applyNumberFormat="1" applyFont="1" applyFill="1" applyBorder="1"/>
    <xf numFmtId="0" fontId="18" fillId="0" borderId="0" xfId="8" applyFont="1" applyFill="1" applyBorder="1" applyAlignment="1">
      <alignment horizontal="center"/>
    </xf>
    <xf numFmtId="10" fontId="20" fillId="0" borderId="0" xfId="8" applyNumberFormat="1" applyFont="1" applyFill="1" applyBorder="1"/>
    <xf numFmtId="5" fontId="18" fillId="0" borderId="0" xfId="8" applyNumberFormat="1" applyFont="1" applyFill="1" applyBorder="1"/>
    <xf numFmtId="10" fontId="18" fillId="0" borderId="0" xfId="3" applyNumberFormat="1" applyFont="1" applyFill="1" applyBorder="1"/>
    <xf numFmtId="0" fontId="17" fillId="0" borderId="0" xfId="0" applyFont="1" applyFill="1" applyProtection="1"/>
    <xf numFmtId="37" fontId="5" fillId="0" borderId="0" xfId="0" applyNumberFormat="1" applyFont="1" applyFill="1" applyProtection="1"/>
    <xf numFmtId="0" fontId="0" fillId="0" borderId="0" xfId="0" applyFill="1" applyBorder="1" applyAlignment="1">
      <alignment horizontal="right"/>
    </xf>
    <xf numFmtId="0" fontId="5" fillId="0" borderId="0" xfId="0" applyFont="1" applyFill="1" applyProtection="1">
      <protection locked="0"/>
    </xf>
    <xf numFmtId="3" fontId="2" fillId="0" borderId="0" xfId="0" applyNumberFormat="1" applyFont="1" applyFill="1" applyBorder="1" applyAlignment="1">
      <alignment horizontal="center"/>
    </xf>
    <xf numFmtId="7" fontId="14" fillId="0" borderId="0" xfId="0" applyNumberFormat="1" applyFont="1" applyFill="1" applyProtection="1">
      <protection locked="0"/>
    </xf>
    <xf numFmtId="9" fontId="0" fillId="0" borderId="0" xfId="3" applyFont="1" applyFill="1"/>
    <xf numFmtId="167" fontId="14" fillId="0" borderId="0" xfId="0" applyNumberFormat="1" applyFont="1" applyFill="1" applyProtection="1">
      <protection locked="0"/>
    </xf>
    <xf numFmtId="3" fontId="2" fillId="0" borderId="0" xfId="0" applyNumberFormat="1" applyFont="1" applyFill="1"/>
    <xf numFmtId="174" fontId="0" fillId="0" borderId="0" xfId="0" applyNumberFormat="1" applyFill="1"/>
    <xf numFmtId="168" fontId="2" fillId="0" borderId="0" xfId="2" applyNumberFormat="1" applyFont="1" applyFill="1"/>
    <xf numFmtId="0" fontId="5" fillId="0" borderId="0" xfId="0" applyFont="1" applyFill="1"/>
    <xf numFmtId="7" fontId="5" fillId="0" borderId="0" xfId="0" applyNumberFormat="1" applyFont="1" applyFill="1" applyProtection="1">
      <protection locked="0"/>
    </xf>
    <xf numFmtId="37" fontId="5" fillId="0" borderId="0" xfId="7" applyNumberFormat="1" applyFont="1" applyFill="1" applyProtection="1"/>
    <xf numFmtId="0" fontId="2" fillId="2" borderId="0" xfId="7" applyFont="1" applyFill="1"/>
    <xf numFmtId="0" fontId="2" fillId="2" borderId="0" xfId="7" applyFill="1"/>
    <xf numFmtId="37" fontId="5" fillId="2" borderId="0" xfId="7" applyNumberFormat="1" applyFont="1" applyFill="1" applyProtection="1"/>
    <xf numFmtId="7" fontId="14" fillId="2" borderId="0" xfId="2" applyNumberFormat="1" applyFont="1" applyFill="1" applyBorder="1"/>
    <xf numFmtId="0" fontId="2" fillId="2" borderId="0" xfId="7" applyFill="1" applyBorder="1"/>
    <xf numFmtId="5" fontId="5" fillId="2" borderId="0" xfId="7" applyNumberFormat="1" applyFont="1" applyFill="1" applyProtection="1"/>
    <xf numFmtId="167" fontId="14" fillId="2" borderId="0" xfId="7" applyNumberFormat="1" applyFont="1" applyFill="1" applyProtection="1">
      <protection locked="0"/>
    </xf>
    <xf numFmtId="0" fontId="5" fillId="2" borderId="0" xfId="7" applyFont="1" applyFill="1" applyProtection="1"/>
    <xf numFmtId="170" fontId="5" fillId="0" borderId="0" xfId="0" applyNumberFormat="1" applyFont="1" applyFill="1" applyProtection="1"/>
    <xf numFmtId="5" fontId="5" fillId="0" borderId="0" xfId="0" applyNumberFormat="1" applyFont="1" applyFill="1" applyProtection="1">
      <protection locked="0"/>
    </xf>
    <xf numFmtId="170" fontId="5" fillId="0" borderId="0" xfId="1" applyNumberFormat="1" applyFont="1" applyFill="1" applyProtection="1"/>
    <xf numFmtId="37" fontId="5" fillId="0" borderId="1" xfId="0" applyNumberFormat="1" applyFont="1" applyFill="1" applyBorder="1" applyProtection="1"/>
    <xf numFmtId="37" fontId="0" fillId="0" borderId="5" xfId="0" applyNumberFormat="1" applyFont="1" applyFill="1" applyBorder="1" applyProtection="1"/>
    <xf numFmtId="37" fontId="0" fillId="0" borderId="7" xfId="0" applyNumberFormat="1" applyFill="1" applyBorder="1"/>
    <xf numFmtId="10" fontId="0" fillId="0" borderId="6" xfId="0" applyNumberFormat="1" applyFill="1" applyBorder="1"/>
    <xf numFmtId="164" fontId="0" fillId="0" borderId="7" xfId="3" applyNumberFormat="1" applyFont="1" applyFill="1" applyBorder="1"/>
    <xf numFmtId="175" fontId="5" fillId="0" borderId="0" xfId="0" applyNumberFormat="1" applyFont="1" applyFill="1" applyProtection="1"/>
    <xf numFmtId="176" fontId="2" fillId="0" borderId="0" xfId="3" applyNumberFormat="1" applyFont="1" applyFill="1" applyBorder="1"/>
    <xf numFmtId="164" fontId="5" fillId="0" borderId="0" xfId="3" applyNumberFormat="1" applyFont="1" applyFill="1" applyProtection="1"/>
    <xf numFmtId="0" fontId="21" fillId="0" borderId="0" xfId="0" applyFont="1" applyFill="1" applyProtection="1"/>
    <xf numFmtId="0" fontId="2" fillId="0" borderId="0" xfId="0" applyFont="1" applyFill="1" applyBorder="1"/>
    <xf numFmtId="37" fontId="5" fillId="0" borderId="2" xfId="0" applyNumberFormat="1" applyFont="1" applyFill="1" applyBorder="1" applyProtection="1"/>
    <xf numFmtId="168" fontId="5" fillId="0" borderId="0" xfId="2" applyNumberFormat="1" applyFont="1" applyFill="1" applyProtection="1"/>
    <xf numFmtId="0" fontId="0" fillId="0" borderId="0" xfId="0" applyFill="1" applyAlignment="1">
      <alignment horizontal="right"/>
    </xf>
    <xf numFmtId="9" fontId="2" fillId="0" borderId="0" xfId="3" applyNumberFormat="1" applyFont="1" applyFill="1"/>
    <xf numFmtId="37" fontId="0" fillId="0" borderId="0" xfId="0" applyNumberFormat="1" applyFont="1" applyFill="1" applyProtection="1"/>
    <xf numFmtId="10" fontId="0" fillId="0" borderId="0" xfId="0" applyNumberFormat="1" applyFill="1"/>
    <xf numFmtId="5" fontId="0" fillId="0" borderId="0" xfId="0" applyNumberFormat="1" applyFont="1" applyFill="1" applyProtection="1"/>
    <xf numFmtId="5" fontId="0" fillId="0" borderId="0" xfId="0" applyNumberFormat="1" applyFont="1" applyFill="1" applyBorder="1" applyProtection="1"/>
    <xf numFmtId="0" fontId="0" fillId="0" borderId="0" xfId="0" applyFont="1" applyFill="1" applyProtection="1"/>
    <xf numFmtId="5" fontId="14" fillId="0" borderId="0" xfId="0" applyNumberFormat="1" applyFont="1" applyFill="1" applyProtection="1">
      <protection locked="0"/>
    </xf>
    <xf numFmtId="0" fontId="14" fillId="0" borderId="0" xfId="0" applyFont="1" applyFill="1" applyProtection="1">
      <protection locked="0"/>
    </xf>
    <xf numFmtId="9" fontId="0" fillId="0" borderId="0" xfId="0" applyNumberFormat="1" applyFill="1"/>
    <xf numFmtId="170" fontId="0" fillId="0" borderId="0" xfId="0" applyNumberFormat="1" applyFill="1"/>
    <xf numFmtId="7" fontId="0" fillId="0" borderId="0" xfId="0" applyNumberFormat="1" applyFill="1"/>
    <xf numFmtId="177" fontId="14" fillId="0" borderId="0" xfId="0" applyNumberFormat="1" applyFont="1" applyFill="1" applyProtection="1">
      <protection locked="0"/>
    </xf>
    <xf numFmtId="5" fontId="2" fillId="0" borderId="0" xfId="7" applyNumberFormat="1" applyFont="1" applyFill="1" applyBorder="1" applyProtection="1"/>
    <xf numFmtId="37" fontId="2" fillId="0" borderId="0" xfId="7" applyNumberFormat="1" applyFont="1" applyFill="1" applyProtection="1"/>
    <xf numFmtId="0" fontId="2" fillId="0" borderId="0" xfId="7" applyFont="1" applyFill="1" applyProtection="1"/>
    <xf numFmtId="37" fontId="2" fillId="2" borderId="0" xfId="7" applyNumberFormat="1" applyFont="1" applyFill="1" applyProtection="1"/>
    <xf numFmtId="0" fontId="2" fillId="2" borderId="0" xfId="7" applyFont="1" applyFill="1" applyProtection="1"/>
    <xf numFmtId="5" fontId="2" fillId="2" borderId="0" xfId="7" applyNumberFormat="1" applyFont="1" applyFill="1" applyBorder="1" applyProtection="1"/>
    <xf numFmtId="0" fontId="11" fillId="0" borderId="0" xfId="0" applyFont="1" applyFill="1" applyProtection="1"/>
    <xf numFmtId="164" fontId="14" fillId="0" borderId="0" xfId="0" applyNumberFormat="1" applyFont="1" applyFill="1" applyProtection="1"/>
    <xf numFmtId="165" fontId="2" fillId="0" borderId="0" xfId="1" applyNumberFormat="1" applyFont="1" applyFill="1"/>
    <xf numFmtId="7" fontId="0" fillId="0" borderId="0" xfId="0" applyNumberFormat="1" applyFont="1" applyFill="1" applyProtection="1"/>
    <xf numFmtId="166" fontId="0" fillId="0" borderId="0" xfId="0" applyNumberFormat="1" applyFont="1" applyFill="1" applyProtection="1"/>
    <xf numFmtId="39" fontId="0" fillId="0" borderId="0" xfId="0" applyNumberFormat="1" applyFont="1" applyFill="1" applyProtection="1"/>
    <xf numFmtId="7" fontId="14" fillId="0" borderId="0" xfId="0" applyNumberFormat="1" applyFont="1" applyFill="1" applyProtection="1"/>
    <xf numFmtId="39" fontId="14" fillId="0" borderId="0" xfId="0" applyNumberFormat="1" applyFont="1" applyFill="1" applyProtection="1">
      <protection locked="0"/>
    </xf>
    <xf numFmtId="178" fontId="2" fillId="0" borderId="0" xfId="3" applyNumberFormat="1" applyFont="1" applyFill="1"/>
    <xf numFmtId="37" fontId="0" fillId="0" borderId="1" xfId="0" applyNumberFormat="1" applyFont="1" applyFill="1" applyBorder="1" applyProtection="1"/>
    <xf numFmtId="5" fontId="0" fillId="0" borderId="2" xfId="0" applyNumberFormat="1" applyFont="1" applyFill="1" applyBorder="1" applyProtection="1"/>
    <xf numFmtId="170" fontId="0" fillId="0" borderId="5" xfId="0" applyNumberFormat="1" applyFont="1" applyFill="1" applyBorder="1" applyProtection="1"/>
    <xf numFmtId="10" fontId="17" fillId="0" borderId="5" xfId="0" applyNumberFormat="1" applyFont="1" applyFill="1" applyBorder="1" applyProtection="1"/>
    <xf numFmtId="5" fontId="0" fillId="0" borderId="5" xfId="0" applyNumberFormat="1" applyFont="1" applyFill="1" applyBorder="1" applyProtection="1"/>
    <xf numFmtId="0" fontId="5" fillId="0" borderId="5" xfId="0" applyFont="1" applyFill="1" applyBorder="1" applyProtection="1"/>
    <xf numFmtId="170" fontId="2" fillId="0" borderId="5" xfId="1" applyNumberFormat="1" applyFont="1" applyFill="1" applyBorder="1" applyProtection="1"/>
    <xf numFmtId="164" fontId="2" fillId="0" borderId="8" xfId="3" applyNumberFormat="1" applyFont="1" applyFill="1" applyBorder="1"/>
    <xf numFmtId="10" fontId="2" fillId="0" borderId="0" xfId="3" applyNumberFormat="1" applyFont="1" applyFill="1" applyBorder="1"/>
    <xf numFmtId="170" fontId="0" fillId="0" borderId="0" xfId="0" applyNumberFormat="1" applyFont="1" applyFill="1" applyBorder="1" applyProtection="1"/>
    <xf numFmtId="10" fontId="17" fillId="0" borderId="0" xfId="0" applyNumberFormat="1" applyFont="1" applyFill="1" applyBorder="1" applyProtection="1"/>
    <xf numFmtId="0" fontId="5" fillId="0" borderId="0" xfId="0" applyFont="1" applyFill="1" applyBorder="1" applyProtection="1"/>
    <xf numFmtId="170" fontId="2" fillId="0" borderId="0" xfId="1" applyNumberFormat="1" applyFont="1" applyFill="1" applyBorder="1" applyProtection="1"/>
    <xf numFmtId="164" fontId="2" fillId="0" borderId="12" xfId="3" applyNumberFormat="1" applyFont="1" applyFill="1" applyBorder="1"/>
    <xf numFmtId="10" fontId="0" fillId="0" borderId="7" xfId="0" applyNumberFormat="1" applyFill="1" applyBorder="1"/>
    <xf numFmtId="172" fontId="2" fillId="0" borderId="0" xfId="3" applyNumberFormat="1" applyFont="1" applyFill="1" applyBorder="1"/>
    <xf numFmtId="179" fontId="2" fillId="0" borderId="0" xfId="3" applyNumberFormat="1" applyFont="1" applyFill="1"/>
    <xf numFmtId="3" fontId="2" fillId="0" borderId="0" xfId="0" applyNumberFormat="1" applyFont="1" applyFill="1" applyBorder="1"/>
    <xf numFmtId="10" fontId="5" fillId="0" borderId="0" xfId="3" applyNumberFormat="1" applyFont="1" applyFill="1" applyProtection="1"/>
    <xf numFmtId="164" fontId="0" fillId="0" borderId="5" xfId="0" applyNumberFormat="1" applyFont="1" applyFill="1" applyBorder="1" applyProtection="1"/>
    <xf numFmtId="7" fontId="5" fillId="0" borderId="0" xfId="0" applyNumberFormat="1" applyFont="1" applyFill="1" applyProtection="1"/>
    <xf numFmtId="170" fontId="2" fillId="0" borderId="0" xfId="1" applyNumberFormat="1" applyFont="1" applyFill="1" applyBorder="1"/>
    <xf numFmtId="37" fontId="0" fillId="0" borderId="2" xfId="0" applyNumberFormat="1" applyFont="1" applyFill="1" applyBorder="1" applyProtection="1"/>
    <xf numFmtId="164" fontId="0" fillId="0" borderId="0" xfId="0" applyNumberFormat="1" applyFont="1" applyFill="1" applyBorder="1" applyProtection="1"/>
    <xf numFmtId="7" fontId="2" fillId="0" borderId="0" xfId="0" applyNumberFormat="1" applyFont="1" applyFill="1" applyProtection="1"/>
    <xf numFmtId="37" fontId="14" fillId="0" borderId="0" xfId="0" applyNumberFormat="1" applyFont="1" applyFill="1" applyProtection="1"/>
    <xf numFmtId="7" fontId="17" fillId="0" borderId="0" xfId="0" applyNumberFormat="1" applyFont="1" applyFill="1" applyProtection="1"/>
    <xf numFmtId="180" fontId="0" fillId="0" borderId="0" xfId="0" applyNumberFormat="1" applyFont="1" applyFill="1" applyProtection="1"/>
    <xf numFmtId="43" fontId="14" fillId="0" borderId="0" xfId="0" applyNumberFormat="1" applyFont="1" applyFill="1" applyProtection="1"/>
    <xf numFmtId="43" fontId="14" fillId="0" borderId="0" xfId="1" applyFont="1" applyFill="1" applyProtection="1">
      <protection locked="0"/>
    </xf>
    <xf numFmtId="5" fontId="2" fillId="0" borderId="0" xfId="7" applyNumberFormat="1" applyFont="1" applyFill="1" applyProtection="1"/>
    <xf numFmtId="0" fontId="22" fillId="0" borderId="0" xfId="0" applyFont="1" applyFill="1" applyProtection="1"/>
    <xf numFmtId="5" fontId="14" fillId="0" borderId="0" xfId="0" applyNumberFormat="1" applyFont="1" applyFill="1" applyProtection="1"/>
    <xf numFmtId="167" fontId="0" fillId="0" borderId="0" xfId="0" applyNumberFormat="1" applyFont="1" applyFill="1" applyProtection="1"/>
    <xf numFmtId="167" fontId="5" fillId="0" borderId="0" xfId="0" applyNumberFormat="1" applyFont="1" applyFill="1" applyProtection="1">
      <protection locked="0"/>
    </xf>
    <xf numFmtId="177" fontId="0" fillId="0" borderId="0" xfId="0" applyNumberFormat="1" applyFont="1" applyFill="1" applyProtection="1"/>
    <xf numFmtId="177" fontId="5" fillId="0" borderId="0" xfId="0" applyNumberFormat="1" applyFont="1" applyFill="1" applyProtection="1">
      <protection locked="0"/>
    </xf>
    <xf numFmtId="181" fontId="2" fillId="0" borderId="0" xfId="0" applyNumberFormat="1" applyFont="1" applyFill="1" applyProtection="1"/>
    <xf numFmtId="43" fontId="2" fillId="0" borderId="0" xfId="0" applyNumberFormat="1" applyFont="1" applyFill="1" applyProtection="1"/>
    <xf numFmtId="5" fontId="17" fillId="0" borderId="0" xfId="0" applyNumberFormat="1" applyFont="1" applyFill="1" applyProtection="1"/>
    <xf numFmtId="37" fontId="5" fillId="0" borderId="5" xfId="0" applyNumberFormat="1" applyFont="1" applyFill="1" applyBorder="1" applyProtection="1"/>
    <xf numFmtId="182" fontId="0" fillId="0" borderId="0" xfId="0" applyNumberFormat="1" applyFont="1" applyFill="1" applyProtection="1"/>
    <xf numFmtId="0" fontId="2" fillId="0" borderId="0" xfId="0" applyFont="1" applyFill="1" applyBorder="1" applyAlignment="1">
      <alignment horizontal="center"/>
    </xf>
    <xf numFmtId="7" fontId="2" fillId="0" borderId="0" xfId="0" applyNumberFormat="1" applyFont="1" applyFill="1" applyProtection="1">
      <protection locked="0"/>
    </xf>
    <xf numFmtId="165" fontId="14" fillId="0" borderId="0" xfId="1" applyNumberFormat="1" applyFont="1" applyFill="1" applyProtection="1">
      <protection locked="0"/>
    </xf>
    <xf numFmtId="165" fontId="14" fillId="2" borderId="0" xfId="1" applyNumberFormat="1" applyFont="1" applyFill="1" applyProtection="1">
      <protection locked="0"/>
    </xf>
    <xf numFmtId="5" fontId="2" fillId="2" borderId="0" xfId="7" applyNumberFormat="1" applyFont="1" applyFill="1" applyProtection="1"/>
    <xf numFmtId="183" fontId="0" fillId="0" borderId="0" xfId="0" applyNumberFormat="1" applyFill="1"/>
    <xf numFmtId="5" fontId="17" fillId="0" borderId="0" xfId="0" applyNumberFormat="1" applyFont="1" applyFill="1" applyProtection="1">
      <protection locked="0"/>
    </xf>
    <xf numFmtId="0" fontId="17" fillId="0" borderId="0" xfId="0" applyFont="1" applyFill="1" applyProtection="1">
      <protection locked="0"/>
    </xf>
    <xf numFmtId="183" fontId="2" fillId="0" borderId="0" xfId="0" applyNumberFormat="1" applyFont="1" applyFill="1"/>
    <xf numFmtId="168" fontId="5" fillId="0" borderId="0" xfId="0" applyNumberFormat="1" applyFont="1" applyFill="1" applyProtection="1"/>
    <xf numFmtId="184" fontId="2" fillId="0" borderId="0" xfId="1" applyNumberFormat="1" applyFont="1" applyFill="1"/>
    <xf numFmtId="10" fontId="20" fillId="0" borderId="0" xfId="8" applyNumberFormat="1" applyFont="1" applyFill="1"/>
    <xf numFmtId="7" fontId="18" fillId="0" borderId="0" xfId="8" applyNumberFormat="1" applyFont="1" applyFill="1"/>
    <xf numFmtId="37" fontId="5" fillId="0" borderId="0" xfId="0" applyNumberFormat="1" applyFont="1" applyFill="1" applyBorder="1" applyProtection="1"/>
    <xf numFmtId="5" fontId="2" fillId="0" borderId="0" xfId="0" applyNumberFormat="1" applyFont="1" applyFill="1" applyBorder="1" applyProtection="1"/>
    <xf numFmtId="172" fontId="2" fillId="0" borderId="12" xfId="3" applyNumberFormat="1" applyFont="1" applyFill="1" applyBorder="1"/>
    <xf numFmtId="165" fontId="14" fillId="0" borderId="0" xfId="0" applyNumberFormat="1" applyFont="1" applyFill="1" applyProtection="1">
      <protection locked="0"/>
    </xf>
    <xf numFmtId="43" fontId="14" fillId="0" borderId="0" xfId="0" applyNumberFormat="1" applyFont="1" applyFill="1" applyProtection="1">
      <protection locked="0"/>
    </xf>
    <xf numFmtId="43" fontId="14" fillId="0" borderId="0" xfId="1" applyNumberFormat="1" applyFont="1" applyFill="1" applyProtection="1">
      <protection locked="0"/>
    </xf>
    <xf numFmtId="3" fontId="2" fillId="0" borderId="0" xfId="7" applyNumberFormat="1" applyFill="1"/>
    <xf numFmtId="5" fontId="2" fillId="0" borderId="0" xfId="7" applyNumberFormat="1" applyFill="1" applyBorder="1"/>
    <xf numFmtId="3" fontId="2" fillId="0" borderId="0" xfId="7" applyNumberFormat="1" applyFill="1" applyBorder="1"/>
    <xf numFmtId="185" fontId="5" fillId="0" borderId="0" xfId="0" applyNumberFormat="1" applyFont="1" applyFill="1" applyProtection="1"/>
    <xf numFmtId="5" fontId="5" fillId="0" borderId="0" xfId="0" applyNumberFormat="1" applyFont="1" applyFill="1"/>
    <xf numFmtId="186" fontId="5" fillId="0" borderId="0" xfId="0" applyNumberFormat="1" applyFont="1" applyFill="1" applyProtection="1"/>
    <xf numFmtId="10" fontId="0" fillId="0" borderId="0" xfId="3" applyNumberFormat="1" applyFont="1" applyFill="1"/>
    <xf numFmtId="7" fontId="0" fillId="0" borderId="0" xfId="0" applyNumberFormat="1" applyFill="1" applyProtection="1"/>
    <xf numFmtId="4" fontId="0" fillId="0" borderId="0" xfId="0" applyNumberFormat="1" applyFill="1"/>
    <xf numFmtId="5" fontId="2" fillId="0" borderId="0" xfId="0" applyNumberFormat="1" applyFont="1" applyFill="1" applyProtection="1"/>
    <xf numFmtId="165" fontId="14" fillId="0" borderId="0" xfId="1" applyNumberFormat="1" applyFont="1" applyFill="1" applyProtection="1"/>
    <xf numFmtId="187" fontId="0" fillId="0" borderId="0" xfId="0" applyNumberFormat="1" applyFill="1"/>
    <xf numFmtId="43" fontId="14" fillId="0" borderId="0" xfId="1" applyFont="1" applyFill="1" applyProtection="1"/>
    <xf numFmtId="0" fontId="2" fillId="0" borderId="0" xfId="0" applyFont="1" applyFill="1" applyProtection="1"/>
    <xf numFmtId="165" fontId="14" fillId="2" borderId="0" xfId="1" applyNumberFormat="1" applyFont="1" applyFill="1" applyProtection="1"/>
    <xf numFmtId="174" fontId="5" fillId="0" borderId="0" xfId="0" applyNumberFormat="1" applyFont="1" applyFill="1" applyProtection="1"/>
    <xf numFmtId="43" fontId="14" fillId="0" borderId="0" xfId="1" applyNumberFormat="1" applyFont="1" applyFill="1" applyProtection="1"/>
    <xf numFmtId="5" fontId="2" fillId="0" borderId="1" xfId="7" applyNumberFormat="1" applyFont="1" applyFill="1" applyBorder="1" applyProtection="1"/>
    <xf numFmtId="164" fontId="0" fillId="0" borderId="0" xfId="0" applyNumberFormat="1" applyFill="1" applyBorder="1" applyProtection="1"/>
    <xf numFmtId="176" fontId="2" fillId="0" borderId="12" xfId="3" applyNumberFormat="1" applyFont="1" applyFill="1" applyBorder="1"/>
    <xf numFmtId="37" fontId="2" fillId="0" borderId="0" xfId="0" applyNumberFormat="1" applyFont="1" applyFill="1" applyProtection="1"/>
    <xf numFmtId="174" fontId="14" fillId="0" borderId="0" xfId="0" applyNumberFormat="1" applyFont="1" applyFill="1" applyProtection="1"/>
    <xf numFmtId="174" fontId="14" fillId="0" borderId="0" xfId="7" applyNumberFormat="1" applyFont="1" applyFill="1" applyProtection="1"/>
    <xf numFmtId="10" fontId="18" fillId="0" borderId="0" xfId="8" applyNumberFormat="1" applyFont="1" applyFill="1" applyBorder="1"/>
    <xf numFmtId="167" fontId="5" fillId="0" borderId="0" xfId="0" applyNumberFormat="1" applyFont="1" applyFill="1" applyProtection="1"/>
    <xf numFmtId="181" fontId="5" fillId="0" borderId="0" xfId="0" applyNumberFormat="1" applyFont="1" applyFill="1" applyProtection="1"/>
    <xf numFmtId="174" fontId="0" fillId="0" borderId="0" xfId="0" applyNumberFormat="1" applyFont="1" applyFill="1"/>
    <xf numFmtId="167" fontId="5" fillId="0" borderId="0" xfId="7" applyNumberFormat="1" applyFont="1" applyFill="1" applyProtection="1"/>
    <xf numFmtId="5" fontId="5" fillId="0" borderId="1" xfId="0" applyNumberFormat="1" applyFont="1" applyFill="1" applyBorder="1" applyProtection="1"/>
    <xf numFmtId="37" fontId="5" fillId="0" borderId="4" xfId="0" applyNumberFormat="1" applyFont="1" applyFill="1" applyBorder="1" applyProtection="1"/>
    <xf numFmtId="167" fontId="14" fillId="0" borderId="0" xfId="1" applyNumberFormat="1" applyFont="1" applyFill="1" applyProtection="1"/>
    <xf numFmtId="167" fontId="14" fillId="0" borderId="0" xfId="0" applyNumberFormat="1" applyFont="1" applyFill="1" applyProtection="1"/>
    <xf numFmtId="37" fontId="0" fillId="0" borderId="13" xfId="0" applyNumberFormat="1" applyFont="1" applyFill="1" applyBorder="1" applyProtection="1"/>
    <xf numFmtId="5" fontId="5" fillId="0" borderId="13" xfId="0" applyNumberFormat="1" applyFont="1" applyFill="1" applyBorder="1" applyProtection="1"/>
    <xf numFmtId="0" fontId="0" fillId="0" borderId="0" xfId="0" applyFill="1" applyAlignment="1">
      <alignment horizontal="center"/>
    </xf>
    <xf numFmtId="0" fontId="14" fillId="0" borderId="0" xfId="0" applyFont="1" applyFill="1" applyProtection="1"/>
    <xf numFmtId="9" fontId="2" fillId="0" borderId="0" xfId="3" applyFont="1" applyFill="1"/>
    <xf numFmtId="168" fontId="0" fillId="0" borderId="0" xfId="0" applyNumberFormat="1" applyFill="1" applyBorder="1"/>
    <xf numFmtId="37" fontId="5" fillId="0" borderId="3" xfId="0" applyNumberFormat="1" applyFont="1" applyFill="1" applyBorder="1" applyProtection="1"/>
    <xf numFmtId="5" fontId="5" fillId="0" borderId="3" xfId="0" applyNumberFormat="1" applyFont="1" applyFill="1" applyBorder="1" applyProtection="1"/>
    <xf numFmtId="10" fontId="0" fillId="0" borderId="11" xfId="3" applyNumberFormat="1" applyFont="1" applyFill="1" applyBorder="1"/>
    <xf numFmtId="5" fontId="18" fillId="0" borderId="1" xfId="8" applyNumberFormat="1" applyFont="1" applyFill="1" applyBorder="1"/>
    <xf numFmtId="3" fontId="0" fillId="0" borderId="12" xfId="0" applyNumberFormat="1" applyFill="1" applyBorder="1"/>
    <xf numFmtId="164" fontId="0" fillId="0" borderId="0" xfId="3" applyNumberFormat="1" applyFont="1" applyFill="1" applyBorder="1"/>
    <xf numFmtId="5" fontId="2" fillId="0" borderId="0" xfId="0" applyNumberFormat="1" applyFont="1" applyFill="1" applyBorder="1"/>
    <xf numFmtId="164" fontId="0" fillId="0" borderId="0" xfId="0" applyNumberFormat="1" applyFill="1" applyBorder="1"/>
    <xf numFmtId="167" fontId="14" fillId="2" borderId="0" xfId="7" applyNumberFormat="1" applyFont="1" applyFill="1" applyProtection="1"/>
    <xf numFmtId="174" fontId="14" fillId="2" borderId="0" xfId="7" applyNumberFormat="1" applyFont="1" applyFill="1" applyProtection="1"/>
    <xf numFmtId="5" fontId="2" fillId="2" borderId="0" xfId="7" applyNumberFormat="1" applyFill="1"/>
    <xf numFmtId="170" fontId="2" fillId="2" borderId="0" xfId="1" applyNumberFormat="1" applyFont="1" applyFill="1"/>
    <xf numFmtId="164" fontId="0" fillId="2" borderId="0" xfId="3" applyNumberFormat="1" applyFont="1" applyFill="1" applyBorder="1"/>
    <xf numFmtId="43" fontId="2" fillId="2" borderId="0" xfId="7" applyNumberFormat="1" applyFill="1"/>
    <xf numFmtId="5" fontId="2" fillId="0" borderId="2" xfId="0" applyNumberFormat="1" applyFont="1" applyFill="1" applyBorder="1" applyProtection="1"/>
    <xf numFmtId="10" fontId="5" fillId="0" borderId="0" xfId="0" applyNumberFormat="1" applyFont="1" applyFill="1" applyProtection="1"/>
    <xf numFmtId="37" fontId="2" fillId="2" borderId="0" xfId="7" applyNumberFormat="1" applyFill="1"/>
    <xf numFmtId="164" fontId="0" fillId="0" borderId="0" xfId="3" applyNumberFormat="1" applyFont="1" applyFill="1"/>
    <xf numFmtId="37" fontId="0" fillId="0" borderId="3" xfId="0" applyNumberFormat="1" applyFont="1" applyFill="1" applyBorder="1" applyProtection="1"/>
    <xf numFmtId="0" fontId="2" fillId="0" borderId="0" xfId="3" applyNumberFormat="1" applyFont="1" applyFill="1"/>
    <xf numFmtId="164" fontId="0" fillId="0" borderId="0" xfId="0" applyNumberFormat="1" applyFill="1"/>
    <xf numFmtId="44" fontId="18" fillId="0" borderId="0" xfId="8" applyNumberFormat="1" applyFont="1" applyFill="1" applyBorder="1"/>
    <xf numFmtId="0" fontId="0" fillId="0" borderId="0" xfId="0" applyFont="1" applyFill="1"/>
    <xf numFmtId="5" fontId="2" fillId="0" borderId="0" xfId="2" applyNumberFormat="1" applyFont="1" applyFill="1" applyBorder="1"/>
    <xf numFmtId="0" fontId="18" fillId="0" borderId="6" xfId="8" applyFont="1" applyFill="1" applyBorder="1"/>
    <xf numFmtId="5" fontId="18" fillId="0" borderId="7" xfId="8" applyNumberFormat="1" applyFont="1" applyFill="1" applyBorder="1" applyAlignment="1">
      <alignment horizontal="right"/>
    </xf>
    <xf numFmtId="0" fontId="18" fillId="0" borderId="9" xfId="8" applyFont="1" applyFill="1" applyBorder="1"/>
    <xf numFmtId="5" fontId="18" fillId="0" borderId="0" xfId="8" applyNumberFormat="1" applyFont="1" applyFill="1" applyBorder="1" applyAlignment="1">
      <alignment horizontal="right"/>
    </xf>
    <xf numFmtId="164" fontId="2" fillId="0" borderId="10" xfId="3" applyNumberFormat="1" applyFont="1" applyFill="1" applyBorder="1"/>
    <xf numFmtId="0" fontId="18" fillId="0" borderId="11" xfId="8" applyFont="1" applyFill="1" applyBorder="1"/>
    <xf numFmtId="164" fontId="0" fillId="0" borderId="12" xfId="3" applyNumberFormat="1" applyFont="1" applyFill="1" applyBorder="1"/>
    <xf numFmtId="0" fontId="18" fillId="0" borderId="0" xfId="8" applyFont="1" applyFill="1"/>
    <xf numFmtId="5" fontId="5" fillId="0" borderId="0" xfId="0" applyNumberFormat="1" applyFont="1" applyFill="1" applyAlignment="1" applyProtection="1">
      <alignment horizontal="right"/>
    </xf>
    <xf numFmtId="188" fontId="5" fillId="0" borderId="0" xfId="0" applyNumberFormat="1" applyFont="1" applyFill="1" applyProtection="1"/>
    <xf numFmtId="167" fontId="5" fillId="0" borderId="4" xfId="0" applyNumberFormat="1" applyFont="1" applyFill="1" applyBorder="1" applyProtection="1"/>
    <xf numFmtId="0" fontId="5" fillId="0" borderId="4" xfId="0" applyFont="1" applyFill="1" applyBorder="1" applyProtection="1"/>
    <xf numFmtId="167" fontId="5" fillId="0" borderId="5" xfId="0" applyNumberFormat="1" applyFont="1" applyFill="1" applyBorder="1" applyProtection="1"/>
    <xf numFmtId="174" fontId="2" fillId="0" borderId="0" xfId="0" applyNumberFormat="1" applyFont="1" applyFill="1" applyProtection="1"/>
    <xf numFmtId="3" fontId="2" fillId="0" borderId="0" xfId="7" applyNumberFormat="1" applyFont="1" applyFill="1" applyBorder="1"/>
    <xf numFmtId="0" fontId="5" fillId="0" borderId="0" xfId="0" quotePrefix="1" applyFont="1" applyFill="1" applyProtection="1"/>
    <xf numFmtId="167" fontId="5" fillId="0" borderId="0" xfId="0" applyNumberFormat="1" applyFont="1" applyFill="1" applyBorder="1" applyProtection="1"/>
    <xf numFmtId="183" fontId="0" fillId="0" borderId="0" xfId="0" applyNumberFormat="1" applyFill="1" applyBorder="1"/>
    <xf numFmtId="9" fontId="2" fillId="0" borderId="0" xfId="3" applyFont="1" applyFill="1" applyBorder="1"/>
    <xf numFmtId="0" fontId="0" fillId="0" borderId="2" xfId="0" applyFill="1" applyBorder="1" applyProtection="1"/>
    <xf numFmtId="5" fontId="5" fillId="0" borderId="2" xfId="0" applyNumberFormat="1" applyFont="1" applyFill="1" applyBorder="1" applyAlignment="1" applyProtection="1">
      <alignment horizontal="right"/>
    </xf>
    <xf numFmtId="0" fontId="0" fillId="0" borderId="0" xfId="0" applyFill="1" applyBorder="1" applyProtection="1"/>
    <xf numFmtId="5" fontId="5" fillId="0" borderId="0" xfId="0" applyNumberFormat="1" applyFont="1" applyFill="1" applyBorder="1" applyAlignment="1" applyProtection="1">
      <alignment horizontal="right"/>
    </xf>
    <xf numFmtId="0" fontId="11" fillId="0" borderId="0" xfId="0" applyFont="1" applyFill="1"/>
    <xf numFmtId="43" fontId="18" fillId="0" borderId="0" xfId="1" applyNumberFormat="1" applyFont="1" applyFill="1" applyBorder="1"/>
    <xf numFmtId="0" fontId="13" fillId="0" borderId="0" xfId="0" applyFont="1" applyFill="1" applyBorder="1"/>
    <xf numFmtId="7" fontId="0" fillId="0" borderId="0" xfId="0" applyNumberFormat="1" applyFill="1" applyBorder="1"/>
    <xf numFmtId="43" fontId="0" fillId="0" borderId="0" xfId="0" applyNumberFormat="1" applyFill="1" applyBorder="1"/>
    <xf numFmtId="7" fontId="14" fillId="0" borderId="0" xfId="0" applyNumberFormat="1" applyFont="1" applyFill="1" applyBorder="1"/>
    <xf numFmtId="0" fontId="22" fillId="0" borderId="0" xfId="0" applyFont="1" applyFill="1"/>
    <xf numFmtId="5" fontId="14" fillId="0" borderId="0" xfId="0" applyNumberFormat="1" applyFont="1" applyFill="1" applyBorder="1"/>
    <xf numFmtId="7" fontId="2" fillId="0" borderId="0" xfId="2" applyNumberFormat="1" applyFont="1" applyFill="1"/>
    <xf numFmtId="44" fontId="2" fillId="0" borderId="0" xfId="2" applyFont="1" applyFill="1" applyBorder="1"/>
    <xf numFmtId="189" fontId="2" fillId="0" borderId="0" xfId="2" applyNumberFormat="1" applyFont="1" applyFill="1" applyBorder="1"/>
    <xf numFmtId="37" fontId="5" fillId="0" borderId="14" xfId="0" applyNumberFormat="1" applyFont="1" applyFill="1" applyBorder="1" applyProtection="1"/>
    <xf numFmtId="7" fontId="21" fillId="0" borderId="0" xfId="0" applyNumberFormat="1" applyFont="1" applyFill="1" applyProtection="1"/>
    <xf numFmtId="37" fontId="5" fillId="0" borderId="15" xfId="0" applyNumberFormat="1" applyFont="1" applyFill="1" applyBorder="1" applyProtection="1"/>
    <xf numFmtId="5" fontId="14" fillId="0" borderId="15" xfId="0" applyNumberFormat="1" applyFont="1" applyFill="1" applyBorder="1" applyProtection="1"/>
    <xf numFmtId="5" fontId="5" fillId="0" borderId="15" xfId="0" applyNumberFormat="1" applyFont="1" applyFill="1" applyBorder="1" applyProtection="1"/>
    <xf numFmtId="0" fontId="2" fillId="0" borderId="6" xfId="0" applyFont="1" applyFill="1" applyBorder="1"/>
    <xf numFmtId="5" fontId="2" fillId="0" borderId="8" xfId="0" applyNumberFormat="1" applyFont="1" applyFill="1" applyBorder="1"/>
    <xf numFmtId="5" fontId="0" fillId="0" borderId="12" xfId="0" applyNumberFormat="1" applyFill="1" applyBorder="1"/>
    <xf numFmtId="176" fontId="2" fillId="0" borderId="0" xfId="3" applyNumberFormat="1" applyFont="1" applyFill="1"/>
    <xf numFmtId="37" fontId="5" fillId="0" borderId="7" xfId="0" applyNumberFormat="1" applyFont="1" applyFill="1" applyBorder="1" applyProtection="1"/>
    <xf numFmtId="7" fontId="14" fillId="0" borderId="7" xfId="0" applyNumberFormat="1" applyFont="1" applyFill="1" applyBorder="1" applyProtection="1"/>
    <xf numFmtId="5" fontId="5" fillId="0" borderId="7" xfId="0" applyNumberFormat="1" applyFont="1" applyFill="1" applyBorder="1" applyProtection="1"/>
    <xf numFmtId="0" fontId="5" fillId="0" borderId="7" xfId="0" applyFont="1" applyFill="1" applyBorder="1" applyProtection="1"/>
    <xf numFmtId="7" fontId="2" fillId="0" borderId="7" xfId="0" applyNumberFormat="1" applyFont="1" applyFill="1" applyBorder="1" applyProtection="1"/>
    <xf numFmtId="5" fontId="5" fillId="0" borderId="16" xfId="0" applyNumberFormat="1" applyFont="1" applyFill="1" applyBorder="1" applyProtection="1"/>
    <xf numFmtId="0" fontId="11" fillId="0" borderId="0" xfId="0" applyFont="1" applyFill="1" applyBorder="1" applyProtection="1"/>
    <xf numFmtId="175" fontId="11" fillId="0" borderId="0" xfId="0" applyNumberFormat="1" applyFont="1" applyFill="1" applyProtection="1"/>
    <xf numFmtId="37" fontId="11" fillId="0" borderId="15" xfId="0" applyNumberFormat="1" applyFont="1" applyFill="1" applyBorder="1" applyProtection="1"/>
    <xf numFmtId="170" fontId="23" fillId="0" borderId="15" xfId="1" applyNumberFormat="1" applyFont="1" applyFill="1" applyBorder="1" applyProtection="1"/>
    <xf numFmtId="5" fontId="11" fillId="0" borderId="15" xfId="0" applyNumberFormat="1" applyFont="1" applyFill="1" applyBorder="1" applyProtection="1"/>
    <xf numFmtId="168" fontId="11" fillId="0" borderId="15" xfId="2" applyNumberFormat="1" applyFont="1" applyFill="1" applyBorder="1" applyProtection="1"/>
    <xf numFmtId="7" fontId="23" fillId="0" borderId="15" xfId="1" applyNumberFormat="1" applyFont="1" applyFill="1" applyBorder="1" applyProtection="1"/>
    <xf numFmtId="7" fontId="23" fillId="0" borderId="15" xfId="0" applyNumberFormat="1" applyFont="1" applyFill="1" applyBorder="1" applyProtection="1"/>
    <xf numFmtId="168" fontId="14" fillId="0" borderId="0" xfId="0" applyNumberFormat="1" applyFont="1" applyFill="1" applyProtection="1"/>
    <xf numFmtId="190" fontId="2" fillId="0" borderId="0" xfId="2" applyNumberFormat="1" applyFont="1" applyFill="1"/>
    <xf numFmtId="0" fontId="24" fillId="0" borderId="0" xfId="0" applyFont="1" applyFill="1" applyProtection="1"/>
    <xf numFmtId="5" fontId="2" fillId="0" borderId="0" xfId="0" applyNumberFormat="1" applyFont="1" applyFill="1"/>
    <xf numFmtId="37" fontId="2" fillId="0" borderId="0" xfId="0" applyNumberFormat="1" applyFont="1" applyFill="1"/>
    <xf numFmtId="0" fontId="10" fillId="0" borderId="0" xfId="9" applyFont="1" applyFill="1"/>
    <xf numFmtId="0" fontId="3" fillId="0" borderId="0" xfId="9" applyFont="1" applyFill="1" applyAlignment="1">
      <alignment horizontal="center"/>
    </xf>
    <xf numFmtId="0" fontId="10" fillId="0" borderId="0" xfId="9" applyFont="1" applyFill="1" applyAlignment="1">
      <alignment horizontal="centerContinuous"/>
    </xf>
    <xf numFmtId="0" fontId="3" fillId="0" borderId="0" xfId="9" applyFont="1" applyFill="1" applyAlignment="1">
      <alignment horizontal="centerContinuous"/>
    </xf>
    <xf numFmtId="0" fontId="10" fillId="0" borderId="1" xfId="9" applyFont="1" applyFill="1" applyBorder="1" applyAlignment="1">
      <alignment horizontal="center"/>
    </xf>
    <xf numFmtId="0" fontId="10" fillId="0" borderId="0" xfId="9" applyFont="1" applyFill="1" applyBorder="1" applyAlignment="1">
      <alignment horizontal="center"/>
    </xf>
    <xf numFmtId="0" fontId="10" fillId="0" borderId="0" xfId="9" applyFill="1"/>
    <xf numFmtId="0" fontId="10" fillId="0" borderId="0" xfId="9" applyFont="1" applyFill="1" applyBorder="1" applyAlignment="1">
      <alignment horizontal="centerContinuous"/>
    </xf>
    <xf numFmtId="0" fontId="26" fillId="0" borderId="17" xfId="9" applyFont="1" applyFill="1" applyBorder="1"/>
    <xf numFmtId="0" fontId="26" fillId="0" borderId="18" xfId="9" applyFont="1" applyFill="1" applyBorder="1"/>
    <xf numFmtId="0" fontId="10" fillId="0" borderId="1" xfId="9" applyFont="1" applyFill="1" applyBorder="1" applyAlignment="1">
      <alignment horizontal="center"/>
    </xf>
    <xf numFmtId="0" fontId="10" fillId="0" borderId="2" xfId="9" applyFont="1" applyFill="1" applyBorder="1" applyAlignment="1">
      <alignment horizontal="centerContinuous"/>
    </xf>
    <xf numFmtId="0" fontId="25" fillId="0" borderId="0" xfId="9" applyFont="1" applyFill="1"/>
    <xf numFmtId="0" fontId="10" fillId="0" borderId="2" xfId="9" applyFont="1" applyFill="1" applyBorder="1" applyAlignment="1">
      <alignment horizontal="center"/>
    </xf>
    <xf numFmtId="0" fontId="10" fillId="0" borderId="16" xfId="9" applyFont="1" applyFill="1" applyBorder="1" applyAlignment="1">
      <alignment horizontal="center"/>
    </xf>
    <xf numFmtId="0" fontId="26" fillId="0" borderId="19" xfId="9" applyFont="1" applyFill="1" applyBorder="1"/>
    <xf numFmtId="7" fontId="27" fillId="0" borderId="20" xfId="9" applyNumberFormat="1" applyFont="1" applyFill="1" applyBorder="1"/>
    <xf numFmtId="0" fontId="28" fillId="0" borderId="0" xfId="9" applyFont="1" applyFill="1"/>
    <xf numFmtId="174" fontId="27" fillId="0" borderId="20" xfId="9" applyNumberFormat="1" applyFont="1" applyFill="1" applyBorder="1"/>
    <xf numFmtId="165" fontId="27" fillId="0" borderId="20" xfId="1" applyNumberFormat="1" applyFont="1" applyFill="1" applyBorder="1" applyAlignment="1">
      <alignment horizontal="right"/>
    </xf>
    <xf numFmtId="43" fontId="10" fillId="0" borderId="0" xfId="9" applyNumberFormat="1" applyFont="1" applyFill="1"/>
    <xf numFmtId="164" fontId="10" fillId="0" borderId="0" xfId="3" applyNumberFormat="1" applyFont="1" applyFill="1"/>
    <xf numFmtId="37" fontId="10" fillId="0" borderId="0" xfId="9" applyNumberFormat="1" applyFont="1" applyFill="1" applyProtection="1"/>
    <xf numFmtId="7" fontId="10" fillId="0" borderId="0" xfId="9" applyNumberFormat="1" applyFill="1"/>
    <xf numFmtId="7" fontId="10" fillId="0" borderId="0" xfId="9" applyNumberFormat="1" applyFont="1" applyFill="1"/>
    <xf numFmtId="10" fontId="10" fillId="0" borderId="0" xfId="9" applyNumberFormat="1" applyFont="1" applyFill="1" applyProtection="1"/>
    <xf numFmtId="7" fontId="10" fillId="0" borderId="0" xfId="9" applyNumberFormat="1" applyFont="1" applyFill="1" applyProtection="1"/>
    <xf numFmtId="0" fontId="26" fillId="0" borderId="21" xfId="9" applyFont="1" applyFill="1" applyBorder="1"/>
    <xf numFmtId="174" fontId="27" fillId="0" borderId="22" xfId="9" applyNumberFormat="1" applyFont="1" applyFill="1" applyBorder="1"/>
    <xf numFmtId="0" fontId="26" fillId="0" borderId="0" xfId="9" applyFont="1" applyFill="1"/>
    <xf numFmtId="174" fontId="26" fillId="0" borderId="0" xfId="9" applyNumberFormat="1" applyFont="1" applyFill="1"/>
    <xf numFmtId="0" fontId="10" fillId="0" borderId="0" xfId="9" applyFont="1" applyFill="1" applyBorder="1"/>
    <xf numFmtId="164" fontId="26" fillId="0" borderId="0" xfId="9" applyNumberFormat="1" applyFont="1" applyFill="1"/>
    <xf numFmtId="174" fontId="10" fillId="0" borderId="0" xfId="9" applyNumberFormat="1" applyFont="1" applyFill="1"/>
    <xf numFmtId="0" fontId="10" fillId="0" borderId="0" xfId="9" applyFont="1" applyFill="1" applyAlignment="1">
      <alignment horizontal="right"/>
    </xf>
    <xf numFmtId="10" fontId="10" fillId="0" borderId="0" xfId="3" applyNumberFormat="1" applyFont="1" applyFill="1" applyAlignment="1">
      <alignment horizontal="right"/>
    </xf>
    <xf numFmtId="5" fontId="10" fillId="0" borderId="0" xfId="9" applyNumberFormat="1" applyFont="1" applyFill="1"/>
    <xf numFmtId="177" fontId="10" fillId="0" borderId="0" xfId="9" applyNumberFormat="1" applyFont="1" applyFill="1" applyProtection="1"/>
    <xf numFmtId="37" fontId="10" fillId="0" borderId="1" xfId="9" applyNumberFormat="1" applyFont="1" applyFill="1" applyBorder="1" applyProtection="1"/>
    <xf numFmtId="0" fontId="10" fillId="0" borderId="1" xfId="9" applyFont="1" applyFill="1" applyBorder="1"/>
    <xf numFmtId="7" fontId="10" fillId="0" borderId="1" xfId="9" applyNumberFormat="1" applyFont="1" applyFill="1" applyBorder="1" applyProtection="1"/>
    <xf numFmtId="177" fontId="10" fillId="0" borderId="1" xfId="9" applyNumberFormat="1" applyFont="1" applyFill="1" applyBorder="1" applyProtection="1"/>
    <xf numFmtId="0" fontId="29" fillId="0" borderId="0" xfId="9" applyFont="1" applyFill="1"/>
    <xf numFmtId="0" fontId="29" fillId="0" borderId="0" xfId="9" quotePrefix="1" applyFont="1" applyFill="1" applyBorder="1" applyAlignment="1">
      <alignment horizontal="left"/>
    </xf>
    <xf numFmtId="0" fontId="3" fillId="0" borderId="0" xfId="9" applyFont="1" applyFill="1" applyAlignment="1">
      <alignment horizontal="center"/>
    </xf>
    <xf numFmtId="0" fontId="10" fillId="0" borderId="0" xfId="9" applyFont="1" applyFill="1" applyAlignment="1" applyProtection="1">
      <alignment horizontal="left"/>
    </xf>
    <xf numFmtId="44" fontId="10" fillId="0" borderId="0" xfId="2" applyFont="1" applyFill="1"/>
    <xf numFmtId="0" fontId="10" fillId="0" borderId="0" xfId="9" applyFont="1" applyFill="1" applyProtection="1"/>
    <xf numFmtId="0" fontId="12" fillId="0" borderId="0" xfId="9" applyFont="1" applyFill="1"/>
    <xf numFmtId="0" fontId="12" fillId="0" borderId="0" xfId="9" applyFont="1" applyFill="1" applyAlignment="1" applyProtection="1">
      <alignment horizontal="centerContinuous"/>
    </xf>
    <xf numFmtId="0" fontId="12" fillId="0" borderId="0" xfId="9" applyFont="1" applyFill="1" applyAlignment="1">
      <alignment horizontal="centerContinuous"/>
    </xf>
    <xf numFmtId="0" fontId="3" fillId="0" borderId="0" xfId="9" applyFont="1" applyFill="1" applyBorder="1" applyAlignment="1" applyProtection="1">
      <alignment horizontal="center"/>
    </xf>
    <xf numFmtId="0" fontId="3" fillId="0" borderId="0" xfId="9" applyFont="1" applyFill="1" applyBorder="1" applyAlignment="1">
      <alignment horizontal="centerContinuous"/>
    </xf>
    <xf numFmtId="0" fontId="31" fillId="0" borderId="0" xfId="9" applyFont="1" applyFill="1" applyAlignment="1" applyProtection="1">
      <alignment horizontal="centerContinuous"/>
    </xf>
    <xf numFmtId="0" fontId="31" fillId="0" borderId="0" xfId="9" applyFont="1" applyFill="1" applyAlignment="1">
      <alignment horizontal="centerContinuous"/>
    </xf>
    <xf numFmtId="0" fontId="32" fillId="0" borderId="0" xfId="9" applyFont="1" applyFill="1" applyAlignment="1" applyProtection="1">
      <alignment horizontal="centerContinuous"/>
    </xf>
    <xf numFmtId="0" fontId="10" fillId="0" borderId="0" xfId="9" applyFont="1" applyFill="1" applyAlignment="1" applyProtection="1">
      <alignment horizontal="centerContinuous"/>
    </xf>
    <xf numFmtId="0" fontId="10" fillId="0" borderId="0" xfId="9" applyFont="1" applyFill="1" applyAlignment="1" applyProtection="1"/>
    <xf numFmtId="0" fontId="2" fillId="0" borderId="0" xfId="9" applyFont="1" applyFill="1" applyAlignment="1" applyProtection="1">
      <alignment horizontal="center"/>
    </xf>
    <xf numFmtId="0" fontId="2" fillId="0" borderId="0" xfId="9" applyFont="1" applyFill="1" applyProtection="1"/>
    <xf numFmtId="0" fontId="2" fillId="0" borderId="2" xfId="9" applyFont="1" applyFill="1" applyBorder="1" applyAlignment="1" applyProtection="1">
      <alignment horizontal="centerContinuous"/>
    </xf>
    <xf numFmtId="0" fontId="2" fillId="0" borderId="0" xfId="9" applyFont="1" applyFill="1" applyAlignment="1" applyProtection="1">
      <alignment horizontal="centerContinuous"/>
    </xf>
    <xf numFmtId="0" fontId="2" fillId="0" borderId="0" xfId="9" applyFont="1" applyFill="1"/>
    <xf numFmtId="0" fontId="2" fillId="0" borderId="0" xfId="9" applyFont="1" applyFill="1" applyBorder="1" applyAlignment="1" applyProtection="1">
      <alignment horizontal="center"/>
    </xf>
    <xf numFmtId="0" fontId="2" fillId="0" borderId="1" xfId="9" applyFont="1" applyFill="1" applyBorder="1" applyAlignment="1" applyProtection="1">
      <alignment horizontal="centerContinuous"/>
    </xf>
    <xf numFmtId="0" fontId="2" fillId="0" borderId="0" xfId="9" applyFont="1" applyFill="1" applyAlignment="1" applyProtection="1"/>
    <xf numFmtId="0" fontId="2" fillId="0" borderId="1" xfId="9" applyFont="1" applyFill="1" applyBorder="1" applyAlignment="1" applyProtection="1">
      <alignment horizontal="center"/>
    </xf>
    <xf numFmtId="0" fontId="33" fillId="0" borderId="0" xfId="9" applyFont="1" applyFill="1" applyProtection="1"/>
    <xf numFmtId="0" fontId="33" fillId="0" borderId="0" xfId="9" applyFont="1" applyFill="1" applyAlignment="1" applyProtection="1">
      <alignment horizontal="center"/>
    </xf>
    <xf numFmtId="0" fontId="2" fillId="0" borderId="2" xfId="9" applyFont="1" applyFill="1" applyBorder="1" applyAlignment="1" applyProtection="1">
      <alignment horizontal="center"/>
    </xf>
    <xf numFmtId="0" fontId="2" fillId="0" borderId="0" xfId="9" applyFont="1" applyFill="1" applyBorder="1" applyProtection="1"/>
    <xf numFmtId="0" fontId="10" fillId="0" borderId="17" xfId="9" applyFont="1" applyFill="1" applyBorder="1"/>
    <xf numFmtId="0" fontId="10" fillId="0" borderId="23" xfId="9" applyFont="1" applyFill="1" applyBorder="1"/>
    <xf numFmtId="0" fontId="10" fillId="0" borderId="18" xfId="9" applyFont="1" applyFill="1" applyBorder="1"/>
    <xf numFmtId="0" fontId="10" fillId="0" borderId="19" xfId="9" applyFont="1" applyFill="1" applyBorder="1"/>
    <xf numFmtId="0" fontId="10" fillId="0" borderId="20" xfId="9" applyFont="1" applyFill="1" applyBorder="1"/>
    <xf numFmtId="37" fontId="2" fillId="0" borderId="0" xfId="9" applyNumberFormat="1" applyFont="1" applyFill="1" applyProtection="1"/>
    <xf numFmtId="164" fontId="2" fillId="0" borderId="0" xfId="3" applyNumberFormat="1" applyFont="1" applyFill="1" applyProtection="1"/>
    <xf numFmtId="5" fontId="2" fillId="0" borderId="0" xfId="9" applyNumberFormat="1" applyFont="1" applyFill="1" applyProtection="1"/>
    <xf numFmtId="10" fontId="2" fillId="0" borderId="0" xfId="9" applyNumberFormat="1" applyFont="1" applyFill="1" applyProtection="1"/>
    <xf numFmtId="7" fontId="27" fillId="0" borderId="0" xfId="9" applyNumberFormat="1" applyFont="1" applyFill="1" applyBorder="1"/>
    <xf numFmtId="0" fontId="27" fillId="0" borderId="0" xfId="9" applyFont="1" applyFill="1" applyBorder="1"/>
    <xf numFmtId="7" fontId="10" fillId="0" borderId="0" xfId="2" applyNumberFormat="1" applyFont="1" applyFill="1"/>
    <xf numFmtId="7" fontId="26" fillId="0" borderId="0" xfId="9" applyNumberFormat="1" applyFont="1" applyFill="1" applyBorder="1"/>
    <xf numFmtId="0" fontId="10" fillId="0" borderId="19" xfId="9" applyFont="1" applyFill="1" applyBorder="1" applyAlignment="1">
      <alignment horizontal="right"/>
    </xf>
    <xf numFmtId="170" fontId="26" fillId="0" borderId="0" xfId="1" applyNumberFormat="1" applyFont="1" applyFill="1" applyBorder="1" applyAlignment="1">
      <alignment horizontal="right"/>
    </xf>
    <xf numFmtId="0" fontId="27" fillId="0" borderId="20" xfId="9" applyFont="1" applyFill="1" applyBorder="1"/>
    <xf numFmtId="0" fontId="10" fillId="0" borderId="0" xfId="9" applyFont="1" applyFill="1" applyBorder="1" applyAlignment="1">
      <alignment horizontal="right"/>
    </xf>
    <xf numFmtId="5" fontId="2" fillId="0" borderId="0" xfId="9" applyNumberFormat="1" applyFont="1" applyFill="1"/>
    <xf numFmtId="165" fontId="27" fillId="0" borderId="0" xfId="1" applyNumberFormat="1" applyFont="1" applyFill="1" applyBorder="1"/>
    <xf numFmtId="165" fontId="27" fillId="0" borderId="20" xfId="1" applyNumberFormat="1" applyFont="1" applyFill="1" applyBorder="1"/>
    <xf numFmtId="0" fontId="26" fillId="0" borderId="24" xfId="9" applyFont="1" applyFill="1" applyBorder="1"/>
    <xf numFmtId="0" fontId="26" fillId="0" borderId="22" xfId="9" applyFont="1" applyFill="1" applyBorder="1"/>
    <xf numFmtId="191" fontId="2" fillId="0" borderId="0" xfId="1" applyNumberFormat="1" applyFont="1" applyFill="1" applyProtection="1"/>
    <xf numFmtId="165" fontId="2" fillId="0" borderId="0" xfId="1" applyNumberFormat="1" applyFont="1" applyFill="1" applyProtection="1"/>
    <xf numFmtId="0" fontId="2" fillId="0" borderId="0" xfId="9" applyFont="1" applyFill="1" applyBorder="1"/>
    <xf numFmtId="164" fontId="2" fillId="0" borderId="0" xfId="3" applyNumberFormat="1" applyFont="1" applyFill="1" applyBorder="1" applyProtection="1"/>
    <xf numFmtId="0" fontId="29" fillId="0" borderId="0" xfId="9" quotePrefix="1" applyFont="1" applyFill="1"/>
    <xf numFmtId="0" fontId="3" fillId="0" borderId="0" xfId="9" applyFont="1" applyFill="1" applyBorder="1" applyAlignment="1" applyProtection="1">
      <alignment horizontal="centerContinuous"/>
    </xf>
    <xf numFmtId="0" fontId="2" fillId="0" borderId="0" xfId="9" applyFont="1" applyFill="1" applyAlignment="1">
      <alignment horizontal="center"/>
    </xf>
    <xf numFmtId="0" fontId="10" fillId="0" borderId="24" xfId="9" applyFont="1" applyFill="1" applyBorder="1"/>
    <xf numFmtId="0" fontId="2" fillId="0" borderId="0" xfId="9" applyFont="1" applyFill="1" applyAlignment="1" applyProtection="1">
      <alignment horizontal="left"/>
    </xf>
    <xf numFmtId="0" fontId="10" fillId="0" borderId="25" xfId="9" applyFont="1" applyFill="1" applyBorder="1" applyAlignment="1">
      <alignment horizontal="left"/>
    </xf>
    <xf numFmtId="0" fontId="10" fillId="0" borderId="23" xfId="9" applyFont="1" applyFill="1" applyBorder="1" applyAlignment="1">
      <alignment horizontal="centerContinuous"/>
    </xf>
    <xf numFmtId="0" fontId="10" fillId="0" borderId="18" xfId="9" applyFont="1" applyFill="1" applyBorder="1" applyAlignment="1">
      <alignment horizontal="centerContinuous"/>
    </xf>
    <xf numFmtId="0" fontId="10" fillId="0" borderId="20" xfId="9" applyFont="1" applyFill="1" applyBorder="1" applyAlignment="1">
      <alignment horizontal="center"/>
    </xf>
    <xf numFmtId="5" fontId="27" fillId="0" borderId="0" xfId="9" applyNumberFormat="1" applyFont="1" applyFill="1" applyBorder="1"/>
    <xf numFmtId="174" fontId="27" fillId="0" borderId="0" xfId="9" applyNumberFormat="1" applyFont="1" applyFill="1" applyBorder="1"/>
    <xf numFmtId="174" fontId="10" fillId="0" borderId="20" xfId="9" applyNumberFormat="1" applyFont="1" applyFill="1" applyBorder="1"/>
    <xf numFmtId="0" fontId="10" fillId="0" borderId="21" xfId="9" applyFont="1" applyFill="1" applyBorder="1"/>
    <xf numFmtId="165" fontId="26" fillId="0" borderId="24" xfId="1" applyNumberFormat="1" applyFont="1" applyFill="1" applyBorder="1"/>
    <xf numFmtId="0" fontId="10" fillId="0" borderId="22" xfId="9" applyFont="1" applyFill="1" applyBorder="1"/>
    <xf numFmtId="10" fontId="10" fillId="0" borderId="0" xfId="3" applyNumberFormat="1" applyFont="1" applyFill="1"/>
    <xf numFmtId="5" fontId="10" fillId="0" borderId="0" xfId="9" applyNumberFormat="1" applyFont="1" applyFill="1" applyAlignment="1">
      <alignment horizontal="right"/>
    </xf>
    <xf numFmtId="0" fontId="2" fillId="0" borderId="1" xfId="9" applyFont="1" applyFill="1" applyBorder="1" applyProtection="1"/>
    <xf numFmtId="0" fontId="2" fillId="0" borderId="1" xfId="9" applyFont="1" applyFill="1" applyBorder="1"/>
    <xf numFmtId="0" fontId="32" fillId="0" borderId="0" xfId="9" applyFont="1" applyFill="1" applyBorder="1" applyAlignment="1">
      <alignment horizontal="centerContinuous"/>
    </xf>
    <xf numFmtId="0" fontId="10" fillId="0" borderId="0" xfId="9" applyFont="1" applyFill="1" applyAlignment="1" applyProtection="1">
      <alignment horizontal="center"/>
    </xf>
    <xf numFmtId="0" fontId="10" fillId="0" borderId="0" xfId="9" applyFont="1" applyFill="1" applyAlignment="1">
      <alignment horizontal="center"/>
    </xf>
    <xf numFmtId="0" fontId="10" fillId="0" borderId="17" xfId="9" applyFont="1" applyFill="1" applyBorder="1" applyAlignment="1">
      <alignment horizontal="center"/>
    </xf>
    <xf numFmtId="0" fontId="10" fillId="0" borderId="0" xfId="9" applyFont="1" applyFill="1" applyBorder="1" applyAlignment="1" applyProtection="1">
      <alignment horizontal="center"/>
    </xf>
    <xf numFmtId="0" fontId="10" fillId="0" borderId="1" xfId="9" applyFont="1" applyFill="1" applyBorder="1" applyAlignment="1" applyProtection="1">
      <alignment horizontal="center"/>
    </xf>
    <xf numFmtId="0" fontId="28" fillId="0" borderId="0" xfId="9" applyFont="1" applyFill="1" applyAlignment="1">
      <alignment horizontal="center"/>
    </xf>
    <xf numFmtId="0" fontId="26" fillId="0" borderId="20" xfId="9" applyFont="1" applyFill="1" applyBorder="1"/>
    <xf numFmtId="0" fontId="26" fillId="0" borderId="0" xfId="9" applyFont="1" applyFill="1" applyBorder="1"/>
    <xf numFmtId="0" fontId="10" fillId="0" borderId="6" xfId="9" applyFont="1" applyFill="1" applyBorder="1"/>
    <xf numFmtId="0" fontId="10" fillId="0" borderId="7" xfId="9" applyFont="1" applyFill="1" applyBorder="1"/>
    <xf numFmtId="0" fontId="10" fillId="0" borderId="8" xfId="9" applyFont="1" applyFill="1" applyBorder="1"/>
    <xf numFmtId="0" fontId="28" fillId="0" borderId="0" xfId="9" applyFont="1" applyFill="1" applyBorder="1"/>
    <xf numFmtId="0" fontId="10" fillId="0" borderId="9" xfId="9" applyFont="1" applyFill="1" applyBorder="1"/>
    <xf numFmtId="7" fontId="27" fillId="0" borderId="10" xfId="9" applyNumberFormat="1" applyFont="1" applyFill="1" applyBorder="1"/>
    <xf numFmtId="5" fontId="10" fillId="0" borderId="0" xfId="9" applyNumberFormat="1" applyFont="1" applyFill="1" applyProtection="1"/>
    <xf numFmtId="5" fontId="27" fillId="0" borderId="10" xfId="9" applyNumberFormat="1" applyFont="1" applyFill="1" applyBorder="1"/>
    <xf numFmtId="0" fontId="10" fillId="0" borderId="11" xfId="9" applyFont="1" applyFill="1" applyBorder="1"/>
    <xf numFmtId="5" fontId="27" fillId="0" borderId="1" xfId="9" applyNumberFormat="1" applyFont="1" applyFill="1" applyBorder="1"/>
    <xf numFmtId="0" fontId="27" fillId="0" borderId="1" xfId="9" applyFont="1" applyFill="1" applyBorder="1"/>
    <xf numFmtId="5" fontId="27" fillId="0" borderId="12" xfId="9" applyNumberFormat="1" applyFont="1" applyFill="1" applyBorder="1"/>
    <xf numFmtId="0" fontId="29" fillId="0" borderId="0" xfId="9" quotePrefix="1" applyFont="1" applyFill="1" applyBorder="1"/>
    <xf numFmtId="0" fontId="32" fillId="0" borderId="0" xfId="9" applyFont="1" applyFill="1" applyAlignment="1">
      <alignment horizontal="centerContinuous"/>
    </xf>
    <xf numFmtId="0" fontId="10" fillId="0" borderId="1" xfId="9" applyFont="1" applyFill="1" applyBorder="1" applyAlignment="1">
      <alignment horizontal="centerContinuous"/>
    </xf>
    <xf numFmtId="0" fontId="10" fillId="0" borderId="17" xfId="9" applyFont="1" applyFill="1" applyBorder="1" applyAlignment="1">
      <alignment horizontal="centerContinuous"/>
    </xf>
    <xf numFmtId="0" fontId="34" fillId="0" borderId="0" xfId="10" applyFont="1" applyAlignment="1">
      <alignment horizontal="center"/>
    </xf>
    <xf numFmtId="0" fontId="9" fillId="0" borderId="0" xfId="10"/>
    <xf numFmtId="0" fontId="34" fillId="0" borderId="0" xfId="10" applyFont="1" applyAlignment="1">
      <alignment horizontal="center"/>
    </xf>
    <xf numFmtId="170" fontId="9" fillId="0" borderId="0" xfId="1" applyNumberFormat="1" applyFont="1" applyAlignment="1">
      <alignment horizontal="right"/>
    </xf>
    <xf numFmtId="170" fontId="9" fillId="0" borderId="0" xfId="1" applyNumberFormat="1" applyFont="1" applyAlignment="1">
      <alignment horizontal="center"/>
    </xf>
    <xf numFmtId="0" fontId="34" fillId="0" borderId="1" xfId="10" applyFont="1" applyBorder="1" applyAlignment="1">
      <alignment horizontal="center"/>
    </xf>
    <xf numFmtId="0" fontId="9" fillId="0" borderId="0" xfId="10" applyAlignment="1">
      <alignment horizontal="right"/>
    </xf>
    <xf numFmtId="164" fontId="9" fillId="0" borderId="0" xfId="3" applyNumberFormat="1"/>
    <xf numFmtId="0" fontId="35" fillId="0" borderId="9" xfId="10" applyFont="1" applyBorder="1" applyAlignment="1">
      <alignment horizontal="center"/>
    </xf>
    <xf numFmtId="0" fontId="35" fillId="0" borderId="7" xfId="10" applyFont="1" applyBorder="1" applyAlignment="1">
      <alignment horizontal="center"/>
    </xf>
    <xf numFmtId="0" fontId="9" fillId="0" borderId="8" xfId="10" applyBorder="1"/>
    <xf numFmtId="44" fontId="9" fillId="0" borderId="0" xfId="2"/>
    <xf numFmtId="0" fontId="9" fillId="0" borderId="9" xfId="10" applyBorder="1" applyAlignment="1">
      <alignment horizontal="center"/>
    </xf>
    <xf numFmtId="0" fontId="9" fillId="0" borderId="0" xfId="10" applyBorder="1" applyAlignment="1">
      <alignment horizontal="center"/>
    </xf>
    <xf numFmtId="0" fontId="9" fillId="0" borderId="10" xfId="10" applyBorder="1"/>
    <xf numFmtId="0" fontId="9" fillId="0" borderId="0" xfId="10" applyBorder="1"/>
    <xf numFmtId="0" fontId="9" fillId="0" borderId="6" xfId="10" applyBorder="1"/>
    <xf numFmtId="0" fontId="9" fillId="0" borderId="7" xfId="10" applyBorder="1"/>
    <xf numFmtId="10" fontId="35" fillId="0" borderId="0" xfId="3" applyNumberFormat="1" applyFont="1"/>
    <xf numFmtId="0" fontId="9" fillId="0" borderId="9" xfId="10" applyBorder="1" applyAlignment="1">
      <alignment horizontal="right"/>
    </xf>
    <xf numFmtId="178" fontId="9" fillId="0" borderId="0" xfId="10" applyNumberFormat="1" applyBorder="1" applyAlignment="1">
      <alignment horizontal="center"/>
    </xf>
    <xf numFmtId="0" fontId="9" fillId="0" borderId="1" xfId="10" applyBorder="1"/>
    <xf numFmtId="0" fontId="9" fillId="0" borderId="0" xfId="10" applyAlignment="1">
      <alignment horizontal="center"/>
    </xf>
    <xf numFmtId="0" fontId="9" fillId="0" borderId="9" xfId="10" applyBorder="1"/>
    <xf numFmtId="0" fontId="9" fillId="0" borderId="1" xfId="10" applyBorder="1" applyAlignment="1">
      <alignment horizontal="center"/>
    </xf>
    <xf numFmtId="0" fontId="9" fillId="0" borderId="12" xfId="10" applyBorder="1" applyAlignment="1">
      <alignment horizontal="center"/>
    </xf>
    <xf numFmtId="0" fontId="9" fillId="0" borderId="10" xfId="10" applyFont="1" applyBorder="1" applyAlignment="1">
      <alignment horizontal="center"/>
    </xf>
    <xf numFmtId="0" fontId="9" fillId="0" borderId="10" xfId="10" applyBorder="1" applyAlignment="1">
      <alignment horizontal="center"/>
    </xf>
    <xf numFmtId="164" fontId="9" fillId="0" borderId="10" xfId="10" applyNumberFormat="1" applyBorder="1" applyAlignment="1">
      <alignment horizontal="right"/>
    </xf>
    <xf numFmtId="5" fontId="9" fillId="0" borderId="9" xfId="10" applyNumberFormat="1" applyBorder="1" applyAlignment="1">
      <alignment horizontal="right"/>
    </xf>
    <xf numFmtId="5" fontId="9" fillId="0" borderId="0" xfId="10" applyNumberFormat="1" applyFont="1" applyBorder="1" applyAlignment="1">
      <alignment horizontal="right"/>
    </xf>
    <xf numFmtId="5" fontId="9" fillId="0" borderId="10" xfId="10" applyNumberFormat="1" applyFont="1" applyBorder="1"/>
    <xf numFmtId="5" fontId="9" fillId="0" borderId="0" xfId="10" applyNumberFormat="1"/>
    <xf numFmtId="5" fontId="9" fillId="0" borderId="9" xfId="10" applyNumberFormat="1" applyBorder="1"/>
    <xf numFmtId="5" fontId="9" fillId="0" borderId="10" xfId="10" applyNumberFormat="1" applyBorder="1"/>
    <xf numFmtId="0" fontId="9" fillId="0" borderId="1" xfId="10" applyBorder="1" applyAlignment="1">
      <alignment horizontal="right"/>
    </xf>
    <xf numFmtId="5" fontId="9" fillId="0" borderId="1" xfId="10" applyNumberFormat="1" applyBorder="1" applyAlignment="1">
      <alignment horizontal="right"/>
    </xf>
    <xf numFmtId="5" fontId="9" fillId="0" borderId="12" xfId="10" applyNumberFormat="1" applyBorder="1"/>
    <xf numFmtId="16" fontId="9" fillId="0" borderId="0" xfId="10" quotePrefix="1" applyNumberFormat="1" applyBorder="1" applyAlignment="1">
      <alignment horizontal="center"/>
    </xf>
    <xf numFmtId="16" fontId="9" fillId="0" borderId="10" xfId="10" applyNumberFormat="1" applyBorder="1" applyAlignment="1">
      <alignment horizontal="center"/>
    </xf>
    <xf numFmtId="5" fontId="36" fillId="0" borderId="0" xfId="10" applyNumberFormat="1" applyFont="1" applyBorder="1"/>
    <xf numFmtId="5" fontId="9" fillId="0" borderId="6" xfId="10" applyNumberFormat="1" applyBorder="1" applyAlignment="1">
      <alignment horizontal="right"/>
    </xf>
    <xf numFmtId="5" fontId="9" fillId="0" borderId="7" xfId="10" applyNumberFormat="1" applyBorder="1" applyAlignment="1">
      <alignment horizontal="right"/>
    </xf>
    <xf numFmtId="5" fontId="9" fillId="0" borderId="0" xfId="10" applyNumberFormat="1" applyBorder="1"/>
    <xf numFmtId="0" fontId="36" fillId="0" borderId="0" xfId="10" applyFont="1" applyBorder="1" applyAlignment="1"/>
    <xf numFmtId="0" fontId="36" fillId="0" borderId="0" xfId="10" applyFont="1" applyBorder="1" applyAlignment="1">
      <alignment horizontal="center"/>
    </xf>
    <xf numFmtId="0" fontId="36" fillId="0" borderId="10" xfId="10" applyFont="1" applyBorder="1" applyAlignment="1">
      <alignment horizontal="center"/>
    </xf>
    <xf numFmtId="9" fontId="9" fillId="0" borderId="0" xfId="3" applyBorder="1" applyAlignment="1">
      <alignment horizontal="right"/>
    </xf>
    <xf numFmtId="0" fontId="9" fillId="0" borderId="0" xfId="10" applyAlignment="1">
      <alignment horizontal="left"/>
    </xf>
    <xf numFmtId="7" fontId="9" fillId="0" borderId="9" xfId="2" applyNumberFormat="1" applyBorder="1" applyAlignment="1">
      <alignment horizontal="right"/>
    </xf>
    <xf numFmtId="7" fontId="9" fillId="0" borderId="0" xfId="2" applyNumberFormat="1" applyBorder="1" applyAlignment="1">
      <alignment horizontal="right"/>
    </xf>
    <xf numFmtId="7" fontId="9" fillId="0" borderId="0" xfId="10" applyNumberFormat="1" applyBorder="1"/>
    <xf numFmtId="37" fontId="9" fillId="0" borderId="0" xfId="10" applyNumberFormat="1" applyBorder="1"/>
    <xf numFmtId="37" fontId="9" fillId="0" borderId="9" xfId="10" applyNumberFormat="1" applyBorder="1"/>
    <xf numFmtId="9" fontId="9" fillId="0" borderId="0" xfId="3" applyNumberFormat="1"/>
    <xf numFmtId="0" fontId="9" fillId="0" borderId="0" xfId="10" quotePrefix="1" applyFont="1" applyAlignment="1">
      <alignment horizontal="left"/>
    </xf>
    <xf numFmtId="0" fontId="9" fillId="0" borderId="0" xfId="10" quotePrefix="1" applyBorder="1"/>
    <xf numFmtId="44" fontId="9" fillId="0" borderId="0" xfId="2" applyBorder="1" applyAlignment="1">
      <alignment horizontal="right"/>
    </xf>
    <xf numFmtId="37" fontId="36" fillId="0" borderId="0" xfId="10" applyNumberFormat="1" applyFont="1" applyBorder="1"/>
    <xf numFmtId="5" fontId="36" fillId="0" borderId="10" xfId="10" applyNumberFormat="1" applyFont="1" applyBorder="1"/>
    <xf numFmtId="7" fontId="36" fillId="0" borderId="0" xfId="10" applyNumberFormat="1" applyFont="1" applyBorder="1"/>
    <xf numFmtId="0" fontId="9" fillId="0" borderId="0" xfId="10" applyBorder="1" applyAlignment="1">
      <alignment horizontal="right"/>
    </xf>
    <xf numFmtId="0" fontId="9" fillId="0" borderId="9" xfId="1" applyNumberFormat="1" applyFont="1" applyBorder="1" applyAlignment="1">
      <alignment horizontal="right"/>
    </xf>
    <xf numFmtId="170" fontId="9" fillId="0" borderId="11" xfId="1" applyNumberFormat="1" applyBorder="1" applyAlignment="1">
      <alignment horizontal="right"/>
    </xf>
    <xf numFmtId="170" fontId="9" fillId="0" borderId="1" xfId="1" applyNumberFormat="1" applyFont="1" applyBorder="1" applyAlignment="1">
      <alignment horizontal="right"/>
    </xf>
    <xf numFmtId="170" fontId="9" fillId="0" borderId="1" xfId="10" applyNumberFormat="1" applyFont="1" applyBorder="1"/>
    <xf numFmtId="43" fontId="9" fillId="0" borderId="0" xfId="1" applyNumberFormat="1" applyBorder="1" applyAlignment="1">
      <alignment horizontal="right"/>
    </xf>
    <xf numFmtId="170" fontId="9" fillId="0" borderId="0" xfId="1" applyNumberFormat="1" applyFont="1" applyBorder="1" applyAlignment="1">
      <alignment horizontal="right"/>
    </xf>
    <xf numFmtId="0" fontId="35" fillId="0" borderId="0" xfId="10" applyFont="1" applyBorder="1"/>
    <xf numFmtId="0" fontId="0" fillId="0" borderId="0" xfId="0" applyAlignment="1">
      <alignment horizontal="right"/>
    </xf>
    <xf numFmtId="0" fontId="9" fillId="0" borderId="0" xfId="10" quotePrefix="1" applyAlignment="1">
      <alignment horizontal="left"/>
    </xf>
    <xf numFmtId="170" fontId="9" fillId="0" borderId="0" xfId="1" applyNumberFormat="1" applyBorder="1" applyAlignment="1">
      <alignment horizontal="right"/>
    </xf>
    <xf numFmtId="0" fontId="35" fillId="0" borderId="0" xfId="10" applyFont="1" applyAlignment="1">
      <alignment horizontal="left"/>
    </xf>
    <xf numFmtId="7" fontId="9" fillId="0" borderId="0" xfId="10" applyNumberFormat="1" applyAlignment="1">
      <alignment horizontal="right"/>
    </xf>
    <xf numFmtId="7" fontId="9" fillId="0" borderId="0" xfId="10" applyNumberFormat="1"/>
    <xf numFmtId="10" fontId="9" fillId="0" borderId="0" xfId="3" applyNumberFormat="1"/>
    <xf numFmtId="7" fontId="0" fillId="0" borderId="0" xfId="0" applyNumberFormat="1"/>
    <xf numFmtId="7" fontId="36" fillId="0" borderId="0" xfId="10" applyNumberFormat="1" applyFont="1" applyAlignment="1">
      <alignment horizontal="right"/>
    </xf>
    <xf numFmtId="5" fontId="9" fillId="0" borderId="0" xfId="10" applyNumberFormat="1" applyAlignment="1">
      <alignment horizontal="right"/>
    </xf>
    <xf numFmtId="5" fontId="9" fillId="0" borderId="0" xfId="10" applyNumberFormat="1" applyFill="1" applyAlignment="1">
      <alignment horizontal="right"/>
    </xf>
    <xf numFmtId="0" fontId="9" fillId="0" borderId="0" xfId="10" applyFont="1" applyAlignment="1">
      <alignment horizontal="left"/>
    </xf>
    <xf numFmtId="5" fontId="9" fillId="0" borderId="0" xfId="10" applyNumberFormat="1" applyFont="1"/>
    <xf numFmtId="0" fontId="9" fillId="0" borderId="0" xfId="10" applyFont="1"/>
    <xf numFmtId="9" fontId="9" fillId="0" borderId="0" xfId="10" applyNumberFormat="1"/>
    <xf numFmtId="170" fontId="9" fillId="0" borderId="0" xfId="1" applyNumberFormat="1"/>
    <xf numFmtId="0" fontId="9" fillId="0" borderId="0" xfId="10" applyFill="1" applyAlignment="1">
      <alignment horizontal="left"/>
    </xf>
    <xf numFmtId="5" fontId="9" fillId="0" borderId="0" xfId="0" applyNumberFormat="1" applyFont="1"/>
    <xf numFmtId="0" fontId="35" fillId="0" borderId="26" xfId="10" applyFont="1" applyBorder="1"/>
    <xf numFmtId="0" fontId="22" fillId="0" borderId="16" xfId="0" applyFont="1" applyBorder="1"/>
    <xf numFmtId="0" fontId="0" fillId="0" borderId="16" xfId="0" applyBorder="1"/>
    <xf numFmtId="5" fontId="35" fillId="0" borderId="27" xfId="0" applyNumberFormat="1" applyFont="1" applyBorder="1"/>
    <xf numFmtId="0" fontId="9" fillId="0" borderId="0" xfId="10" quotePrefix="1" applyFill="1" applyBorder="1" applyAlignment="1">
      <alignment horizontal="left"/>
    </xf>
    <xf numFmtId="192" fontId="34" fillId="0" borderId="0" xfId="10" applyNumberFormat="1" applyFont="1" applyBorder="1" applyAlignment="1">
      <alignment horizontal="center"/>
    </xf>
    <xf numFmtId="0" fontId="9" fillId="0" borderId="0" xfId="10" applyBorder="1" applyAlignment="1">
      <alignment horizontal="center"/>
    </xf>
    <xf numFmtId="0" fontId="0" fillId="0" borderId="0" xfId="0" applyAlignment="1">
      <alignment horizontal="center"/>
    </xf>
    <xf numFmtId="0" fontId="36" fillId="0" borderId="0" xfId="10" applyFont="1" applyAlignment="1">
      <alignment horizontal="left"/>
    </xf>
    <xf numFmtId="0" fontId="36" fillId="0" borderId="0" xfId="10" applyFont="1" applyAlignment="1">
      <alignment horizontal="center"/>
    </xf>
    <xf numFmtId="0" fontId="37" fillId="0" borderId="0" xfId="10" quotePrefix="1" applyFont="1" applyFill="1" applyAlignment="1" applyProtection="1">
      <alignment horizontal="center"/>
    </xf>
    <xf numFmtId="37" fontId="9" fillId="0" borderId="0" xfId="10" applyNumberFormat="1" applyFill="1" applyBorder="1"/>
    <xf numFmtId="166" fontId="35" fillId="0" borderId="0" xfId="10" applyNumberFormat="1" applyFont="1"/>
    <xf numFmtId="174" fontId="0" fillId="0" borderId="0" xfId="0" applyNumberFormat="1"/>
    <xf numFmtId="5" fontId="0" fillId="0" borderId="0" xfId="0" applyNumberFormat="1"/>
  </cellXfs>
  <cellStyles count="39">
    <cellStyle name="Comma" xfId="1" builtinId="3"/>
    <cellStyle name="Comma 2" xfId="11"/>
    <cellStyle name="Comma 2 2" xfId="12"/>
    <cellStyle name="Comma 3" xfId="13"/>
    <cellStyle name="Comma 4" xfId="14"/>
    <cellStyle name="Currency" xfId="2" builtinId="4"/>
    <cellStyle name="Currency 2" xfId="15"/>
    <cellStyle name="Currency 3" xfId="16"/>
    <cellStyle name="General" xfId="17"/>
    <cellStyle name="Marathon" xfId="18"/>
    <cellStyle name="nONE" xfId="19"/>
    <cellStyle name="Normal" xfId="0" builtinId="0"/>
    <cellStyle name="Normal 10" xfId="20"/>
    <cellStyle name="Normal 11" xfId="21"/>
    <cellStyle name="Normal 12" xfId="22"/>
    <cellStyle name="Normal 13" xfId="23"/>
    <cellStyle name="Normal 14" xfId="24"/>
    <cellStyle name="Normal 2" xfId="25"/>
    <cellStyle name="Normal 2 2" xfId="26"/>
    <cellStyle name="Normal 3" xfId="27"/>
    <cellStyle name="Normal 3 2" xfId="28"/>
    <cellStyle name="Normal 4" xfId="29"/>
    <cellStyle name="Normal 4 2" xfId="30"/>
    <cellStyle name="Normal 5" xfId="31"/>
    <cellStyle name="Normal 6" xfId="32"/>
    <cellStyle name="Normal 7" xfId="7"/>
    <cellStyle name="Normal 8" xfId="33"/>
    <cellStyle name="Normal 9" xfId="34"/>
    <cellStyle name="Normal_EAST Blocking 901 2" xfId="5"/>
    <cellStyle name="Normal_East for 38.6M" xfId="8"/>
    <cellStyle name="Normal_Low Income Proposal" xfId="10"/>
    <cellStyle name="Normal_OR Blocking 04" xfId="6"/>
    <cellStyle name="Normal_OR Blocking 98 No Forecast" xfId="9"/>
    <cellStyle name="Normal_WA98" xfId="4"/>
    <cellStyle name="Percent" xfId="3" builtinId="5"/>
    <cellStyle name="Percent 2" xfId="35"/>
    <cellStyle name="Percent 3" xfId="36"/>
    <cellStyle name="Percent 3 2" xfId="37"/>
    <cellStyle name="TRANSMISSION RELIABILITY PORTION OF PROJECT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5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6.xml"/><Relationship Id="rId41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A%202014%20GRC%20final%20workpaper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01\Year%202%20of%20stipulation%201-1-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98\Stipulation\WA98%20with%20deferral%20separa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%2002\Year%203%20of%20stipulation%201-1-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Spread GRC"/>
      <sheetName val="Rate Spread Sch 92"/>
      <sheetName val="Rate Spread combined"/>
      <sheetName val="Billing Determinants"/>
      <sheetName val="Bill Comparison Sch 16"/>
      <sheetName val="Bill Comparison Sch 17"/>
      <sheetName val="Bill Comparison Sch 24"/>
      <sheetName val="Bill Comparison Sch 36"/>
      <sheetName val="Bill Comparison Sch 40"/>
      <sheetName val="Bill Comp Sch 48 Sec"/>
      <sheetName val="Bill Comparison Sch 48 Pri"/>
      <sheetName val="Bill Comparison Ded"/>
      <sheetName val="Rate Design Low Inc Surcharge"/>
      <sheetName val="Rate Design Low Income Credit"/>
      <sheetName val="Stop Here"/>
      <sheetName val="Rate Design Work"/>
      <sheetName val="Rate Spread targets"/>
      <sheetName val="NPC Spread"/>
      <sheetName val="COS versus rates"/>
      <sheetName val="Schedule 36 orig filed method"/>
      <sheetName val="Exh No.__(JRS-17) p11"/>
      <sheetName val="by rate"/>
      <sheetName val="Table 1-Revenues"/>
      <sheetName val="Table 1 - kWh"/>
      <sheetName val="Table 2"/>
      <sheetName val="Table 3"/>
      <sheetName val="Temperature"/>
      <sheetName val="Temp. Adjustments"/>
      <sheetName val="305 VS COGNOS Revenue"/>
      <sheetName val="305 VS COGNOS kWh"/>
      <sheetName val="Normalized Monthly revenue"/>
      <sheetName val="Normalized Monthly kWh"/>
      <sheetName val="305 Inputs"/>
      <sheetName val="December 305 13"/>
      <sheetName val="WA SBC"/>
      <sheetName val="Exhibit No._(JRS-4) old"/>
      <sheetName val="Table A by class"/>
      <sheetName val="Rate Design prior GRC"/>
      <sheetName val="SBC (Old)"/>
      <sheetName val="Billing Determinants (2)"/>
      <sheetName val="Blocking -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Req"/>
      <sheetName val="Inputs"/>
      <sheetName val="Actual"/>
      <sheetName val="Blocking Yr 2002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Stip Table A w defer separate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2001 All Filings cr=-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AK59"/>
  <sheetViews>
    <sheetView tabSelected="1" view="pageBreakPreview" topLeftCell="B1" zoomScale="70" zoomScaleNormal="55" zoomScaleSheetLayoutView="70" workbookViewId="0">
      <selection activeCell="B1" sqref="B1"/>
    </sheetView>
  </sheetViews>
  <sheetFormatPr defaultColWidth="10.25" defaultRowHeight="15.75"/>
  <cols>
    <col min="1" max="1" width="0" style="1" hidden="1" customWidth="1"/>
    <col min="2" max="2" width="4.625" style="1" customWidth="1"/>
    <col min="3" max="3" width="2.125" style="1" customWidth="1"/>
    <col min="4" max="4" width="35.875" style="4" customWidth="1"/>
    <col min="5" max="5" width="2.125" style="4" customWidth="1"/>
    <col min="6" max="6" width="5.625" style="4" bestFit="1" customWidth="1"/>
    <col min="7" max="7" width="2.125" style="4" customWidth="1"/>
    <col min="8" max="8" width="9.25" style="1" hidden="1" customWidth="1"/>
    <col min="9" max="9" width="9.25" style="1" customWidth="1"/>
    <col min="10" max="10" width="2" style="1" customWidth="1"/>
    <col min="11" max="11" width="11" style="1" hidden="1" customWidth="1"/>
    <col min="12" max="12" width="11" style="1" bestFit="1" customWidth="1"/>
    <col min="13" max="13" width="2.875" style="1" customWidth="1"/>
    <col min="14" max="14" width="10.25" style="1" hidden="1" customWidth="1"/>
    <col min="15" max="15" width="12.625" style="1" bestFit="1" customWidth="1"/>
    <col min="16" max="16" width="2.75" style="1" customWidth="1"/>
    <col min="17" max="17" width="14.625" style="1" customWidth="1"/>
    <col min="18" max="18" width="2" style="1" hidden="1" customWidth="1"/>
    <col min="19" max="19" width="20.25" style="1" hidden="1" customWidth="1"/>
    <col min="20" max="20" width="2.625" style="1" customWidth="1"/>
    <col min="21" max="21" width="10.5" style="1" bestFit="1" customWidth="1"/>
    <col min="22" max="22" width="8.75" style="1" bestFit="1" customWidth="1"/>
    <col min="23" max="23" width="14.125" style="1" hidden="1" customWidth="1"/>
    <col min="24" max="24" width="8.75" style="1" hidden="1" customWidth="1"/>
    <col min="25" max="25" width="8.875" style="1" hidden="1" customWidth="1"/>
    <col min="26" max="26" width="7.75" style="1" hidden="1" customWidth="1"/>
    <col min="27" max="27" width="2.625" style="1" hidden="1" customWidth="1"/>
    <col min="28" max="28" width="11.5" style="1" hidden="1" customWidth="1"/>
    <col min="29" max="29" width="3.875" style="1" customWidth="1"/>
    <col min="30" max="30" width="11.75" style="1" bestFit="1" customWidth="1"/>
    <col min="31" max="31" width="2.125" style="1" customWidth="1"/>
    <col min="32" max="32" width="3.125" style="1" customWidth="1"/>
    <col min="33" max="33" width="7.25" style="1" customWidth="1"/>
    <col min="34" max="34" width="0.125" style="1" customWidth="1"/>
    <col min="35" max="35" width="10.25" style="1" customWidth="1"/>
    <col min="36" max="36" width="13.5" style="1" bestFit="1" customWidth="1"/>
    <col min="37" max="16384" width="10.25" style="1"/>
  </cols>
  <sheetData>
    <row r="1" spans="2:37" ht="18.75">
      <c r="C1" s="2"/>
      <c r="D1" s="3"/>
      <c r="Q1" s="5" t="s">
        <v>0</v>
      </c>
    </row>
    <row r="2" spans="2:37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7"/>
      <c r="AD2" s="7"/>
      <c r="AE2" s="7"/>
    </row>
    <row r="3" spans="2:37">
      <c r="B3" s="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2:37">
      <c r="B4" s="8" t="s">
        <v>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</row>
    <row r="5" spans="2:37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2:37">
      <c r="B6" s="8" t="s">
        <v>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2:37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2:37">
      <c r="M8" s="10"/>
      <c r="N8" s="11"/>
      <c r="O8" s="11"/>
      <c r="P8" s="12"/>
      <c r="Q8" s="12"/>
      <c r="R8" s="11"/>
      <c r="S8" s="11"/>
      <c r="T8" s="11"/>
      <c r="U8" s="12"/>
      <c r="V8" s="12"/>
      <c r="W8" s="12"/>
      <c r="X8" s="12"/>
      <c r="Y8" s="12"/>
      <c r="Z8" s="12"/>
      <c r="AA8" s="12"/>
      <c r="AB8" s="13" t="s">
        <v>7</v>
      </c>
      <c r="AC8" s="12"/>
      <c r="AD8" s="12"/>
      <c r="AE8" s="12"/>
      <c r="AF8" s="12"/>
      <c r="AG8" s="12"/>
      <c r="AH8" s="12"/>
      <c r="AI8" s="10"/>
      <c r="AJ8" s="10"/>
      <c r="AK8" s="10"/>
    </row>
    <row r="9" spans="2:37">
      <c r="N9" s="14" t="s">
        <v>8</v>
      </c>
      <c r="O9" s="14" t="s">
        <v>9</v>
      </c>
      <c r="P9" s="15"/>
      <c r="Q9" s="13" t="s">
        <v>10</v>
      </c>
      <c r="R9" s="16"/>
      <c r="S9" s="16"/>
      <c r="T9" s="17"/>
      <c r="AA9" s="15"/>
      <c r="AB9" s="18" t="s">
        <v>11</v>
      </c>
      <c r="AC9" s="15"/>
      <c r="AD9" s="13" t="s">
        <v>10</v>
      </c>
      <c r="AE9" s="15"/>
      <c r="AF9" s="15"/>
      <c r="AG9" s="15"/>
      <c r="AH9" s="15"/>
    </row>
    <row r="10" spans="2:37">
      <c r="F10" s="19" t="s">
        <v>12</v>
      </c>
      <c r="G10" s="19"/>
      <c r="H10" s="14" t="s">
        <v>13</v>
      </c>
      <c r="N10" s="13" t="s">
        <v>14</v>
      </c>
      <c r="O10" s="13" t="s">
        <v>14</v>
      </c>
      <c r="P10" s="20"/>
      <c r="Q10" s="13" t="s">
        <v>14</v>
      </c>
      <c r="R10" s="13"/>
      <c r="S10" s="13" t="s">
        <v>15</v>
      </c>
      <c r="T10" s="13"/>
      <c r="U10" s="17" t="s">
        <v>0</v>
      </c>
      <c r="V10" s="17"/>
      <c r="W10" s="21" t="s">
        <v>16</v>
      </c>
      <c r="X10" s="21"/>
      <c r="Y10" s="21"/>
      <c r="Z10" s="21"/>
      <c r="AA10" s="17"/>
      <c r="AB10" s="17"/>
      <c r="AC10" s="17"/>
      <c r="AD10" s="13" t="s">
        <v>16</v>
      </c>
      <c r="AE10" s="17"/>
      <c r="AF10" s="22"/>
      <c r="AG10" s="17"/>
      <c r="AH10" s="22"/>
    </row>
    <row r="11" spans="2:37">
      <c r="B11" s="22" t="s">
        <v>17</v>
      </c>
      <c r="F11" s="19" t="s">
        <v>18</v>
      </c>
      <c r="G11" s="19"/>
      <c r="H11" s="14" t="s">
        <v>19</v>
      </c>
      <c r="I11" s="14" t="s">
        <v>13</v>
      </c>
      <c r="K11" s="14" t="s">
        <v>20</v>
      </c>
      <c r="N11" s="14" t="s">
        <v>21</v>
      </c>
      <c r="O11" s="14" t="s">
        <v>21</v>
      </c>
      <c r="P11" s="22"/>
      <c r="Q11" s="23" t="s">
        <v>21</v>
      </c>
      <c r="R11" s="14"/>
      <c r="S11" s="14" t="s">
        <v>21</v>
      </c>
      <c r="T11" s="14"/>
      <c r="U11" s="24" t="s">
        <v>22</v>
      </c>
      <c r="V11" s="14" t="s">
        <v>14</v>
      </c>
      <c r="W11" s="24" t="s">
        <v>22</v>
      </c>
      <c r="X11" s="14" t="s">
        <v>7</v>
      </c>
      <c r="Y11" s="24" t="s">
        <v>15</v>
      </c>
      <c r="Z11" s="14" t="s">
        <v>15</v>
      </c>
      <c r="AA11" s="22"/>
      <c r="AB11" s="22"/>
      <c r="AC11" s="22"/>
      <c r="AD11" s="14" t="s">
        <v>23</v>
      </c>
      <c r="AE11" s="22"/>
      <c r="AF11" s="22"/>
      <c r="AG11" s="13"/>
      <c r="AH11" s="25"/>
      <c r="AI11" s="10"/>
    </row>
    <row r="12" spans="2:37">
      <c r="B12" s="26" t="s">
        <v>24</v>
      </c>
      <c r="D12" s="27" t="s">
        <v>25</v>
      </c>
      <c r="F12" s="27" t="s">
        <v>24</v>
      </c>
      <c r="G12" s="28"/>
      <c r="H12" s="29" t="s">
        <v>8</v>
      </c>
      <c r="I12" s="18" t="s">
        <v>19</v>
      </c>
      <c r="K12" s="29" t="s">
        <v>8</v>
      </c>
      <c r="L12" s="18" t="s">
        <v>20</v>
      </c>
      <c r="N12" s="30" t="s">
        <v>26</v>
      </c>
      <c r="O12" s="30" t="s">
        <v>26</v>
      </c>
      <c r="P12" s="13"/>
      <c r="Q12" s="31" t="s">
        <v>26</v>
      </c>
      <c r="R12" s="32"/>
      <c r="S12" s="30" t="s">
        <v>26</v>
      </c>
      <c r="T12" s="32"/>
      <c r="U12" s="33" t="s">
        <v>26</v>
      </c>
      <c r="V12" s="18" t="s">
        <v>27</v>
      </c>
      <c r="W12" s="33" t="s">
        <v>26</v>
      </c>
      <c r="X12" s="18" t="s">
        <v>27</v>
      </c>
      <c r="Y12" s="33" t="s">
        <v>26</v>
      </c>
      <c r="Z12" s="18" t="s">
        <v>27</v>
      </c>
      <c r="AA12" s="25"/>
      <c r="AB12" s="34" t="s">
        <v>28</v>
      </c>
      <c r="AC12" s="25"/>
      <c r="AD12" s="30" t="s">
        <v>28</v>
      </c>
      <c r="AE12" s="25"/>
      <c r="AF12" s="25"/>
      <c r="AG12" s="13"/>
      <c r="AH12" s="25"/>
      <c r="AI12" s="10"/>
    </row>
    <row r="13" spans="2:37">
      <c r="B13" s="35"/>
      <c r="D13" s="24" t="s">
        <v>29</v>
      </c>
      <c r="F13" s="24" t="s">
        <v>30</v>
      </c>
      <c r="G13" s="19"/>
      <c r="H13" s="24"/>
      <c r="I13" s="24" t="s">
        <v>31</v>
      </c>
      <c r="K13" s="24"/>
      <c r="L13" s="24" t="s">
        <v>32</v>
      </c>
      <c r="N13" s="24"/>
      <c r="O13" s="24" t="s">
        <v>33</v>
      </c>
      <c r="P13" s="24"/>
      <c r="Q13" s="24" t="s">
        <v>34</v>
      </c>
      <c r="R13" s="24"/>
      <c r="S13" s="24"/>
      <c r="T13" s="24"/>
      <c r="U13" s="24" t="s">
        <v>35</v>
      </c>
      <c r="V13" s="24" t="s">
        <v>36</v>
      </c>
      <c r="W13" s="24" t="s">
        <v>37</v>
      </c>
      <c r="X13" s="24" t="s">
        <v>38</v>
      </c>
      <c r="Y13" s="24" t="s">
        <v>39</v>
      </c>
      <c r="Z13" s="24" t="s">
        <v>40</v>
      </c>
      <c r="AA13" s="24"/>
      <c r="AB13" s="24"/>
      <c r="AC13" s="24"/>
      <c r="AD13" s="24" t="s">
        <v>37</v>
      </c>
      <c r="AE13" s="24"/>
      <c r="AF13" s="24"/>
      <c r="AG13" s="20"/>
      <c r="AH13" s="20"/>
      <c r="AI13" s="10"/>
    </row>
    <row r="14" spans="2:37">
      <c r="P14" s="24"/>
      <c r="Q14" s="24" t="s">
        <v>0</v>
      </c>
      <c r="V14" s="24" t="s">
        <v>41</v>
      </c>
      <c r="X14" s="24" t="s">
        <v>0</v>
      </c>
      <c r="Y14" s="24" t="s">
        <v>42</v>
      </c>
      <c r="Z14" s="24" t="s">
        <v>43</v>
      </c>
      <c r="AD14" s="24" t="s">
        <v>44</v>
      </c>
      <c r="AG14" s="10"/>
      <c r="AH14" s="10"/>
      <c r="AI14" s="10"/>
    </row>
    <row r="15" spans="2:37">
      <c r="D15" s="36" t="s">
        <v>45</v>
      </c>
      <c r="AG15" s="10"/>
      <c r="AH15" s="10"/>
      <c r="AI15" s="10"/>
    </row>
    <row r="16" spans="2:37">
      <c r="B16" s="22">
        <v>1</v>
      </c>
      <c r="D16" s="4" t="s">
        <v>46</v>
      </c>
      <c r="F16" s="37" t="s">
        <v>47</v>
      </c>
      <c r="G16" s="37"/>
      <c r="H16" s="38">
        <v>101336.91666666667</v>
      </c>
      <c r="I16" s="38">
        <f>'Billing Determinants'!C89/12</f>
        <v>104635.09245519141</v>
      </c>
      <c r="J16" s="5"/>
      <c r="K16" s="38">
        <v>1569938.6044392167</v>
      </c>
      <c r="L16" s="38">
        <f>'Billing Determinants'!C101/1000</f>
        <v>1572834.8567787264</v>
      </c>
      <c r="N16" s="39">
        <v>102672.94442530281</v>
      </c>
      <c r="O16" s="39">
        <f>'Billing Determinants'!I101/1000</f>
        <v>140088.11881608813</v>
      </c>
      <c r="P16" s="40"/>
      <c r="Q16" s="39">
        <f>'Billing Determinants'!L101/1000</f>
        <v>144770.12781608815</v>
      </c>
      <c r="R16" s="39"/>
      <c r="S16" s="41">
        <f>Q16+W16</f>
        <v>147239.47854123075</v>
      </c>
      <c r="T16" s="39"/>
      <c r="U16" s="39">
        <v>4682.009</v>
      </c>
      <c r="V16" s="42">
        <f>U16/O16</f>
        <v>3.342188502186029E-2</v>
      </c>
      <c r="W16" s="39">
        <f>(AB16/100)*L16</f>
        <v>2469.3507251426004</v>
      </c>
      <c r="X16" s="42">
        <f>W16/O16</f>
        <v>1.7627124598513868E-2</v>
      </c>
      <c r="Y16" s="39">
        <f>U16+W16</f>
        <v>7151.3597251425999</v>
      </c>
      <c r="Z16" s="42">
        <f>Y16/O16</f>
        <v>5.1049009620374147E-2</v>
      </c>
      <c r="AA16" s="40"/>
      <c r="AB16" s="43">
        <f>ROUND((((Q16/$Q$44)*$W$51)/L16)*100,3)</f>
        <v>0.157</v>
      </c>
      <c r="AC16" s="40"/>
      <c r="AD16" s="44">
        <f>Q16/L16*100</f>
        <v>9.204407391669033</v>
      </c>
      <c r="AE16" s="40"/>
      <c r="AF16" s="40"/>
      <c r="AG16" s="45" t="s">
        <v>0</v>
      </c>
      <c r="AH16" s="46"/>
      <c r="AI16" s="47" t="s">
        <v>0</v>
      </c>
      <c r="AJ16" s="5" t="s">
        <v>0</v>
      </c>
    </row>
    <row r="17" spans="2:37">
      <c r="H17" s="48"/>
      <c r="I17" s="48"/>
      <c r="K17" s="48"/>
      <c r="L17" s="48"/>
      <c r="N17" s="48"/>
      <c r="O17" s="48"/>
      <c r="P17" s="10"/>
      <c r="Q17" s="48"/>
      <c r="R17" s="10"/>
      <c r="S17" s="49"/>
      <c r="T17" s="10"/>
      <c r="U17" s="48"/>
      <c r="V17" s="50"/>
      <c r="W17" s="48"/>
      <c r="X17" s="51"/>
      <c r="Y17" s="48"/>
      <c r="Z17" s="51"/>
      <c r="AA17" s="10"/>
      <c r="AB17" s="52"/>
      <c r="AC17" s="10"/>
      <c r="AD17" s="49"/>
      <c r="AE17" s="10"/>
      <c r="AF17" s="10"/>
      <c r="AG17" s="53"/>
      <c r="AH17" s="10"/>
      <c r="AI17" s="10"/>
    </row>
    <row r="18" spans="2:37">
      <c r="V18" s="54"/>
      <c r="X18" s="54"/>
      <c r="Z18" s="54"/>
      <c r="AB18" s="55"/>
      <c r="AG18" s="53"/>
      <c r="AH18" s="10"/>
      <c r="AI18" s="10"/>
    </row>
    <row r="19" spans="2:37">
      <c r="B19" s="56">
        <f>MAX(B$13:B18)+1</f>
        <v>2</v>
      </c>
      <c r="D19" s="36" t="s">
        <v>48</v>
      </c>
      <c r="H19" s="57">
        <f>SUM(H16:H16)</f>
        <v>101336.91666666667</v>
      </c>
      <c r="I19" s="57">
        <f>SUM(I16:I16)</f>
        <v>104635.09245519141</v>
      </c>
      <c r="K19" s="57">
        <f>SUM(K16:K16)</f>
        <v>1569938.6044392167</v>
      </c>
      <c r="L19" s="57">
        <f>SUM(L16:L16)</f>
        <v>1572834.8567787264</v>
      </c>
      <c r="M19" s="57"/>
      <c r="N19" s="58">
        <f>SUM(N16:N16)</f>
        <v>102672.94442530281</v>
      </c>
      <c r="O19" s="58">
        <f>SUM(O16:O16)</f>
        <v>140088.11881608813</v>
      </c>
      <c r="P19" s="40"/>
      <c r="Q19" s="58">
        <f>SUM(Q16:Q16)</f>
        <v>144770.12781608815</v>
      </c>
      <c r="R19" s="58"/>
      <c r="S19" s="58">
        <f>SUM(S16:S16)</f>
        <v>147239.47854123075</v>
      </c>
      <c r="T19" s="58"/>
      <c r="U19" s="39">
        <f>SUM(U16)</f>
        <v>4682.009</v>
      </c>
      <c r="V19" s="42">
        <f>U19/O19</f>
        <v>3.342188502186029E-2</v>
      </c>
      <c r="W19" s="39">
        <f>SUM(W16)</f>
        <v>2469.3507251426004</v>
      </c>
      <c r="X19" s="42">
        <f>W19/O19</f>
        <v>1.7627124598513868E-2</v>
      </c>
      <c r="Y19" s="39">
        <f>U19+W19</f>
        <v>7151.3597251425999</v>
      </c>
      <c r="Z19" s="42">
        <f>Y19/O19</f>
        <v>5.1049009620374147E-2</v>
      </c>
      <c r="AA19" s="40"/>
      <c r="AB19" s="59"/>
      <c r="AC19" s="40"/>
      <c r="AD19" s="44">
        <f>Q19/L19*100</f>
        <v>9.204407391669033</v>
      </c>
      <c r="AE19" s="40"/>
      <c r="AF19" s="40"/>
      <c r="AG19" s="60"/>
      <c r="AH19" s="46"/>
      <c r="AI19" s="10"/>
    </row>
    <row r="20" spans="2:37">
      <c r="L20" s="5" t="s">
        <v>0</v>
      </c>
      <c r="V20" s="54"/>
      <c r="X20" s="54"/>
      <c r="Z20" s="54"/>
      <c r="AB20" s="55"/>
      <c r="AG20" s="53"/>
      <c r="AH20" s="10"/>
      <c r="AI20" s="10"/>
    </row>
    <row r="21" spans="2:37">
      <c r="D21" s="36" t="s">
        <v>49</v>
      </c>
      <c r="H21" s="61"/>
      <c r="I21" s="61"/>
      <c r="V21" s="54"/>
      <c r="X21" s="54"/>
      <c r="Z21" s="54"/>
      <c r="AB21" s="55"/>
      <c r="AG21" s="53"/>
      <c r="AH21" s="10"/>
      <c r="AI21" s="10"/>
    </row>
    <row r="22" spans="2:37">
      <c r="B22" s="56">
        <f>MAX(B$13:B21)+1</f>
        <v>3</v>
      </c>
      <c r="D22" s="4" t="s">
        <v>50</v>
      </c>
      <c r="F22" s="19">
        <v>24</v>
      </c>
      <c r="G22" s="19"/>
      <c r="H22" s="38">
        <v>17306.416666666664</v>
      </c>
      <c r="I22" s="38">
        <f>'Billing Determinants'!C177/12</f>
        <v>18788.493749999969</v>
      </c>
      <c r="K22" s="38">
        <v>513041.74113523914</v>
      </c>
      <c r="L22" s="38">
        <f>'Billing Determinants'!C205/1000</f>
        <v>543201.5574379696</v>
      </c>
      <c r="N22" s="58">
        <v>33647.646251191611</v>
      </c>
      <c r="O22" s="39">
        <f>'Billing Determinants'!I205/1000</f>
        <v>48473.096458215186</v>
      </c>
      <c r="P22" s="40"/>
      <c r="Q22" s="39">
        <f>'Billing Determinants'!L205/1000</f>
        <v>49195.665458215182</v>
      </c>
      <c r="R22" s="39"/>
      <c r="S22" s="41">
        <f t="shared" ref="S22:S29" si="0">Q22+W22</f>
        <v>50037.627872244033</v>
      </c>
      <c r="T22" s="39"/>
      <c r="U22" s="39">
        <v>722.56899999999996</v>
      </c>
      <c r="V22" s="42">
        <f>U22/O22</f>
        <v>1.4906598769131025E-2</v>
      </c>
      <c r="W22" s="39">
        <f t="shared" ref="W22:W29" si="1">(AB22/100)*L22</f>
        <v>841.96241402885289</v>
      </c>
      <c r="X22" s="42">
        <f>W22/O22</f>
        <v>1.7369684949973062E-2</v>
      </c>
      <c r="Y22" s="39">
        <f t="shared" ref="Y22:Y29" si="2">U22+W22</f>
        <v>1564.5314140288529</v>
      </c>
      <c r="Z22" s="42">
        <f>Y22/O22</f>
        <v>3.2276283719104085E-2</v>
      </c>
      <c r="AA22" s="40"/>
      <c r="AB22" s="43">
        <f t="shared" ref="AB22:AB29" si="3">ROUND((((Q22/$Q$44)*$W$51)/L22)*100,3)</f>
        <v>0.155</v>
      </c>
      <c r="AC22" s="40"/>
      <c r="AD22" s="44">
        <f>Q22/L22*100</f>
        <v>9.0566134770026014</v>
      </c>
      <c r="AE22" s="40"/>
      <c r="AF22" s="40"/>
      <c r="AG22" s="60"/>
      <c r="AH22" s="46"/>
      <c r="AI22" s="10"/>
      <c r="AJ22" s="62"/>
      <c r="AK22" s="63"/>
    </row>
    <row r="23" spans="2:37">
      <c r="B23" s="56">
        <f>MAX(B$13:B22)+1</f>
        <v>4</v>
      </c>
      <c r="D23" s="4" t="s">
        <v>51</v>
      </c>
      <c r="E23" s="64"/>
      <c r="F23" s="19">
        <v>33</v>
      </c>
      <c r="G23" s="19"/>
      <c r="H23" s="38">
        <v>0</v>
      </c>
      <c r="I23" s="38">
        <v>0</v>
      </c>
      <c r="K23" s="38">
        <v>0</v>
      </c>
      <c r="L23" s="38">
        <v>0</v>
      </c>
      <c r="N23" s="39">
        <v>0</v>
      </c>
      <c r="O23" s="39">
        <v>0</v>
      </c>
      <c r="P23" s="40"/>
      <c r="Q23" s="39">
        <f>'Billing Determinants'!L597/100</f>
        <v>0</v>
      </c>
      <c r="R23" s="39"/>
      <c r="S23" s="41">
        <f t="shared" si="0"/>
        <v>0</v>
      </c>
      <c r="T23" s="39"/>
      <c r="U23" s="39">
        <v>0</v>
      </c>
      <c r="V23" s="42">
        <f>V24</f>
        <v>3.3421465564214353E-2</v>
      </c>
      <c r="W23" s="39">
        <f t="shared" si="1"/>
        <v>0</v>
      </c>
      <c r="X23" s="42">
        <f>X24</f>
        <v>1.7698210490469296E-2</v>
      </c>
      <c r="Y23" s="39">
        <f t="shared" si="2"/>
        <v>0</v>
      </c>
      <c r="Z23" s="42">
        <f>V23+X23</f>
        <v>5.1119676054683649E-2</v>
      </c>
      <c r="AA23" s="40"/>
      <c r="AB23" s="43">
        <f>AB24</f>
        <v>0.13200000000000001</v>
      </c>
      <c r="AC23" s="40"/>
      <c r="AD23" s="44">
        <v>0</v>
      </c>
      <c r="AE23" s="40"/>
      <c r="AF23" s="40"/>
      <c r="AG23" s="60"/>
      <c r="AH23" s="46"/>
      <c r="AI23" s="10"/>
      <c r="AJ23" s="62"/>
      <c r="AK23" s="63"/>
    </row>
    <row r="24" spans="2:37">
      <c r="B24" s="56">
        <f>MAX(B$13:B23)+1</f>
        <v>5</v>
      </c>
      <c r="D24" s="4" t="s">
        <v>52</v>
      </c>
      <c r="F24" s="19">
        <v>36</v>
      </c>
      <c r="G24" s="19"/>
      <c r="H24" s="38">
        <v>1058.6666666666667</v>
      </c>
      <c r="I24" s="38">
        <f>'Billing Determinants'!C606/12</f>
        <v>1053.9138888888895</v>
      </c>
      <c r="K24" s="38">
        <v>901191.51506367233</v>
      </c>
      <c r="L24" s="38">
        <f>'Billing Determinants'!C637/1000</f>
        <v>895773.15120793856</v>
      </c>
      <c r="N24" s="58">
        <v>49005.26783999426</v>
      </c>
      <c r="O24" s="39">
        <f>'Billing Determinants'!I637/1000</f>
        <v>66810.176104031925</v>
      </c>
      <c r="P24" s="40"/>
      <c r="Q24" s="39">
        <f>'Billing Determinants'!L637/1000</f>
        <v>69043.070104031925</v>
      </c>
      <c r="R24" s="39"/>
      <c r="S24" s="41">
        <f t="shared" si="0"/>
        <v>70225.490663626406</v>
      </c>
      <c r="T24" s="39"/>
      <c r="U24" s="39">
        <v>2232.8939999999998</v>
      </c>
      <c r="V24" s="42">
        <f>U24/O24</f>
        <v>3.3421465564214353E-2</v>
      </c>
      <c r="W24" s="39">
        <f t="shared" si="1"/>
        <v>1182.4205595944788</v>
      </c>
      <c r="X24" s="42">
        <f t="shared" ref="X24:X29" si="4">W24/O24</f>
        <v>1.7698210490469296E-2</v>
      </c>
      <c r="Y24" s="39">
        <f t="shared" si="2"/>
        <v>3415.3145595944789</v>
      </c>
      <c r="Z24" s="42">
        <f t="shared" ref="Z24:Z29" si="5">Y24/O24</f>
        <v>5.1119676054683656E-2</v>
      </c>
      <c r="AA24" s="40"/>
      <c r="AB24" s="43">
        <f t="shared" si="3"/>
        <v>0.13200000000000001</v>
      </c>
      <c r="AC24" s="40"/>
      <c r="AD24" s="44">
        <f>Q24/L24*100</f>
        <v>7.7076512073317032</v>
      </c>
      <c r="AE24" s="40"/>
      <c r="AF24" s="40"/>
      <c r="AG24" s="60"/>
      <c r="AH24" s="46"/>
      <c r="AI24" s="10"/>
      <c r="AJ24" s="62"/>
      <c r="AK24" s="63"/>
    </row>
    <row r="25" spans="2:37">
      <c r="B25" s="56">
        <f>MAX(B$13:B24)+1</f>
        <v>6</v>
      </c>
      <c r="D25" s="4" t="s">
        <v>53</v>
      </c>
      <c r="F25" s="19" t="s">
        <v>54</v>
      </c>
      <c r="G25" s="19"/>
      <c r="H25" s="38">
        <v>5259</v>
      </c>
      <c r="I25" s="38">
        <f>'Billing Determinants'!C726</f>
        <v>5247.0299819759166</v>
      </c>
      <c r="K25" s="38">
        <v>168033.04399999999</v>
      </c>
      <c r="L25" s="38">
        <f>'Billing Determinants'!C769/1000</f>
        <v>148533.3665584703</v>
      </c>
      <c r="N25" s="58">
        <v>10140.337</v>
      </c>
      <c r="O25" s="39">
        <f>'Billing Determinants'!I769/1000</f>
        <v>12666.289000000001</v>
      </c>
      <c r="P25" s="40"/>
      <c r="Q25" s="39">
        <f>'Billing Determinants'!L769/1000</f>
        <v>12854.989</v>
      </c>
      <c r="R25" s="39"/>
      <c r="S25" s="41">
        <f t="shared" si="0"/>
        <v>13074.818382506535</v>
      </c>
      <c r="T25" s="39"/>
      <c r="U25" s="39">
        <v>188.7</v>
      </c>
      <c r="V25" s="42">
        <f>U25/O25</f>
        <v>1.489781261109706E-2</v>
      </c>
      <c r="W25" s="39">
        <f t="shared" si="1"/>
        <v>219.82938250653604</v>
      </c>
      <c r="X25" s="42">
        <f t="shared" si="4"/>
        <v>1.7355468717517499E-2</v>
      </c>
      <c r="Y25" s="39">
        <f t="shared" si="2"/>
        <v>408.52938250653602</v>
      </c>
      <c r="Z25" s="42">
        <f t="shared" si="5"/>
        <v>3.2253281328614561E-2</v>
      </c>
      <c r="AA25" s="40"/>
      <c r="AB25" s="43">
        <f t="shared" si="3"/>
        <v>0.14799999999999999</v>
      </c>
      <c r="AC25" s="40"/>
      <c r="AD25" s="44">
        <f>Q25/L25*100</f>
        <v>8.6546136385723287</v>
      </c>
      <c r="AE25" s="40"/>
      <c r="AF25" s="40"/>
      <c r="AG25" s="60"/>
      <c r="AH25" s="46"/>
      <c r="AI25" s="10"/>
    </row>
    <row r="26" spans="2:37">
      <c r="B26" s="56">
        <f>MAX(B$13:B25)+1</f>
        <v>7</v>
      </c>
      <c r="D26" s="4" t="s">
        <v>55</v>
      </c>
      <c r="F26" s="19">
        <v>47</v>
      </c>
      <c r="G26" s="19"/>
      <c r="H26" s="38">
        <v>1.0833333333333333</v>
      </c>
      <c r="I26" s="38">
        <f>'Billing Determinants'!C885/12</f>
        <v>1</v>
      </c>
      <c r="K26" s="38">
        <v>1616.6904507017675</v>
      </c>
      <c r="L26" s="38">
        <f>'Billing Determinants'!C899/1000</f>
        <v>1994.5324465218168</v>
      </c>
      <c r="N26" s="58">
        <v>165.62561725051643</v>
      </c>
      <c r="O26" s="39">
        <f>'Billing Determinants'!I899/1000</f>
        <v>292.12801280278654</v>
      </c>
      <c r="P26" s="40"/>
      <c r="Q26" s="39">
        <f>'Billing Determinants'!L899/1000</f>
        <v>302.01501280278654</v>
      </c>
      <c r="R26" s="39"/>
      <c r="S26" s="41">
        <f t="shared" si="0"/>
        <v>307.18085183927803</v>
      </c>
      <c r="T26" s="39"/>
      <c r="U26" s="39">
        <v>9.8870000000000005</v>
      </c>
      <c r="V26" s="42">
        <f>U26/O26</f>
        <v>3.3844751501714558E-2</v>
      </c>
      <c r="W26" s="39">
        <f t="shared" si="1"/>
        <v>5.1658390364915059</v>
      </c>
      <c r="X26" s="42">
        <f t="shared" si="4"/>
        <v>1.7683477140478566E-2</v>
      </c>
      <c r="Y26" s="39">
        <f t="shared" si="2"/>
        <v>15.052839036491505</v>
      </c>
      <c r="Z26" s="42">
        <f t="shared" si="5"/>
        <v>5.1528228642193127E-2</v>
      </c>
      <c r="AA26" s="40"/>
      <c r="AB26" s="43">
        <f t="shared" si="3"/>
        <v>0.25900000000000001</v>
      </c>
      <c r="AC26" s="40"/>
      <c r="AD26" s="44">
        <f>Q26/L26*100</f>
        <v>15.142145886343345</v>
      </c>
      <c r="AE26" s="40"/>
      <c r="AF26" s="40"/>
      <c r="AG26" s="60"/>
      <c r="AH26" s="46"/>
      <c r="AI26" s="10"/>
    </row>
    <row r="27" spans="2:37">
      <c r="B27" s="56">
        <f>MAX(B$13:B26)+1</f>
        <v>8</v>
      </c>
      <c r="D27" s="4" t="s">
        <v>56</v>
      </c>
      <c r="F27" s="19">
        <v>48</v>
      </c>
      <c r="G27" s="19"/>
      <c r="H27" s="38">
        <v>63.666666666666671</v>
      </c>
      <c r="I27" s="38">
        <f>('Billing Determinants'!C926+'Billing Determinants'!C1095)/12</f>
        <v>62.012626262626249</v>
      </c>
      <c r="K27" s="38">
        <v>856497.09877425549</v>
      </c>
      <c r="L27" s="38">
        <f>('Billing Determinants'!C936+'Billing Determinants'!C1106)/1000</f>
        <v>834884.0372572965</v>
      </c>
      <c r="N27" s="58">
        <v>38996.209349631463</v>
      </c>
      <c r="O27" s="39">
        <f>('Billing Determinants'!I936+'Billing Determinants'!I1106)/1000</f>
        <v>50976.274610443281</v>
      </c>
      <c r="P27" s="40"/>
      <c r="Q27" s="39">
        <f>'Billing Determinants'!L917/1000</f>
        <v>52679.245610443271</v>
      </c>
      <c r="R27" s="39"/>
      <c r="S27" s="41">
        <f t="shared" si="0"/>
        <v>53580.920370681153</v>
      </c>
      <c r="T27" s="39"/>
      <c r="U27" s="39">
        <v>1702.9710000000036</v>
      </c>
      <c r="V27" s="42">
        <f>U27/O27</f>
        <v>3.3407129356038186E-2</v>
      </c>
      <c r="W27" s="39">
        <f t="shared" si="1"/>
        <v>901.67476023788026</v>
      </c>
      <c r="X27" s="42">
        <f t="shared" si="4"/>
        <v>1.7688125841450922E-2</v>
      </c>
      <c r="Y27" s="39">
        <f t="shared" si="2"/>
        <v>2604.6457602378841</v>
      </c>
      <c r="Z27" s="42">
        <f t="shared" si="5"/>
        <v>5.1095255197489108E-2</v>
      </c>
      <c r="AA27" s="40"/>
      <c r="AB27" s="43">
        <f t="shared" si="3"/>
        <v>0.108</v>
      </c>
      <c r="AC27" s="40"/>
      <c r="AD27" s="44">
        <f>Q27/L27*100</f>
        <v>6.3097679749036173</v>
      </c>
      <c r="AE27" s="40"/>
      <c r="AF27" s="40"/>
      <c r="AG27" s="60"/>
      <c r="AH27" s="46"/>
      <c r="AI27" s="10"/>
      <c r="AJ27" s="5" t="s">
        <v>0</v>
      </c>
    </row>
    <row r="28" spans="2:37" hidden="1">
      <c r="B28" s="56">
        <f>MAX(B$13:B26)+1</f>
        <v>8</v>
      </c>
      <c r="D28" s="4" t="s">
        <v>57</v>
      </c>
      <c r="F28" s="37" t="s">
        <v>58</v>
      </c>
      <c r="G28" s="19"/>
      <c r="H28" s="38">
        <v>63.666666666666671</v>
      </c>
      <c r="I28" s="38">
        <v>0</v>
      </c>
      <c r="K28" s="38">
        <v>856497.09877425549</v>
      </c>
      <c r="L28" s="38">
        <v>0</v>
      </c>
      <c r="N28" s="58">
        <v>38996.209349631463</v>
      </c>
      <c r="O28" s="39">
        <v>0</v>
      </c>
      <c r="P28" s="40"/>
      <c r="Q28" s="39">
        <v>0</v>
      </c>
      <c r="R28" s="39"/>
      <c r="S28" s="41">
        <f t="shared" si="0"/>
        <v>0</v>
      </c>
      <c r="T28" s="39"/>
      <c r="U28" s="39">
        <v>0</v>
      </c>
      <c r="V28" s="42">
        <v>0</v>
      </c>
      <c r="W28" s="39">
        <v>0</v>
      </c>
      <c r="X28" s="42">
        <v>0</v>
      </c>
      <c r="Y28" s="39">
        <f t="shared" si="2"/>
        <v>0</v>
      </c>
      <c r="Z28" s="42">
        <v>0</v>
      </c>
      <c r="AA28" s="40"/>
      <c r="AB28" s="43" t="e">
        <f t="shared" si="3"/>
        <v>#DIV/0!</v>
      </c>
      <c r="AC28" s="40"/>
      <c r="AD28" s="44">
        <v>0</v>
      </c>
      <c r="AE28" s="40"/>
      <c r="AF28" s="40"/>
      <c r="AG28" s="60"/>
      <c r="AH28" s="46"/>
      <c r="AI28" s="10"/>
    </row>
    <row r="29" spans="2:37">
      <c r="B29" s="56">
        <f>MAX(B$13:B28)+1</f>
        <v>9</v>
      </c>
      <c r="D29" s="4" t="s">
        <v>59</v>
      </c>
      <c r="F29" s="19" t="s">
        <v>60</v>
      </c>
      <c r="G29" s="19"/>
      <c r="H29" s="38">
        <v>28</v>
      </c>
      <c r="I29" s="38">
        <f>'Billing Determinants'!C1226/12</f>
        <v>29.977777777777749</v>
      </c>
      <c r="K29" s="38">
        <v>233.86177246899351</v>
      </c>
      <c r="L29" s="38">
        <f>'Billing Determinants'!C1232/1000</f>
        <v>294.55045303791917</v>
      </c>
      <c r="N29" s="58">
        <v>18.659249899021408</v>
      </c>
      <c r="O29" s="39">
        <f>'Billing Determinants'!I1232/1000</f>
        <v>25.790024491772925</v>
      </c>
      <c r="P29" s="40"/>
      <c r="Q29" s="39">
        <f>'Billing Determinants'!L1232/1000</f>
        <v>26.174024491772926</v>
      </c>
      <c r="R29" s="39"/>
      <c r="S29" s="41">
        <f t="shared" si="0"/>
        <v>26.621741180390561</v>
      </c>
      <c r="T29" s="39"/>
      <c r="U29" s="39">
        <v>0.38400000000000001</v>
      </c>
      <c r="V29" s="42">
        <f>U29/O29</f>
        <v>1.4889477911217062E-2</v>
      </c>
      <c r="W29" s="39">
        <f t="shared" si="1"/>
        <v>0.44771668861763708</v>
      </c>
      <c r="X29" s="42">
        <f t="shared" si="4"/>
        <v>1.736007225431134E-2</v>
      </c>
      <c r="Y29" s="39">
        <f t="shared" si="2"/>
        <v>0.83171668861763703</v>
      </c>
      <c r="Z29" s="42">
        <f t="shared" si="5"/>
        <v>3.2249550165528398E-2</v>
      </c>
      <c r="AA29" s="40"/>
      <c r="AB29" s="43">
        <f t="shared" si="3"/>
        <v>0.152</v>
      </c>
      <c r="AC29" s="40"/>
      <c r="AD29" s="44">
        <f>Q29/L29*100</f>
        <v>8.8860920843341553</v>
      </c>
      <c r="AE29" s="40"/>
      <c r="AF29" s="40"/>
      <c r="AG29" s="60"/>
      <c r="AH29" s="46"/>
      <c r="AI29" s="10"/>
    </row>
    <row r="30" spans="2:37">
      <c r="B30" s="22"/>
      <c r="F30" s="19"/>
      <c r="G30" s="19"/>
      <c r="H30" s="48"/>
      <c r="I30" s="48"/>
      <c r="K30" s="48"/>
      <c r="L30" s="48"/>
      <c r="N30" s="48"/>
      <c r="O30" s="48"/>
      <c r="P30" s="10"/>
      <c r="Q30" s="48"/>
      <c r="R30" s="10"/>
      <c r="S30" s="49"/>
      <c r="T30" s="10"/>
      <c r="U30" s="48"/>
      <c r="V30" s="51"/>
      <c r="W30" s="48"/>
      <c r="X30" s="51"/>
      <c r="Y30" s="48"/>
      <c r="Z30" s="51"/>
      <c r="AA30" s="10"/>
      <c r="AB30" s="52"/>
      <c r="AC30" s="10"/>
      <c r="AD30" s="49"/>
      <c r="AE30" s="10"/>
      <c r="AF30" s="10"/>
      <c r="AG30" s="53"/>
      <c r="AH30" s="10"/>
      <c r="AI30" s="10"/>
    </row>
    <row r="31" spans="2:37">
      <c r="B31" s="22"/>
      <c r="V31" s="54"/>
      <c r="X31" s="54"/>
      <c r="Z31" s="54"/>
      <c r="AB31" s="55"/>
      <c r="AG31" s="53"/>
      <c r="AH31" s="10"/>
      <c r="AI31" s="10"/>
    </row>
    <row r="32" spans="2:37">
      <c r="B32" s="56">
        <f>MAX(B$13:B31)+1</f>
        <v>10</v>
      </c>
      <c r="D32" s="36" t="s">
        <v>61</v>
      </c>
      <c r="H32" s="57">
        <f>SUM(H22:H29)</f>
        <v>23780.5</v>
      </c>
      <c r="I32" s="57">
        <f>SUM(I22:I29)</f>
        <v>25182.428024905177</v>
      </c>
      <c r="K32" s="57">
        <f>SUM(K22:K29)</f>
        <v>3297111.0499705928</v>
      </c>
      <c r="L32" s="57">
        <f>SUM(L22:L29)</f>
        <v>2424681.1953612347</v>
      </c>
      <c r="M32" s="57"/>
      <c r="N32" s="39">
        <f>SUM(N22:N29)</f>
        <v>170969.95465759834</v>
      </c>
      <c r="O32" s="39">
        <f>SUM(O22:O29)</f>
        <v>179243.75420998497</v>
      </c>
      <c r="P32" s="40"/>
      <c r="Q32" s="39">
        <f>SUM(Q22:Q29)</f>
        <v>184101.15920998494</v>
      </c>
      <c r="R32" s="58"/>
      <c r="S32" s="41">
        <f>SUM(S22:S29)</f>
        <v>187252.6598820778</v>
      </c>
      <c r="T32" s="58"/>
      <c r="U32" s="39">
        <f>SUM(U22:U29)</f>
        <v>4857.4050000000034</v>
      </c>
      <c r="V32" s="42">
        <f>U32/O32</f>
        <v>2.7099437977122085E-2</v>
      </c>
      <c r="W32" s="39">
        <f>SUM(W22:W29)</f>
        <v>3151.5006720928573</v>
      </c>
      <c r="X32" s="42">
        <f>W32/O32</f>
        <v>1.7582206342324533E-2</v>
      </c>
      <c r="Y32" s="39">
        <f>U32+W32</f>
        <v>8008.9056720928602</v>
      </c>
      <c r="Z32" s="42"/>
      <c r="AA32" s="40"/>
      <c r="AB32" s="43"/>
      <c r="AC32" s="40"/>
      <c r="AD32" s="44">
        <f>Q32/L32*100</f>
        <v>7.5927985733628427</v>
      </c>
      <c r="AE32" s="40"/>
      <c r="AF32" s="40"/>
      <c r="AG32" s="60"/>
      <c r="AH32" s="46"/>
      <c r="AI32" s="10"/>
    </row>
    <row r="33" spans="2:36">
      <c r="B33" s="22"/>
      <c r="V33" s="54"/>
      <c r="X33" s="54"/>
      <c r="Z33" s="54"/>
      <c r="AB33" s="55"/>
      <c r="AG33" s="53"/>
      <c r="AH33" s="10"/>
      <c r="AI33" s="10"/>
    </row>
    <row r="34" spans="2:36">
      <c r="B34" s="22"/>
      <c r="D34" s="36" t="s">
        <v>62</v>
      </c>
      <c r="V34" s="54"/>
      <c r="X34" s="54"/>
      <c r="Z34" s="54"/>
      <c r="AB34" s="55"/>
      <c r="AG34" s="53"/>
      <c r="AH34" s="10"/>
      <c r="AI34" s="10"/>
    </row>
    <row r="35" spans="2:36">
      <c r="B35" s="56">
        <f>MAX(B$13:B34)+1</f>
        <v>11</v>
      </c>
      <c r="D35" s="4" t="s">
        <v>63</v>
      </c>
      <c r="F35" s="19" t="s">
        <v>64</v>
      </c>
      <c r="G35" s="19"/>
      <c r="H35" s="38">
        <v>2828</v>
      </c>
      <c r="I35" s="38">
        <f>'Billing Determinants'!C24/12</f>
        <v>2531.9166666666665</v>
      </c>
      <c r="K35" s="38">
        <v>3735.0893644456642</v>
      </c>
      <c r="L35" s="38">
        <f>'Billing Determinants'!C27/1000</f>
        <v>3355.2350684260427</v>
      </c>
      <c r="N35" s="58">
        <v>473.92026673033644</v>
      </c>
      <c r="O35" s="39">
        <f>'Billing Determinants'!I27/1000</f>
        <v>468.63441510785196</v>
      </c>
      <c r="P35" s="40"/>
      <c r="Q35" s="39">
        <f>'Billing Determinants'!L27/1000</f>
        <v>475.65941433249048</v>
      </c>
      <c r="R35" s="39"/>
      <c r="S35" s="41">
        <f>Q35+W35</f>
        <v>483.77908319808148</v>
      </c>
      <c r="T35" s="39"/>
      <c r="U35" s="39">
        <v>7.024999224638508</v>
      </c>
      <c r="V35" s="42">
        <f>U35/O35</f>
        <v>1.499036135240253E-2</v>
      </c>
      <c r="W35" s="39">
        <f>(AB35/100)*L35</f>
        <v>8.1196688655910236</v>
      </c>
      <c r="X35" s="42">
        <f>W35/O35</f>
        <v>1.7326232568135987E-2</v>
      </c>
      <c r="Y35" s="39">
        <f>U35+W35</f>
        <v>15.144668090229532</v>
      </c>
      <c r="Z35" s="42">
        <f>Y35/O35</f>
        <v>3.2316593920538518E-2</v>
      </c>
      <c r="AA35" s="40"/>
      <c r="AB35" s="43">
        <f t="shared" ref="AB35:AB39" si="6">ROUND((((Q35/$Q$44)*$W$51)/L35)*100,3)</f>
        <v>0.24199999999999999</v>
      </c>
      <c r="AC35" s="40"/>
      <c r="AD35" s="44">
        <f>Q35/L35*100</f>
        <v>14.176634561572602</v>
      </c>
      <c r="AE35" s="40"/>
      <c r="AF35" s="40"/>
      <c r="AG35" s="60"/>
      <c r="AH35" s="46"/>
      <c r="AI35" s="10"/>
    </row>
    <row r="36" spans="2:36">
      <c r="B36" s="56">
        <f>MAX(B$13:B35)+1</f>
        <v>12</v>
      </c>
      <c r="D36" s="4" t="s">
        <v>65</v>
      </c>
      <c r="F36" s="19" t="s">
        <v>66</v>
      </c>
      <c r="G36" s="19"/>
      <c r="H36" s="38">
        <v>178</v>
      </c>
      <c r="I36" s="38">
        <f>'Billing Determinants'!C1137/12</f>
        <v>163</v>
      </c>
      <c r="K36" s="38">
        <v>2902.2385934150548</v>
      </c>
      <c r="L36" s="38">
        <f>'Billing Determinants'!C1141/1000</f>
        <v>3186.5956037362384</v>
      </c>
      <c r="N36" s="58">
        <v>522.31224201957195</v>
      </c>
      <c r="O36" s="39">
        <f>'Billing Determinants'!I1141/1000</f>
        <v>620.98089382532601</v>
      </c>
      <c r="P36" s="40"/>
      <c r="Q36" s="39">
        <f>'Billing Determinants'!L1141/1000</f>
        <v>630.25889382532603</v>
      </c>
      <c r="R36" s="39"/>
      <c r="S36" s="41">
        <f>Q36+W36</f>
        <v>641.02958696595454</v>
      </c>
      <c r="T36" s="39"/>
      <c r="U36" s="39">
        <v>9.2780000000000005</v>
      </c>
      <c r="V36" s="42">
        <f>U36/O36</f>
        <v>1.4940878362370008E-2</v>
      </c>
      <c r="W36" s="39">
        <f>(AB36/100)*L36</f>
        <v>10.770693140628486</v>
      </c>
      <c r="X36" s="42">
        <f>W36/O36</f>
        <v>1.7344644976562105E-2</v>
      </c>
      <c r="Y36" s="39">
        <f>U36+W36</f>
        <v>20.048693140628487</v>
      </c>
      <c r="Z36" s="42">
        <f>Y36/O36</f>
        <v>3.2285523338932115E-2</v>
      </c>
      <c r="AA36" s="40"/>
      <c r="AB36" s="43">
        <f t="shared" si="6"/>
        <v>0.33800000000000002</v>
      </c>
      <c r="AC36" s="40"/>
      <c r="AD36" s="44">
        <f>Q36/L36*100</f>
        <v>19.778439821054054</v>
      </c>
      <c r="AE36" s="40"/>
      <c r="AF36" s="40"/>
      <c r="AG36" s="60"/>
      <c r="AH36" s="46"/>
      <c r="AI36" s="45" t="s">
        <v>0</v>
      </c>
    </row>
    <row r="37" spans="2:36">
      <c r="B37" s="56">
        <f>MAX(B$13:B36)+1</f>
        <v>13</v>
      </c>
      <c r="D37" s="4" t="s">
        <v>65</v>
      </c>
      <c r="F37" s="19">
        <v>52</v>
      </c>
      <c r="G37" s="19"/>
      <c r="H37" s="38">
        <v>30</v>
      </c>
      <c r="I37" s="38">
        <f>'Billing Determinants'!C1153/12</f>
        <v>15</v>
      </c>
      <c r="K37" s="38">
        <v>466.2387672357238</v>
      </c>
      <c r="L37" s="38">
        <f>'Billing Determinants'!C1158/1000</f>
        <v>198.34085987577339</v>
      </c>
      <c r="N37" s="58">
        <v>60.670270195709442</v>
      </c>
      <c r="O37" s="39">
        <f>'Billing Determinants'!I1158/1000</f>
        <v>33.511850718803466</v>
      </c>
      <c r="P37" s="40"/>
      <c r="Q37" s="39">
        <f>'Billing Determinants'!L1158/1000</f>
        <v>34.010850718803461</v>
      </c>
      <c r="R37" s="39"/>
      <c r="S37" s="41">
        <f>Q37+W37</f>
        <v>34.59198943823948</v>
      </c>
      <c r="T37" s="39"/>
      <c r="U37" s="39">
        <v>0.499</v>
      </c>
      <c r="V37" s="42">
        <f>U37/O37</f>
        <v>1.4890254918687961E-2</v>
      </c>
      <c r="W37" s="39">
        <f>(AB37/100)*L37</f>
        <v>0.58113871943601603</v>
      </c>
      <c r="X37" s="42">
        <f>W37/O37</f>
        <v>1.7341289930906133E-2</v>
      </c>
      <c r="Y37" s="39">
        <f>U37+W37</f>
        <v>1.0801387194360159</v>
      </c>
      <c r="Z37" s="42">
        <f>Y37/O37</f>
        <v>3.223154484959409E-2</v>
      </c>
      <c r="AA37" s="40"/>
      <c r="AB37" s="43">
        <f t="shared" si="6"/>
        <v>0.29299999999999998</v>
      </c>
      <c r="AC37" s="40"/>
      <c r="AD37" s="44">
        <f>Q37/L37*100</f>
        <v>17.147677357104048</v>
      </c>
      <c r="AE37" s="40"/>
      <c r="AF37" s="40"/>
      <c r="AG37" s="60"/>
      <c r="AH37" s="46"/>
      <c r="AI37" s="10"/>
    </row>
    <row r="38" spans="2:36">
      <c r="B38" s="56">
        <f>MAX(B$13:B37)+1</f>
        <v>14</v>
      </c>
      <c r="D38" s="4" t="s">
        <v>65</v>
      </c>
      <c r="F38" s="19">
        <v>53</v>
      </c>
      <c r="G38" s="19"/>
      <c r="H38" s="38">
        <v>272.33333333333337</v>
      </c>
      <c r="I38" s="38">
        <f>'Billing Determinants'!C1168/12</f>
        <v>217.08333333333334</v>
      </c>
      <c r="K38" s="38">
        <v>4499.9316487570059</v>
      </c>
      <c r="L38" s="38">
        <f>'Billing Determinants'!C1172/1000</f>
        <v>4161.9537848388163</v>
      </c>
      <c r="N38" s="38">
        <v>278.83306975907675</v>
      </c>
      <c r="O38" s="39">
        <f>'Billing Determinants'!I1172/1000</f>
        <v>286.22928702344217</v>
      </c>
      <c r="P38" s="40"/>
      <c r="Q38" s="39">
        <f>'Billing Determinants'!L1172/1000</f>
        <v>290.49259358894909</v>
      </c>
      <c r="R38" s="39"/>
      <c r="S38" s="41">
        <f>Q38+W38</f>
        <v>295.44531859290726</v>
      </c>
      <c r="T38" s="39"/>
      <c r="U38" s="39">
        <v>4.2636456391777608</v>
      </c>
      <c r="V38" s="42">
        <f>U38/O38</f>
        <v>1.4895909791469273E-2</v>
      </c>
      <c r="W38" s="39">
        <f>(AB38/100)*L38</f>
        <v>4.9527250039581912</v>
      </c>
      <c r="X38" s="42">
        <f>W38/O38</f>
        <v>1.7303348149529378E-2</v>
      </c>
      <c r="Y38" s="39">
        <f>U38+W38</f>
        <v>9.2163706431359529</v>
      </c>
      <c r="Z38" s="42">
        <f>Y38/O38</f>
        <v>3.2199257940998656E-2</v>
      </c>
      <c r="AA38" s="40"/>
      <c r="AB38" s="43">
        <f t="shared" si="6"/>
        <v>0.11899999999999999</v>
      </c>
      <c r="AC38" s="40"/>
      <c r="AD38" s="44">
        <f>Q38/L38*100</f>
        <v>6.979716945612342</v>
      </c>
      <c r="AE38" s="40"/>
      <c r="AF38" s="40"/>
      <c r="AG38" s="60"/>
      <c r="AH38" s="46"/>
      <c r="AI38" s="10"/>
      <c r="AJ38" s="5" t="s">
        <v>0</v>
      </c>
    </row>
    <row r="39" spans="2:36">
      <c r="B39" s="56">
        <f>MAX(B$13:B38)+1</f>
        <v>15</v>
      </c>
      <c r="D39" s="4" t="s">
        <v>65</v>
      </c>
      <c r="F39" s="19">
        <v>57</v>
      </c>
      <c r="G39" s="19"/>
      <c r="H39" s="38">
        <v>50.666666666666664</v>
      </c>
      <c r="I39" s="38">
        <f>'Billing Determinants'!C1268/12</f>
        <v>33.916666666666664</v>
      </c>
      <c r="K39" s="38">
        <v>2174.0459905922153</v>
      </c>
      <c r="L39" s="38">
        <f>'Billing Determinants'!C1272/1000</f>
        <v>1743.2558167712143</v>
      </c>
      <c r="N39" s="38">
        <v>235.8029580256418</v>
      </c>
      <c r="O39" s="39">
        <f>'Billing Determinants'!I1272/1000</f>
        <v>212.91005677457667</v>
      </c>
      <c r="P39" s="40"/>
      <c r="Q39" s="39">
        <f>'Billing Determinants'!L1272/1000</f>
        <v>216.05905677457665</v>
      </c>
      <c r="R39" s="39"/>
      <c r="S39" s="41">
        <f>Q39+W39</f>
        <v>219.75475910613162</v>
      </c>
      <c r="T39" s="39"/>
      <c r="U39" s="39">
        <v>3.149</v>
      </c>
      <c r="V39" s="42">
        <f>U39/O39</f>
        <v>1.4790283031740839E-2</v>
      </c>
      <c r="W39" s="39">
        <f>(AB39/100)*L39</f>
        <v>3.6957023315549744</v>
      </c>
      <c r="X39" s="42">
        <f>W39/O39</f>
        <v>1.735804493006116E-2</v>
      </c>
      <c r="Y39" s="39">
        <f>U39+W39</f>
        <v>6.8447023315549744</v>
      </c>
      <c r="Z39" s="42">
        <f>Y39/O39</f>
        <v>3.2148327961801997E-2</v>
      </c>
      <c r="AA39" s="40"/>
      <c r="AB39" s="43">
        <f t="shared" si="6"/>
        <v>0.21199999999999999</v>
      </c>
      <c r="AC39" s="40"/>
      <c r="AD39" s="44">
        <f>Q39/L39*100</f>
        <v>12.393996032937507</v>
      </c>
      <c r="AE39" s="40"/>
      <c r="AF39" s="40"/>
      <c r="AG39" s="60"/>
      <c r="AH39" s="46"/>
      <c r="AI39" s="10"/>
    </row>
    <row r="40" spans="2:36">
      <c r="B40" s="22"/>
      <c r="H40" s="48"/>
      <c r="I40" s="48"/>
      <c r="K40" s="48"/>
      <c r="L40" s="48"/>
      <c r="N40" s="48"/>
      <c r="O40" s="48"/>
      <c r="P40" s="10"/>
      <c r="Q40" s="49"/>
      <c r="R40" s="10"/>
      <c r="S40" s="49"/>
      <c r="T40" s="10"/>
      <c r="U40" s="48"/>
      <c r="V40" s="51"/>
      <c r="W40" s="48"/>
      <c r="X40" s="51"/>
      <c r="Y40" s="48"/>
      <c r="Z40" s="51"/>
      <c r="AA40" s="10"/>
      <c r="AB40" s="52"/>
      <c r="AC40" s="10"/>
      <c r="AD40" s="49"/>
      <c r="AE40" s="10"/>
      <c r="AF40" s="10"/>
      <c r="AG40" s="53"/>
      <c r="AH40" s="10"/>
      <c r="AI40" s="10"/>
    </row>
    <row r="41" spans="2:36">
      <c r="B41" s="22"/>
      <c r="V41" s="54"/>
      <c r="X41" s="54"/>
      <c r="Z41" s="54"/>
      <c r="AB41" s="55"/>
      <c r="AG41" s="53"/>
      <c r="AH41" s="10"/>
      <c r="AI41" s="10"/>
    </row>
    <row r="42" spans="2:36">
      <c r="B42" s="56">
        <f>MAX(B$13:B41)+1</f>
        <v>16</v>
      </c>
      <c r="D42" s="36" t="s">
        <v>67</v>
      </c>
      <c r="H42" s="65">
        <f>SUM(H35:H39)</f>
        <v>3359</v>
      </c>
      <c r="I42" s="65">
        <f>SUM(I35:I39)</f>
        <v>2960.9166666666665</v>
      </c>
      <c r="K42" s="65">
        <f>SUM(K35:K39)</f>
        <v>13777.544364445665</v>
      </c>
      <c r="L42" s="65">
        <f>SUM(L35:L39)</f>
        <v>12645.381133648085</v>
      </c>
      <c r="M42" s="57"/>
      <c r="N42" s="66">
        <f>SUM(N35:N39)</f>
        <v>1571.5388067303365</v>
      </c>
      <c r="O42" s="66">
        <f>SUM(O35:O39)</f>
        <v>1622.2665034500001</v>
      </c>
      <c r="P42" s="46"/>
      <c r="Q42" s="66">
        <f>SUM(Q35:Q39)</f>
        <v>1646.4808092401458</v>
      </c>
      <c r="R42" s="67"/>
      <c r="S42" s="66">
        <f>SUM(S35:S39)</f>
        <v>1674.6007373013144</v>
      </c>
      <c r="T42" s="67"/>
      <c r="U42" s="66">
        <f>SUM(U35:U39)</f>
        <v>24.214644863816268</v>
      </c>
      <c r="V42" s="68">
        <f>U42/O42</f>
        <v>1.4926428433503428E-2</v>
      </c>
      <c r="W42" s="66">
        <f>SUM(W35:W39)</f>
        <v>28.119928061168693</v>
      </c>
      <c r="X42" s="68">
        <f>W42/O42</f>
        <v>1.7333729076799236E-2</v>
      </c>
      <c r="Y42" s="66">
        <f>U42+W42</f>
        <v>52.334572924984961</v>
      </c>
      <c r="Z42" s="68">
        <f>Y42/O42</f>
        <v>3.2260157510302666E-2</v>
      </c>
      <c r="AA42" s="46"/>
      <c r="AB42" s="43"/>
      <c r="AC42" s="46"/>
      <c r="AD42" s="69">
        <f>Q42/L42*100</f>
        <v>13.020412685379853</v>
      </c>
      <c r="AE42" s="46"/>
      <c r="AF42" s="46"/>
      <c r="AG42" s="70"/>
      <c r="AH42" s="46"/>
      <c r="AI42" s="10"/>
    </row>
    <row r="43" spans="2:36">
      <c r="B43" s="22"/>
      <c r="D43" s="36"/>
      <c r="H43" s="71"/>
      <c r="I43" s="71"/>
      <c r="K43" s="71"/>
      <c r="L43" s="71"/>
      <c r="M43" s="57"/>
      <c r="N43" s="67"/>
      <c r="O43" s="67"/>
      <c r="P43" s="67"/>
      <c r="Q43" s="67"/>
      <c r="R43" s="67"/>
      <c r="S43" s="67"/>
      <c r="T43" s="67"/>
      <c r="U43" s="67"/>
      <c r="V43" s="72"/>
      <c r="W43" s="67"/>
      <c r="X43" s="72"/>
      <c r="Y43" s="67"/>
      <c r="Z43" s="73"/>
      <c r="AA43" s="67"/>
      <c r="AB43" s="74"/>
      <c r="AC43" s="67"/>
      <c r="AD43" s="67"/>
      <c r="AE43" s="67"/>
      <c r="AF43" s="67"/>
      <c r="AG43" s="53"/>
      <c r="AH43" s="67"/>
      <c r="AI43" s="10"/>
    </row>
    <row r="44" spans="2:36" ht="16.5" thickBot="1">
      <c r="B44" s="56">
        <f>MAX(B$13:B43)+1</f>
        <v>17</v>
      </c>
      <c r="D44" s="75" t="s">
        <v>68</v>
      </c>
      <c r="H44" s="76">
        <f>H42+H32+H19</f>
        <v>128476.41666666667</v>
      </c>
      <c r="I44" s="76">
        <f>I42+I32+I19</f>
        <v>132778.43714676326</v>
      </c>
      <c r="K44" s="76">
        <f>K42+K32+K19</f>
        <v>4880827.1987742558</v>
      </c>
      <c r="L44" s="76">
        <f>L42+L32+L19</f>
        <v>4010161.4332736093</v>
      </c>
      <c r="N44" s="77">
        <f>N42+N32+N19</f>
        <v>275214.43788963149</v>
      </c>
      <c r="O44" s="77">
        <f>O42+O32+O19</f>
        <v>320954.13952952309</v>
      </c>
      <c r="P44" s="46"/>
      <c r="Q44" s="77">
        <f>Q42+Q32+Q19</f>
        <v>330517.76783531322</v>
      </c>
      <c r="R44" s="78"/>
      <c r="S44" s="77">
        <f>S42+S32+S19</f>
        <v>336166.7391606099</v>
      </c>
      <c r="T44" s="78"/>
      <c r="U44" s="77">
        <f>U42+U32+U19</f>
        <v>9563.6286448638202</v>
      </c>
      <c r="V44" s="79">
        <f>U44/O44</f>
        <v>2.9797492747352793E-2</v>
      </c>
      <c r="W44" s="77">
        <f>W42+W32+W19</f>
        <v>5648.9713252966267</v>
      </c>
      <c r="X44" s="79">
        <f>W44/O44</f>
        <v>1.7600556059433545E-2</v>
      </c>
      <c r="Y44" s="77">
        <f>U44+W44</f>
        <v>15212.599970160447</v>
      </c>
      <c r="Z44" s="79">
        <f>Y44/O44</f>
        <v>4.7398048806786337E-2</v>
      </c>
      <c r="AA44" s="46"/>
      <c r="AB44" s="43">
        <f>ROUND((((Q44/$Q$44)*$W$51)/L44)*100,4)</f>
        <v>0.1409</v>
      </c>
      <c r="AC44" s="46"/>
      <c r="AD44" s="80">
        <f>Q44/L44*100</f>
        <v>8.2420065459933891</v>
      </c>
      <c r="AE44" s="46"/>
      <c r="AF44" s="46"/>
      <c r="AG44" s="45" t="s">
        <v>0</v>
      </c>
      <c r="AH44" s="46"/>
      <c r="AI44" s="47" t="s">
        <v>0</v>
      </c>
    </row>
    <row r="45" spans="2:36" ht="16.5" thickTop="1">
      <c r="B45" s="81" t="s">
        <v>0</v>
      </c>
      <c r="C45" s="82"/>
      <c r="D45" s="82"/>
      <c r="H45" s="83"/>
      <c r="I45" s="83"/>
      <c r="K45" s="83"/>
      <c r="L45" s="83"/>
      <c r="N45" s="78"/>
      <c r="O45" s="78"/>
      <c r="P45" s="46"/>
      <c r="Q45" s="78"/>
      <c r="R45" s="78"/>
      <c r="S45" s="78"/>
      <c r="T45" s="78"/>
      <c r="U45" s="78"/>
      <c r="V45" s="54"/>
      <c r="W45" s="78"/>
      <c r="X45" s="54"/>
      <c r="Y45" s="46"/>
      <c r="AA45" s="46"/>
      <c r="AB45" s="46"/>
      <c r="AC45" s="46"/>
      <c r="AD45" s="46"/>
      <c r="AE45" s="46"/>
      <c r="AF45" s="46"/>
      <c r="AG45" s="60"/>
      <c r="AH45" s="46"/>
      <c r="AI45" s="10"/>
    </row>
    <row r="46" spans="2:36">
      <c r="B46" s="56">
        <v>18</v>
      </c>
      <c r="D46" s="4" t="s">
        <v>69</v>
      </c>
      <c r="H46" s="83"/>
      <c r="I46" s="83"/>
      <c r="K46" s="83"/>
      <c r="L46" s="83"/>
      <c r="N46" s="78">
        <v>311.00673999999998</v>
      </c>
      <c r="O46" s="41">
        <f>'Billing Determinants'!I1279/1000</f>
        <v>651.51829000000009</v>
      </c>
      <c r="P46" s="84"/>
      <c r="Q46" s="41">
        <f>O46</f>
        <v>651.51829000000009</v>
      </c>
      <c r="R46" s="78"/>
      <c r="S46" s="41">
        <f>Q46</f>
        <v>651.51829000000009</v>
      </c>
      <c r="T46" s="78"/>
      <c r="U46" s="62"/>
      <c r="V46" s="42"/>
      <c r="W46" s="62"/>
      <c r="X46" s="42"/>
      <c r="Y46" s="46"/>
      <c r="AA46" s="46"/>
      <c r="AB46" s="46"/>
      <c r="AC46" s="46"/>
      <c r="AD46" s="44"/>
      <c r="AE46" s="40"/>
      <c r="AF46" s="46"/>
      <c r="AG46" s="60"/>
      <c r="AH46" s="46"/>
      <c r="AI46" s="10"/>
    </row>
    <row r="47" spans="2:36">
      <c r="B47" s="56"/>
      <c r="H47" s="83"/>
      <c r="I47" s="83"/>
      <c r="K47" s="83"/>
      <c r="L47" s="83"/>
      <c r="N47" s="78"/>
      <c r="O47" s="78"/>
      <c r="P47" s="84"/>
      <c r="Q47" s="41"/>
      <c r="R47" s="78"/>
      <c r="S47" s="41"/>
      <c r="T47" s="78"/>
      <c r="U47" s="62"/>
      <c r="V47" s="42"/>
      <c r="W47" s="62"/>
      <c r="X47" s="42"/>
      <c r="Y47" s="46"/>
      <c r="AA47" s="46"/>
      <c r="AB47" s="46"/>
      <c r="AC47" s="46"/>
      <c r="AD47" s="44"/>
      <c r="AE47" s="40"/>
      <c r="AF47" s="46"/>
      <c r="AG47" s="60"/>
      <c r="AH47" s="46"/>
      <c r="AI47" s="10"/>
    </row>
    <row r="48" spans="2:36" ht="16.5" thickBot="1">
      <c r="B48" s="56">
        <v>19</v>
      </c>
      <c r="D48" s="85" t="s">
        <v>70</v>
      </c>
      <c r="H48" s="86">
        <f>SUM(H44:H46)</f>
        <v>128476.41666666667</v>
      </c>
      <c r="I48" s="86">
        <f>SUM(I44:I46)</f>
        <v>132778.43714676326</v>
      </c>
      <c r="K48" s="86">
        <f>SUM(K44:K46)</f>
        <v>4880827.1987742558</v>
      </c>
      <c r="L48" s="86">
        <f>SUM(L44:L46)</f>
        <v>4010161.4332736093</v>
      </c>
      <c r="N48" s="77">
        <f>SUM(N44:N46)</f>
        <v>275525.44462963147</v>
      </c>
      <c r="O48" s="77">
        <f>SUM(O44:O46)</f>
        <v>321605.65781952307</v>
      </c>
      <c r="Q48" s="87">
        <f>SUM(Q44:Q46)</f>
        <v>331169.2861253132</v>
      </c>
      <c r="R48" s="78"/>
      <c r="S48" s="87">
        <f>SUM(S44:S46)</f>
        <v>336818.25745060988</v>
      </c>
      <c r="T48" s="78"/>
      <c r="U48" s="77">
        <f>SUM(U44:U46)</f>
        <v>9563.6286448638202</v>
      </c>
      <c r="V48" s="79">
        <f>U48/O48</f>
        <v>2.9737128101865316E-2</v>
      </c>
      <c r="W48" s="77">
        <f>SUM(W44:W46)</f>
        <v>5648.9713252966267</v>
      </c>
      <c r="X48" s="79">
        <f>W48/O48</f>
        <v>1.7564900330412365E-2</v>
      </c>
      <c r="AD48" s="80">
        <f>Q48/L48*100</f>
        <v>8.2582532308423868</v>
      </c>
      <c r="AE48" s="40"/>
      <c r="AG48" s="10"/>
      <c r="AH48" s="10"/>
      <c r="AI48" s="10"/>
    </row>
    <row r="49" spans="10:34" ht="18.75" customHeight="1" thickTop="1">
      <c r="J49" s="5"/>
      <c r="U49" s="39" t="s">
        <v>0</v>
      </c>
      <c r="V49" s="88" t="s">
        <v>0</v>
      </c>
      <c r="X49" s="88" t="s">
        <v>0</v>
      </c>
    </row>
    <row r="50" spans="10:34" ht="18.75" customHeight="1">
      <c r="U50" s="89" t="s">
        <v>0</v>
      </c>
      <c r="V50" s="90" t="s">
        <v>0</v>
      </c>
      <c r="X50" s="88"/>
    </row>
    <row r="51" spans="10:34">
      <c r="N51" s="91"/>
      <c r="O51" s="91"/>
      <c r="P51" s="10"/>
      <c r="S51" s="62"/>
      <c r="U51" s="62"/>
      <c r="V51" s="92"/>
      <c r="W51" s="62">
        <v>5649.1189999999997</v>
      </c>
      <c r="X51" s="92"/>
      <c r="Y51" s="10"/>
      <c r="AA51" s="10"/>
      <c r="AB51" s="10"/>
      <c r="AC51" s="10"/>
      <c r="AD51" s="10"/>
      <c r="AE51" s="10"/>
      <c r="AF51" s="10"/>
      <c r="AG51" s="10"/>
      <c r="AH51" s="10"/>
    </row>
    <row r="52" spans="10:34">
      <c r="P52" s="10"/>
      <c r="U52" s="93"/>
      <c r="Y52" s="10"/>
      <c r="Z52" s="10"/>
      <c r="AA52" s="10"/>
      <c r="AB52" s="10"/>
      <c r="AC52" s="10"/>
      <c r="AD52" s="78"/>
      <c r="AE52" s="10"/>
      <c r="AF52" s="10"/>
      <c r="AG52" s="10"/>
      <c r="AH52" s="10"/>
    </row>
    <row r="53" spans="10:34">
      <c r="Q53" s="45"/>
      <c r="U53" s="94"/>
      <c r="V53" s="95"/>
      <c r="W53" s="94"/>
    </row>
    <row r="54" spans="10:34">
      <c r="Q54" s="10"/>
      <c r="U54" s="96"/>
      <c r="V54" s="97"/>
      <c r="W54" s="96"/>
    </row>
    <row r="55" spans="10:34">
      <c r="Q55" s="35"/>
      <c r="U55" s="98"/>
      <c r="V55" s="99"/>
      <c r="W55" s="98"/>
    </row>
    <row r="56" spans="10:34">
      <c r="Q56" s="100"/>
      <c r="V56" s="54"/>
    </row>
    <row r="57" spans="10:34">
      <c r="Q57" s="5"/>
      <c r="V57" s="101"/>
    </row>
    <row r="59" spans="10:34">
      <c r="Q59" s="35"/>
      <c r="X59" s="63"/>
    </row>
  </sheetData>
  <mergeCells count="8">
    <mergeCell ref="W10:Z10"/>
    <mergeCell ref="B45:D45"/>
    <mergeCell ref="B2:V2"/>
    <mergeCell ref="B3:V3"/>
    <mergeCell ref="B4:V4"/>
    <mergeCell ref="B5:V5"/>
    <mergeCell ref="B6:V6"/>
    <mergeCell ref="B7:V7"/>
  </mergeCells>
  <printOptions horizontalCentered="1"/>
  <pageMargins left="0.25" right="0.25" top="0.5" bottom="0.5" header="0.5" footer="0.25"/>
  <pageSetup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8"/>
  <sheetViews>
    <sheetView view="pageBreakPreview" zoomScale="60" zoomScaleNormal="100" workbookViewId="0">
      <selection activeCell="AJ42" sqref="AJ42"/>
    </sheetView>
  </sheetViews>
  <sheetFormatPr defaultColWidth="8.5" defaultRowHeight="15"/>
  <cols>
    <col min="1" max="1" width="2" style="438" customWidth="1"/>
    <col min="2" max="2" width="8.5" style="438"/>
    <col min="3" max="3" width="8.5" style="438" hidden="1" customWidth="1"/>
    <col min="4" max="4" width="3.25" style="438" customWidth="1"/>
    <col min="5" max="5" width="9.75" style="438" customWidth="1"/>
    <col min="6" max="6" width="3.75" style="438" customWidth="1"/>
    <col min="7" max="7" width="19.875" style="438" customWidth="1"/>
    <col min="8" max="8" width="3.5" style="438" customWidth="1"/>
    <col min="9" max="9" width="19.5" style="438" customWidth="1"/>
    <col min="10" max="10" width="2.875" style="438" customWidth="1"/>
    <col min="11" max="11" width="12.125" style="438" customWidth="1"/>
    <col min="12" max="12" width="3.5" style="550" customWidth="1"/>
    <col min="13" max="13" width="16" style="438" customWidth="1"/>
    <col min="14" max="14" width="11" style="438" bestFit="1" customWidth="1"/>
    <col min="15" max="15" width="17.25" style="438" customWidth="1"/>
    <col min="16" max="16" width="5.25" style="438" customWidth="1"/>
    <col min="17" max="17" width="10.25" style="438" customWidth="1"/>
    <col min="18" max="18" width="7.375" style="438" customWidth="1"/>
    <col min="19" max="19" width="3.125" style="438" customWidth="1"/>
    <col min="20" max="16384" width="8.5" style="438"/>
  </cols>
  <sheetData>
    <row r="2" spans="1:18" ht="18.75">
      <c r="B2" s="444"/>
      <c r="C2" s="440"/>
      <c r="D2" s="440"/>
      <c r="E2" s="440"/>
      <c r="F2" s="440"/>
      <c r="G2" s="440"/>
      <c r="H2" s="440"/>
      <c r="I2" s="440"/>
      <c r="J2" s="490" t="s">
        <v>0</v>
      </c>
      <c r="K2" s="554"/>
    </row>
    <row r="3" spans="1:18" ht="18.75">
      <c r="B3" s="441" t="s">
        <v>333</v>
      </c>
      <c r="C3" s="441"/>
      <c r="D3" s="441"/>
      <c r="E3" s="441"/>
      <c r="F3" s="441"/>
      <c r="G3" s="441"/>
      <c r="H3" s="441"/>
      <c r="I3" s="441"/>
      <c r="J3" s="441"/>
      <c r="K3" s="441"/>
    </row>
    <row r="4" spans="1:18" ht="18.75">
      <c r="B4" s="441" t="s">
        <v>334</v>
      </c>
      <c r="C4" s="441"/>
      <c r="D4" s="441"/>
      <c r="E4" s="441"/>
      <c r="F4" s="441"/>
      <c r="G4" s="441"/>
      <c r="H4" s="441"/>
      <c r="I4" s="441"/>
      <c r="J4" s="441"/>
      <c r="K4" s="441"/>
    </row>
    <row r="5" spans="1:18" ht="18.75">
      <c r="B5" s="441" t="s">
        <v>415</v>
      </c>
      <c r="C5" s="441"/>
      <c r="D5" s="441"/>
      <c r="E5" s="441"/>
      <c r="F5" s="441"/>
      <c r="G5" s="441"/>
      <c r="H5" s="441"/>
      <c r="I5" s="441"/>
      <c r="J5" s="441"/>
      <c r="K5" s="441"/>
    </row>
    <row r="6" spans="1:18" ht="18.75">
      <c r="B6" s="441" t="s">
        <v>416</v>
      </c>
      <c r="C6" s="441"/>
      <c r="D6" s="441"/>
      <c r="E6" s="441"/>
      <c r="F6" s="441"/>
      <c r="G6" s="441"/>
      <c r="H6" s="441"/>
      <c r="I6" s="441"/>
      <c r="J6" s="441"/>
      <c r="K6" s="441"/>
    </row>
    <row r="7" spans="1:18" ht="18.75">
      <c r="B7" s="441" t="s">
        <v>0</v>
      </c>
      <c r="C7" s="441"/>
      <c r="D7" s="441"/>
      <c r="E7" s="441"/>
      <c r="F7" s="441"/>
      <c r="G7" s="441"/>
      <c r="H7" s="441"/>
      <c r="I7" s="441"/>
      <c r="J7" s="441"/>
      <c r="K7" s="441"/>
    </row>
    <row r="8" spans="1:18" ht="18.75">
      <c r="A8" s="576"/>
      <c r="B8" s="440"/>
      <c r="C8" s="440"/>
      <c r="D8" s="440"/>
      <c r="E8" s="440"/>
      <c r="F8" s="440"/>
      <c r="G8" s="440"/>
      <c r="H8" s="440"/>
      <c r="I8" s="440"/>
      <c r="J8" s="440"/>
    </row>
    <row r="9" spans="1:18" ht="18.75">
      <c r="A9" s="576"/>
      <c r="B9" s="440"/>
      <c r="C9" s="440"/>
      <c r="D9" s="440"/>
      <c r="E9" s="440"/>
      <c r="F9" s="440"/>
      <c r="G9" s="440"/>
      <c r="H9" s="440"/>
      <c r="I9" s="440"/>
      <c r="J9" s="440"/>
    </row>
    <row r="11" spans="1:18">
      <c r="B11" s="555" t="s">
        <v>364</v>
      </c>
      <c r="G11" s="449" t="s">
        <v>365</v>
      </c>
      <c r="H11" s="449"/>
      <c r="I11" s="449"/>
    </row>
    <row r="12" spans="1:18" ht="15.75" thickBot="1">
      <c r="B12" s="558" t="s">
        <v>368</v>
      </c>
      <c r="C12" s="556" t="s">
        <v>369</v>
      </c>
      <c r="G12" s="440" t="s">
        <v>9</v>
      </c>
      <c r="I12" s="440" t="s">
        <v>79</v>
      </c>
      <c r="K12" s="440" t="s">
        <v>367</v>
      </c>
    </row>
    <row r="13" spans="1:18">
      <c r="B13" s="559" t="s">
        <v>372</v>
      </c>
      <c r="C13" s="560" t="s">
        <v>373</v>
      </c>
      <c r="D13" s="455"/>
      <c r="E13" s="448" t="s">
        <v>81</v>
      </c>
      <c r="F13" s="455"/>
      <c r="G13" s="449" t="s">
        <v>417</v>
      </c>
      <c r="I13" s="449" t="s">
        <v>418</v>
      </c>
      <c r="K13" s="577" t="s">
        <v>115</v>
      </c>
      <c r="M13" s="578" t="s">
        <v>339</v>
      </c>
      <c r="N13" s="541"/>
      <c r="O13" s="542"/>
      <c r="P13" s="510"/>
      <c r="Q13" s="541" t="s">
        <v>340</v>
      </c>
      <c r="R13" s="542"/>
    </row>
    <row r="14" spans="1:18">
      <c r="G14" s="560"/>
      <c r="H14" s="455"/>
      <c r="I14" s="560"/>
      <c r="M14" s="512" t="s">
        <v>376</v>
      </c>
      <c r="N14" s="469"/>
      <c r="O14" s="513"/>
      <c r="P14" s="469"/>
      <c r="Q14" s="469"/>
      <c r="R14" s="513"/>
    </row>
    <row r="15" spans="1:18">
      <c r="B15" s="460">
        <v>1000</v>
      </c>
      <c r="C15" s="438">
        <v>300</v>
      </c>
      <c r="E15" s="460">
        <f>ROUND((B$15*C15),0)</f>
        <v>300000</v>
      </c>
      <c r="F15" s="460"/>
      <c r="G15" s="569">
        <f>ROUND($E15*N$18/100+$B$15*N$17+IF($B$15&lt;3001,$B$15*O$15+N$15,$B$15*O$16+N$16),2)+Q24</f>
        <v>24377.5</v>
      </c>
      <c r="H15" s="569"/>
      <c r="I15" s="569">
        <f>ROUND($E15*Q$18/100+$B$15*Q$17+IF($B$15&lt;3001,$B$15*R$15+Q$15,$B$15*R$16+Q$16),2)+Q25</f>
        <v>25126.5</v>
      </c>
      <c r="K15" s="463">
        <f>(I15-G15)/G15</f>
        <v>3.072505384063173E-2</v>
      </c>
      <c r="M15" s="512" t="s">
        <v>419</v>
      </c>
      <c r="N15" s="518">
        <f>'Billing Determinants'!G962</f>
        <v>1386</v>
      </c>
      <c r="O15" s="454">
        <f>'Billing Determinants'!G965</f>
        <v>1.06</v>
      </c>
      <c r="P15" s="519"/>
      <c r="Q15" s="518">
        <f>'Billing Determinants'!J962</f>
        <v>1386</v>
      </c>
      <c r="R15" s="454">
        <f>'Billing Determinants'!J965</f>
        <v>1.1000000000000001</v>
      </c>
    </row>
    <row r="16" spans="1:18">
      <c r="C16" s="438">
        <v>500</v>
      </c>
      <c r="E16" s="460">
        <f>ROUND((B$15*C16),0)</f>
        <v>500000</v>
      </c>
      <c r="F16" s="460"/>
      <c r="G16" s="569">
        <f>ROUND($E16*N$18/100+$B$15*N$17+IF($B$15&lt;3001,$B$15*O$15+N$15,$B$15*O$16+N$16),2)+Q24</f>
        <v>33793.5</v>
      </c>
      <c r="H16" s="569"/>
      <c r="I16" s="569">
        <f>ROUND($E16*Q$18/100+$B$15*Q$17+IF($B$15&lt;3001,$B$15*R$15+Q$15,$B$15*R$16+Q$16),2)+Q25</f>
        <v>34828.5</v>
      </c>
      <c r="K16" s="463">
        <f>(I16-G16)/G16</f>
        <v>3.0627191619690176E-2</v>
      </c>
      <c r="M16" s="512" t="s">
        <v>420</v>
      </c>
      <c r="N16" s="518">
        <f>'Billing Determinants'!G963</f>
        <v>1675</v>
      </c>
      <c r="O16" s="454">
        <f>'Billing Determinants'!G966</f>
        <v>0.96</v>
      </c>
      <c r="P16" s="519"/>
      <c r="Q16" s="518">
        <f>'Billing Determinants'!J963</f>
        <v>1675</v>
      </c>
      <c r="R16" s="454">
        <f>'Billing Determinants'!J966</f>
        <v>0.99</v>
      </c>
    </row>
    <row r="17" spans="2:20">
      <c r="C17" s="438">
        <v>700</v>
      </c>
      <c r="E17" s="460">
        <f>ROUND((B$15*C17),0)</f>
        <v>700000</v>
      </c>
      <c r="F17" s="460"/>
      <c r="G17" s="569">
        <f>ROUND($E17*N$18/100+$B$15*N$17+IF($B$15&lt;3001,$B$15*O$15+N$15,$B$15*O$16+N$16),2)+Q24</f>
        <v>43209.5</v>
      </c>
      <c r="H17" s="569"/>
      <c r="I17" s="569">
        <f>ROUND($E17*Q$18/100+$B$15*Q$17+IF($B$15&lt;3001,$B$15*R$15+Q$15,$B$15*R$16+Q$16),2)+Q25</f>
        <v>44530.5</v>
      </c>
      <c r="K17" s="463">
        <f>(I17-G17)/G17</f>
        <v>3.0571980698688946E-2</v>
      </c>
      <c r="M17" s="512" t="s">
        <v>372</v>
      </c>
      <c r="N17" s="518">
        <f>'Billing Determinants'!G967</f>
        <v>7.55</v>
      </c>
      <c r="O17" s="524"/>
      <c r="P17" s="519"/>
      <c r="Q17" s="518">
        <f>'Billing Determinants'!J967</f>
        <v>7.83</v>
      </c>
      <c r="R17" s="524"/>
      <c r="T17" s="459">
        <f>(Q17-N17)/N17</f>
        <v>3.7086092715231819E-2</v>
      </c>
    </row>
    <row r="18" spans="2:20">
      <c r="G18" s="569"/>
      <c r="H18" s="569"/>
      <c r="I18" s="569"/>
      <c r="K18" s="463"/>
      <c r="M18" s="512" t="s">
        <v>344</v>
      </c>
      <c r="N18" s="527">
        <f>'Billing Determinants'!G969+Q20</f>
        <v>4.7080000000000002</v>
      </c>
      <c r="O18" s="524"/>
      <c r="P18" s="519"/>
      <c r="Q18" s="527">
        <f>'Billing Determinants'!J969+'Billing Determinants'!J951+Q21+Q27</f>
        <v>4.851</v>
      </c>
      <c r="R18" s="524"/>
      <c r="T18" s="459">
        <f>(Q18-N18)/N18</f>
        <v>3.0373831775700889E-2</v>
      </c>
    </row>
    <row r="19" spans="2:20" ht="15.75" thickBot="1">
      <c r="B19" s="460">
        <v>2000</v>
      </c>
      <c r="C19" s="438">
        <v>300</v>
      </c>
      <c r="E19" s="460">
        <f>ROUND((B$19*C19),0)</f>
        <v>600000</v>
      </c>
      <c r="F19" s="460"/>
      <c r="G19" s="569">
        <f>ROUND($E19*N$18/100+$B$19*N$17+IF($B$19&lt;3001,$B$19*O$15+N$15,$B$19*O$16+N$16),2)+Q24</f>
        <v>47111.5</v>
      </c>
      <c r="H19" s="569"/>
      <c r="I19" s="569">
        <f>ROUND($E19*Q$18/100+$B$19*Q$17+IF($B$19&lt;3001,$B$19*R$15+Q$15,$B$19*R$16+Q$16),2)+Q25</f>
        <v>48609.5</v>
      </c>
      <c r="K19" s="463">
        <f>(I19-G19)/G19</f>
        <v>3.1796907336849811E-2</v>
      </c>
      <c r="M19" s="547" t="s">
        <v>0</v>
      </c>
      <c r="N19" s="548" t="s">
        <v>0</v>
      </c>
      <c r="O19" s="530"/>
      <c r="P19" s="529"/>
      <c r="Q19" s="548" t="s">
        <v>0</v>
      </c>
      <c r="R19" s="549"/>
    </row>
    <row r="20" spans="2:20">
      <c r="C20" s="438">
        <v>500</v>
      </c>
      <c r="E20" s="460">
        <f>ROUND((B$19*C20),0)</f>
        <v>1000000</v>
      </c>
      <c r="F20" s="460"/>
      <c r="G20" s="569">
        <f>ROUND($E20*N$18/100+$B$19*N$17+IF($B$19&lt;3001,$B$19*O$15+N$15,$B$19*O$16+N$16),2)+Q24</f>
        <v>65943.5</v>
      </c>
      <c r="H20" s="569"/>
      <c r="I20" s="569">
        <f>ROUND($E20*Q$18/100+$B$19*Q$17+IF($B$19&lt;3001,$B$19*R$15+Q$15,$B$19*R$16+Q$16),2)+Q25</f>
        <v>68013.5</v>
      </c>
      <c r="K20" s="463">
        <f>(I20-G20)/G20</f>
        <v>3.1390508541402865E-2</v>
      </c>
      <c r="O20" s="467" t="s">
        <v>345</v>
      </c>
      <c r="P20" s="467"/>
      <c r="Q20" s="468">
        <v>0.19400000000000001</v>
      </c>
    </row>
    <row r="21" spans="2:20">
      <c r="C21" s="438">
        <v>700</v>
      </c>
      <c r="E21" s="460">
        <f>ROUND((B$19*C21),0)</f>
        <v>1400000</v>
      </c>
      <c r="F21" s="460"/>
      <c r="G21" s="569">
        <f>ROUND($E21*N$18/100+$B$19*N$17+IF($B$19&lt;3001,$B$19*O$15+N$15,$B$19*O$16+N$16),2)+Q24</f>
        <v>84775.5</v>
      </c>
      <c r="H21" s="569"/>
      <c r="I21" s="569">
        <f>ROUND($E21*Q$18/100+$B$19*Q$17+IF($B$19&lt;3001,$B$19*R$15+Q$15,$B$19*R$16+Q$16),2)+Q25</f>
        <v>87417.5</v>
      </c>
      <c r="K21" s="463">
        <f>(I21-G21)/G21</f>
        <v>3.116466431929036E-2</v>
      </c>
      <c r="O21" s="467"/>
      <c r="P21" s="467"/>
      <c r="Q21" s="468">
        <v>0.19400000000000001</v>
      </c>
    </row>
    <row r="22" spans="2:20">
      <c r="G22" s="569"/>
      <c r="H22" s="569"/>
      <c r="I22" s="569"/>
      <c r="K22" s="463"/>
      <c r="O22" s="467"/>
      <c r="P22" s="467"/>
      <c r="Q22" s="470"/>
    </row>
    <row r="23" spans="2:20">
      <c r="B23" s="460">
        <v>4000</v>
      </c>
      <c r="C23" s="438">
        <v>300</v>
      </c>
      <c r="E23" s="460">
        <f>ROUND((B$23*C23),0)</f>
        <v>1200000</v>
      </c>
      <c r="F23" s="460"/>
      <c r="G23" s="569">
        <f>ROUND($E23*N$18/100+$B$23*N$17+IF($B$23&lt;3001,$B$23*O$15+N$15,$B$23*O$16+N$16),2)+Q24</f>
        <v>92468.5</v>
      </c>
      <c r="H23" s="569"/>
      <c r="I23" s="569">
        <f>ROUND($E23*Q$18/100+$B$23*Q$17+IF($B$23&lt;3001,$B$23*R$15+Q$15,$B$23*R$16+Q$16),2)+Q25</f>
        <v>95424.5</v>
      </c>
      <c r="K23" s="463">
        <f>(I23-G23)/G23</f>
        <v>3.1967643035195767E-2</v>
      </c>
      <c r="O23" s="438" t="s">
        <v>0</v>
      </c>
      <c r="P23" s="438" t="s">
        <v>0</v>
      </c>
      <c r="Q23" s="438" t="s">
        <v>0</v>
      </c>
      <c r="T23" s="438" t="s">
        <v>0</v>
      </c>
    </row>
    <row r="24" spans="2:20">
      <c r="C24" s="438">
        <v>500</v>
      </c>
      <c r="E24" s="460">
        <f>ROUND((B$23*C24),0)</f>
        <v>2000000</v>
      </c>
      <c r="F24" s="460"/>
      <c r="G24" s="569">
        <f>ROUND($E24*N$18/100+$B$23*N$17+IF($B$23&lt;3001,$B$23*O$15+N$15,$B$23*O$16+N$16),2)+Q24</f>
        <v>130132.5</v>
      </c>
      <c r="H24" s="569"/>
      <c r="I24" s="569">
        <f>ROUND($E24*Q$18/100+$B$23*Q$17+IF($B$23&lt;3001,$B$23*R$15+Q$15,$B$23*R$16+Q$16),2)+Q25</f>
        <v>134232.5</v>
      </c>
      <c r="K24" s="463">
        <f>(I24-G24)/G24</f>
        <v>3.1506349297831054E-2</v>
      </c>
      <c r="O24" s="438" t="s">
        <v>397</v>
      </c>
      <c r="Q24" s="520">
        <f>'Rate Design Low Inc Surcharge'!D21</f>
        <v>257.5</v>
      </c>
      <c r="R24" s="438" t="s">
        <v>0</v>
      </c>
    </row>
    <row r="25" spans="2:20">
      <c r="C25" s="438">
        <v>700</v>
      </c>
      <c r="E25" s="460">
        <f>ROUND((B$23*C25),0)</f>
        <v>2800000</v>
      </c>
      <c r="F25" s="460"/>
      <c r="G25" s="569">
        <f>ROUND($E25*N$18/100+$B$23*N$17+IF($B$23&lt;3001,$B$23*O$15+N$15,$B$23*O$16+N$16),2)+Q24</f>
        <v>167796.5</v>
      </c>
      <c r="H25" s="569"/>
      <c r="I25" s="569">
        <f>ROUND($E25*Q$18/100+$B$23*Q$17+IF($B$23&lt;3001,$B$23*R$15+Q$15,$B$23*R$16+Q$16),2)+Q25</f>
        <v>173040.5</v>
      </c>
      <c r="K25" s="463">
        <f>(I25-G25)/G25</f>
        <v>3.1252141731204164E-2</v>
      </c>
      <c r="O25" s="438" t="s">
        <v>384</v>
      </c>
      <c r="Q25" s="520">
        <f>Q24</f>
        <v>257.5</v>
      </c>
    </row>
    <row r="26" spans="2:20">
      <c r="G26" s="569"/>
      <c r="H26" s="569"/>
      <c r="I26" s="569"/>
      <c r="K26" s="463"/>
    </row>
    <row r="27" spans="2:20">
      <c r="B27" s="460">
        <v>6000</v>
      </c>
      <c r="C27" s="438">
        <v>300</v>
      </c>
      <c r="E27" s="460">
        <f>ROUND((B$27*C27),0)</f>
        <v>1800000</v>
      </c>
      <c r="F27" s="460"/>
      <c r="G27" s="569">
        <f>ROUND($E27*N$18/100+$B$27*N$17+IF($B$27&lt;3001,$B$27*O$15+N$15,$B$27*O$16+N$16),2)+Q24</f>
        <v>137736.5</v>
      </c>
      <c r="H27" s="569"/>
      <c r="I27" s="569">
        <f>ROUND($E27*Q$18/100+$B$27*Q$17+IF($B$27&lt;3001,$B$27*R$15+Q$15,$B$27*R$16+Q$16),2)+Q25</f>
        <v>142170.5</v>
      </c>
      <c r="K27" s="463">
        <f>(I27-G27)/G27</f>
        <v>3.2191902654706631E-2</v>
      </c>
      <c r="O27" s="438" t="s">
        <v>73</v>
      </c>
      <c r="Q27" s="438">
        <f>'Rate Spread Sch 92'!AB27</f>
        <v>-6.0000000000000001E-3</v>
      </c>
    </row>
    <row r="28" spans="2:20">
      <c r="C28" s="438">
        <v>500</v>
      </c>
      <c r="E28" s="460">
        <f>ROUND((B$27*C28),0)</f>
        <v>3000000</v>
      </c>
      <c r="F28" s="460"/>
      <c r="G28" s="569">
        <f>ROUND($E28*N$18/100+$B$27*N$17+IF($B$27&lt;3001,$B$27*O$15+N$15,$B$27*O$16+N$16),2)+Q24</f>
        <v>194232.5</v>
      </c>
      <c r="H28" s="569"/>
      <c r="I28" s="569">
        <f>ROUND($E28*Q$18/100+$B$27*Q$17+IF($B$27&lt;3001,$B$27*R$15+Q$15,$B$27*R$16+Q$16),2)+Q25</f>
        <v>200382.5</v>
      </c>
      <c r="K28" s="463">
        <f>(I28-G28)/G28</f>
        <v>3.1663084190338898E-2</v>
      </c>
    </row>
    <row r="29" spans="2:20">
      <c r="C29" s="438">
        <v>700</v>
      </c>
      <c r="E29" s="460">
        <f>ROUND((B$27*C29),0)</f>
        <v>4200000</v>
      </c>
      <c r="F29" s="460"/>
      <c r="G29" s="569">
        <f>ROUND($E29*N$18/100+$B$27*N$17+IF($B$27&lt;3001,$B$27*O$15+N$15,$B$27*O$16+N$16),2)+Q24</f>
        <v>250728.5</v>
      </c>
      <c r="H29" s="569"/>
      <c r="I29" s="569">
        <f>ROUND($E29*Q$18/100+$B$27*Q$17+IF($B$27&lt;3001,$B$27*R$15+Q$15,$B$27*R$16+Q$16),2)+Q25</f>
        <v>258594.5</v>
      </c>
      <c r="K29" s="463">
        <f>(I29-G29)/G29</f>
        <v>3.1372580301002879E-2</v>
      </c>
    </row>
    <row r="30" spans="2:20">
      <c r="B30" s="477"/>
      <c r="C30" s="477"/>
      <c r="D30" s="477"/>
      <c r="E30" s="477"/>
      <c r="F30" s="477"/>
      <c r="G30" s="477"/>
      <c r="H30" s="477"/>
      <c r="I30" s="477"/>
      <c r="J30" s="477"/>
      <c r="K30" s="477"/>
      <c r="M30" s="472" t="s">
        <v>421</v>
      </c>
      <c r="N30" s="550">
        <f>'Rate Spread combined'!V27</f>
        <v>3.2424455698179803E-2</v>
      </c>
    </row>
    <row r="31" spans="2:20">
      <c r="N31" s="474" t="s">
        <v>0</v>
      </c>
    </row>
    <row r="33" spans="2:16">
      <c r="B33" s="438" t="s">
        <v>351</v>
      </c>
    </row>
    <row r="34" spans="2:16">
      <c r="B34" s="535" t="s">
        <v>386</v>
      </c>
    </row>
    <row r="35" spans="2:16">
      <c r="B35" s="480"/>
    </row>
    <row r="36" spans="2:16">
      <c r="B36" s="480"/>
    </row>
    <row r="37" spans="2:16">
      <c r="B37" s="480"/>
    </row>
    <row r="38" spans="2:16">
      <c r="B38" s="480"/>
    </row>
    <row r="39" spans="2:16">
      <c r="B39" s="480"/>
    </row>
    <row r="40" spans="2:16">
      <c r="B40" s="480"/>
    </row>
    <row r="41" spans="2:16">
      <c r="B41" s="480"/>
    </row>
    <row r="42" spans="2:16">
      <c r="B42" s="480"/>
    </row>
    <row r="43" spans="2:16">
      <c r="B43" s="480"/>
    </row>
    <row r="44" spans="2:16">
      <c r="B44" s="480"/>
    </row>
    <row r="45" spans="2:16">
      <c r="B45" s="480"/>
    </row>
    <row r="46" spans="2:16">
      <c r="B46" s="480"/>
    </row>
    <row r="48" spans="2:16">
      <c r="P48" s="474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9"/>
  <sheetViews>
    <sheetView view="pageBreakPreview" zoomScale="60" zoomScaleNormal="100" workbookViewId="0">
      <selection activeCell="AJ42" sqref="AJ42"/>
    </sheetView>
  </sheetViews>
  <sheetFormatPr defaultColWidth="8.5" defaultRowHeight="15"/>
  <cols>
    <col min="1" max="1" width="2" style="438" customWidth="1"/>
    <col min="2" max="2" width="8.5" style="438"/>
    <col min="3" max="3" width="8.5" style="438" hidden="1" customWidth="1"/>
    <col min="4" max="4" width="3.25" style="438" customWidth="1"/>
    <col min="5" max="5" width="9.75" style="438" customWidth="1"/>
    <col min="6" max="6" width="3.75" style="438" customWidth="1"/>
    <col min="7" max="7" width="19.875" style="438" customWidth="1"/>
    <col min="8" max="8" width="3.5" style="438" customWidth="1"/>
    <col min="9" max="9" width="19.5" style="438" customWidth="1"/>
    <col min="10" max="10" width="2.875" style="438" customWidth="1"/>
    <col min="11" max="11" width="12.125" style="438" customWidth="1"/>
    <col min="12" max="12" width="3.5" style="550" customWidth="1"/>
    <col min="13" max="13" width="18.875" style="438" customWidth="1"/>
    <col min="14" max="14" width="11" style="438" bestFit="1" customWidth="1"/>
    <col min="15" max="15" width="20.375" style="438" customWidth="1"/>
    <col min="16" max="16" width="2.5" style="438" customWidth="1"/>
    <col min="17" max="17" width="9.875" style="438" bestFit="1" customWidth="1"/>
    <col min="18" max="18" width="7.375" style="438" customWidth="1"/>
    <col min="19" max="19" width="2.5" style="438" customWidth="1"/>
    <col min="20" max="16384" width="8.5" style="438"/>
  </cols>
  <sheetData>
    <row r="2" spans="1:18" ht="18.75">
      <c r="B2" s="444"/>
      <c r="C2" s="440"/>
      <c r="D2" s="440"/>
      <c r="E2" s="440"/>
      <c r="F2" s="440"/>
      <c r="G2" s="440"/>
      <c r="H2" s="440"/>
      <c r="I2" s="440"/>
      <c r="J2" s="490" t="s">
        <v>0</v>
      </c>
      <c r="K2" s="554"/>
    </row>
    <row r="3" spans="1:18" ht="18.75">
      <c r="B3" s="441" t="s">
        <v>333</v>
      </c>
      <c r="C3" s="441"/>
      <c r="D3" s="441"/>
      <c r="E3" s="441"/>
      <c r="F3" s="441"/>
      <c r="G3" s="441"/>
      <c r="H3" s="441"/>
      <c r="I3" s="441"/>
      <c r="J3" s="441"/>
      <c r="K3" s="441"/>
    </row>
    <row r="4" spans="1:18" ht="18.75">
      <c r="B4" s="441" t="s">
        <v>334</v>
      </c>
      <c r="C4" s="441"/>
      <c r="D4" s="441"/>
      <c r="E4" s="441"/>
      <c r="F4" s="441"/>
      <c r="G4" s="441"/>
      <c r="H4" s="441"/>
      <c r="I4" s="441"/>
      <c r="J4" s="441"/>
      <c r="K4" s="441"/>
    </row>
    <row r="5" spans="1:18" ht="18.75">
      <c r="B5" s="441" t="s">
        <v>422</v>
      </c>
      <c r="C5" s="441"/>
      <c r="D5" s="441"/>
      <c r="E5" s="441"/>
      <c r="F5" s="441"/>
      <c r="G5" s="441"/>
      <c r="H5" s="441"/>
      <c r="I5" s="441"/>
      <c r="J5" s="441"/>
      <c r="K5" s="441"/>
    </row>
    <row r="6" spans="1:18" ht="18.75">
      <c r="B6" s="441" t="s">
        <v>416</v>
      </c>
      <c r="C6" s="441"/>
      <c r="D6" s="441"/>
      <c r="E6" s="441"/>
      <c r="F6" s="441"/>
      <c r="G6" s="441"/>
      <c r="H6" s="441"/>
      <c r="I6" s="441"/>
      <c r="J6" s="441"/>
      <c r="K6" s="441"/>
    </row>
    <row r="7" spans="1:18" ht="18.75">
      <c r="B7" s="441" t="s">
        <v>0</v>
      </c>
      <c r="C7" s="441"/>
      <c r="D7" s="441"/>
      <c r="E7" s="441"/>
      <c r="F7" s="441"/>
      <c r="G7" s="441"/>
      <c r="H7" s="441"/>
      <c r="I7" s="441"/>
      <c r="J7" s="441"/>
      <c r="K7" s="441"/>
    </row>
    <row r="8" spans="1:18" ht="18.75">
      <c r="A8" s="576"/>
      <c r="B8" s="440"/>
      <c r="C8" s="440"/>
      <c r="D8" s="440"/>
      <c r="E8" s="440"/>
      <c r="F8" s="440"/>
      <c r="G8" s="440"/>
      <c r="H8" s="440"/>
      <c r="I8" s="440"/>
      <c r="J8" s="440"/>
    </row>
    <row r="9" spans="1:18" ht="18.75">
      <c r="A9" s="576"/>
      <c r="B9" s="440"/>
      <c r="C9" s="440"/>
      <c r="D9" s="440"/>
      <c r="E9" s="440"/>
      <c r="F9" s="440"/>
      <c r="G9" s="440"/>
      <c r="H9" s="440"/>
      <c r="I9" s="440"/>
      <c r="J9" s="440"/>
    </row>
    <row r="11" spans="1:18">
      <c r="B11" s="555" t="s">
        <v>364</v>
      </c>
      <c r="G11" s="449" t="s">
        <v>365</v>
      </c>
      <c r="H11" s="449"/>
      <c r="I11" s="449"/>
    </row>
    <row r="12" spans="1:18" ht="15.75" thickBot="1">
      <c r="B12" s="558" t="s">
        <v>368</v>
      </c>
      <c r="C12" s="556" t="s">
        <v>369</v>
      </c>
      <c r="G12" s="440" t="s">
        <v>9</v>
      </c>
      <c r="I12" s="440" t="s">
        <v>79</v>
      </c>
      <c r="K12" s="440" t="s">
        <v>367</v>
      </c>
    </row>
    <row r="13" spans="1:18">
      <c r="B13" s="559" t="s">
        <v>372</v>
      </c>
      <c r="C13" s="560" t="s">
        <v>373</v>
      </c>
      <c r="D13" s="455"/>
      <c r="E13" s="448" t="s">
        <v>81</v>
      </c>
      <c r="F13" s="455"/>
      <c r="G13" s="449" t="s">
        <v>417</v>
      </c>
      <c r="I13" s="449" t="s">
        <v>418</v>
      </c>
      <c r="K13" s="577" t="s">
        <v>115</v>
      </c>
      <c r="M13" s="578" t="s">
        <v>339</v>
      </c>
      <c r="N13" s="541"/>
      <c r="O13" s="542"/>
      <c r="P13" s="510"/>
      <c r="Q13" s="541" t="s">
        <v>340</v>
      </c>
      <c r="R13" s="542"/>
    </row>
    <row r="14" spans="1:18">
      <c r="G14" s="560"/>
      <c r="H14" s="455"/>
      <c r="I14" s="560"/>
      <c r="M14" s="512" t="s">
        <v>376</v>
      </c>
      <c r="N14" s="469"/>
      <c r="O14" s="513"/>
      <c r="P14" s="469"/>
      <c r="Q14" s="469"/>
      <c r="R14" s="513"/>
    </row>
    <row r="15" spans="1:18">
      <c r="B15" s="460">
        <v>1000</v>
      </c>
      <c r="C15" s="438">
        <v>300</v>
      </c>
      <c r="E15" s="460">
        <f>ROUND((B$15*C15),0)</f>
        <v>300000</v>
      </c>
      <c r="F15" s="460"/>
      <c r="G15" s="569">
        <f>ROUND($E15*N$18/100+$B$15*N$17+IF($B$15&lt;3001,$B$15*O$15+N$15,$B$15*O$16+N$16),2)+$Q$24</f>
        <v>23565.5</v>
      </c>
      <c r="H15" s="569"/>
      <c r="I15" s="569">
        <f>ROUND($E15*Q$18/100+$B$15*Q$17+IF($B$15&lt;3001,$B$15*R$15+Q$15,$B$15*R$16+Q$16),2)+$Q$25</f>
        <v>24300.5</v>
      </c>
      <c r="K15" s="463">
        <f>(I15-G15)/G15</f>
        <v>3.1189662854596761E-2</v>
      </c>
      <c r="M15" s="512" t="s">
        <v>419</v>
      </c>
      <c r="N15" s="518">
        <f>'Billing Determinants'!G1020</f>
        <v>1419</v>
      </c>
      <c r="O15" s="454">
        <f>'Billing Determinants'!G1023</f>
        <v>0.53</v>
      </c>
      <c r="P15" s="519"/>
      <c r="Q15" s="518">
        <f>'Billing Determinants'!J1020</f>
        <v>1419</v>
      </c>
      <c r="R15" s="454">
        <f>'Billing Determinants'!J1023</f>
        <v>0.56000000000000005</v>
      </c>
    </row>
    <row r="16" spans="1:18">
      <c r="C16" s="438">
        <v>500</v>
      </c>
      <c r="E16" s="460">
        <f>ROUND((B$15*C16),0)</f>
        <v>500000</v>
      </c>
      <c r="F16" s="460"/>
      <c r="G16" s="569">
        <f t="shared" ref="G16:G17" si="0">ROUND($E16*N$18/100+$B$15*N$17+IF($B$15&lt;3001,$B$15*O$15+N$15,$B$15*O$16+N$16),2)+$Q$24</f>
        <v>32871.5</v>
      </c>
      <c r="H16" s="569"/>
      <c r="I16" s="569">
        <f>ROUND($E16*Q$18/100+$B$15*Q$17+IF($B$15&lt;3001,$B$15*R$15+Q$15,$B$15*R$16+Q$16),2)+$Q$25</f>
        <v>33896.5</v>
      </c>
      <c r="K16" s="463">
        <f>(I16-G16)/G16</f>
        <v>3.11820269838614E-2</v>
      </c>
      <c r="M16" s="512" t="s">
        <v>420</v>
      </c>
      <c r="N16" s="518">
        <f>'Billing Determinants'!G1021</f>
        <v>1707</v>
      </c>
      <c r="O16" s="454">
        <f>'Billing Determinants'!G1024</f>
        <v>0.43</v>
      </c>
      <c r="P16" s="519"/>
      <c r="Q16" s="518">
        <f>'Billing Determinants'!J1021</f>
        <v>1707</v>
      </c>
      <c r="R16" s="454">
        <f>'Billing Determinants'!J1024</f>
        <v>0.45</v>
      </c>
    </row>
    <row r="17" spans="2:20">
      <c r="C17" s="438">
        <v>700</v>
      </c>
      <c r="E17" s="460">
        <f>ROUND((B$15*C17),0)</f>
        <v>700000</v>
      </c>
      <c r="F17" s="460"/>
      <c r="G17" s="569">
        <f t="shared" si="0"/>
        <v>42177.5</v>
      </c>
      <c r="H17" s="569"/>
      <c r="I17" s="569">
        <f>ROUND($E17*Q$18/100+$B$15*Q$17+IF($B$15&lt;3001,$B$15*R$15+Q$15,$B$15*R$16+Q$16),2)+$Q$25</f>
        <v>43492.5</v>
      </c>
      <c r="K17" s="463">
        <f>(I17-G17)/G17</f>
        <v>3.1177760654377332E-2</v>
      </c>
      <c r="M17" s="512" t="s">
        <v>372</v>
      </c>
      <c r="N17" s="518">
        <f>'Billing Determinants'!G1025</f>
        <v>7.4</v>
      </c>
      <c r="O17" s="524"/>
      <c r="P17" s="519"/>
      <c r="Q17" s="518">
        <f>'Billing Determinants'!J1025</f>
        <v>7.67</v>
      </c>
      <c r="R17" s="524"/>
      <c r="T17" s="459">
        <f>(Q17-N17)/N17</f>
        <v>3.6486486486486426E-2</v>
      </c>
    </row>
    <row r="18" spans="2:20">
      <c r="G18" s="569"/>
      <c r="H18" s="569"/>
      <c r="I18" s="569"/>
      <c r="K18" s="463"/>
      <c r="M18" s="512" t="s">
        <v>344</v>
      </c>
      <c r="N18" s="527">
        <f>'Billing Determinants'!G1027+Q20</f>
        <v>4.6529999999999996</v>
      </c>
      <c r="O18" s="524"/>
      <c r="P18" s="519"/>
      <c r="Q18" s="527">
        <f>'Billing Determinants'!J1027+'Billing Determinants'!J1029+Q21+Q27</f>
        <v>4.7979999999999992</v>
      </c>
      <c r="R18" s="524"/>
      <c r="T18" s="459">
        <f>(Q18-N18)/N18</f>
        <v>3.1162690737158733E-2</v>
      </c>
    </row>
    <row r="19" spans="2:20" ht="15.75" thickBot="1">
      <c r="B19" s="460">
        <v>2000</v>
      </c>
      <c r="C19" s="438">
        <v>300</v>
      </c>
      <c r="E19" s="460">
        <f>ROUND((B$19*C19),0)</f>
        <v>600000</v>
      </c>
      <c r="F19" s="460"/>
      <c r="G19" s="569">
        <f>ROUND($E19*N$18/100+$B$19*N$17+IF($B$19&lt;3001,$B$19*O$15+N$15,$B$19*O$16+N$16),2)+$Q$24</f>
        <v>45454.5</v>
      </c>
      <c r="H19" s="569"/>
      <c r="I19" s="569">
        <f>ROUND($E19*Q$18/100+$B$19*Q$17+IF($B$19&lt;3001,$B$19*R$15+Q$15,$B$19*R$16+Q$16),2)+$Q$25</f>
        <v>46924.5</v>
      </c>
      <c r="K19" s="463">
        <f>(I19-G19)/G19</f>
        <v>3.234003234003234E-2</v>
      </c>
      <c r="M19" s="547" t="s">
        <v>0</v>
      </c>
      <c r="N19" s="548" t="s">
        <v>0</v>
      </c>
      <c r="O19" s="530"/>
      <c r="P19" s="529"/>
      <c r="Q19" s="548" t="s">
        <v>0</v>
      </c>
      <c r="R19" s="549"/>
    </row>
    <row r="20" spans="2:20">
      <c r="C20" s="438">
        <v>500</v>
      </c>
      <c r="E20" s="460">
        <f>ROUND((B$19*C20),0)</f>
        <v>1000000</v>
      </c>
      <c r="F20" s="460"/>
      <c r="G20" s="569">
        <f t="shared" ref="G20:G21" si="1">ROUND($E20*N$18/100+$B$19*N$17+IF($B$19&lt;3001,$B$19*O$15+N$15,$B$19*O$16+N$16),2)+$Q$24</f>
        <v>64066.5</v>
      </c>
      <c r="H20" s="569"/>
      <c r="I20" s="569">
        <f>ROUND($E20*Q$18/100+$B$19*Q$17+IF($B$19&lt;3001,$B$19*R$15+Q$15,$B$19*R$16+Q$16),2)+$Q$25</f>
        <v>66116.5</v>
      </c>
      <c r="K20" s="463">
        <f>(I20-G20)/G20</f>
        <v>3.1998002075967938E-2</v>
      </c>
      <c r="O20" s="467" t="s">
        <v>345</v>
      </c>
      <c r="P20" s="467"/>
      <c r="Q20" s="468">
        <v>0.19400000000000001</v>
      </c>
    </row>
    <row r="21" spans="2:20">
      <c r="C21" s="438">
        <v>700</v>
      </c>
      <c r="E21" s="460">
        <f>ROUND((B$19*C21),0)</f>
        <v>1400000</v>
      </c>
      <c r="F21" s="460"/>
      <c r="G21" s="569">
        <f t="shared" si="1"/>
        <v>82678.5</v>
      </c>
      <c r="H21" s="569"/>
      <c r="I21" s="569">
        <f>ROUND($E21*Q$18/100+$B$19*Q$17+IF($B$19&lt;3001,$B$19*R$15+Q$15,$B$19*R$16+Q$16),2)+$Q$25</f>
        <v>85308.5</v>
      </c>
      <c r="K21" s="463">
        <f>(I21-G21)/G21</f>
        <v>3.1809962686792821E-2</v>
      </c>
      <c r="O21" s="467"/>
      <c r="P21" s="467"/>
      <c r="Q21" s="468">
        <v>0.19400000000000001</v>
      </c>
    </row>
    <row r="22" spans="2:20">
      <c r="G22" s="569"/>
      <c r="H22" s="569"/>
      <c r="I22" s="569"/>
      <c r="K22" s="463"/>
      <c r="O22" s="467"/>
      <c r="P22" s="467"/>
      <c r="Q22" s="470"/>
    </row>
    <row r="23" spans="2:20">
      <c r="B23" s="460">
        <v>4000</v>
      </c>
      <c r="C23" s="438">
        <v>300</v>
      </c>
      <c r="E23" s="460">
        <f>ROUND((B$23*C23),0)</f>
        <v>1200000</v>
      </c>
      <c r="F23" s="460"/>
      <c r="G23" s="569">
        <f>ROUND($E23*N$18/100+$B$23*N$17+IF($B$23&lt;3001,$B$23*O$15+N$15,$B$23*O$16+N$16),2)+$Q$24</f>
        <v>89120.5</v>
      </c>
      <c r="H23" s="569"/>
      <c r="I23" s="569">
        <f>ROUND($E23*Q$18/100+$B$23*Q$17+IF($B$23&lt;3001,$B$23*R$15+Q$15,$B$23*R$16+Q$16),2)+$Q$25</f>
        <v>92020.5</v>
      </c>
      <c r="K23" s="463">
        <f>(I23-G23)/G23</f>
        <v>3.2540212409041688E-2</v>
      </c>
      <c r="O23" s="438" t="s">
        <v>0</v>
      </c>
      <c r="P23" s="438" t="s">
        <v>0</v>
      </c>
      <c r="Q23" s="438" t="s">
        <v>0</v>
      </c>
    </row>
    <row r="24" spans="2:20">
      <c r="C24" s="438">
        <v>500</v>
      </c>
      <c r="E24" s="460">
        <f>ROUND((B$23*C24),0)</f>
        <v>2000000</v>
      </c>
      <c r="F24" s="460"/>
      <c r="G24" s="569">
        <f t="shared" ref="G24:G25" si="2">ROUND($E24*N$18/100+$B$23*N$17+IF($B$23&lt;3001,$B$23*O$15+N$15,$B$23*O$16+N$16),2)+$Q$24</f>
        <v>126344.5</v>
      </c>
      <c r="H24" s="569"/>
      <c r="I24" s="569">
        <f>ROUND($E24*Q$18/100+$B$23*Q$17+IF($B$23&lt;3001,$B$23*R$15+Q$15,$B$23*R$16+Q$16),2)+$Q$25</f>
        <v>130404.5</v>
      </c>
      <c r="K24" s="463">
        <f>(I24-G24)/G24</f>
        <v>3.2134362793789992E-2</v>
      </c>
      <c r="O24" s="438" t="s">
        <v>397</v>
      </c>
      <c r="Q24" s="520">
        <f>'Rate Design Low Inc Surcharge'!D21</f>
        <v>257.5</v>
      </c>
      <c r="R24" s="438" t="s">
        <v>0</v>
      </c>
    </row>
    <row r="25" spans="2:20">
      <c r="C25" s="438">
        <v>700</v>
      </c>
      <c r="E25" s="460">
        <f>ROUND((B$23*C25),0)</f>
        <v>2800000</v>
      </c>
      <c r="F25" s="460"/>
      <c r="G25" s="569">
        <f t="shared" si="2"/>
        <v>163568.5</v>
      </c>
      <c r="H25" s="569"/>
      <c r="I25" s="569">
        <f>ROUND($E25*Q$18/100+$B$23*Q$17+IF($B$23&lt;3001,$B$23*R$15+Q$15,$B$23*R$16+Q$16),2)+$Q$25</f>
        <v>168788.5</v>
      </c>
      <c r="K25" s="463">
        <f>(I25-G25)/G25</f>
        <v>3.1913235127790499E-2</v>
      </c>
      <c r="O25" s="438" t="s">
        <v>384</v>
      </c>
      <c r="P25" s="484"/>
      <c r="Q25" s="520">
        <f>Q24</f>
        <v>257.5</v>
      </c>
    </row>
    <row r="26" spans="2:20">
      <c r="G26" s="569" t="s">
        <v>0</v>
      </c>
      <c r="H26" s="569"/>
      <c r="I26" s="569"/>
      <c r="K26" s="463"/>
    </row>
    <row r="27" spans="2:20">
      <c r="B27" s="460">
        <v>6000</v>
      </c>
      <c r="C27" s="438">
        <v>300</v>
      </c>
      <c r="E27" s="460">
        <f>ROUND((B$27*C27),0)</f>
        <v>1800000</v>
      </c>
      <c r="F27" s="460"/>
      <c r="G27" s="569">
        <f>ROUND($E27*N$18/100+$B$27*N$17+IF($B$27&lt;3001,$B$27*O$15+N$15,$B$27*O$16+N$16),2)+$Q$24</f>
        <v>132698.5</v>
      </c>
      <c r="H27" s="569"/>
      <c r="I27" s="569">
        <f>ROUND($E27*Q$18/100+$B$27*Q$17+IF($B$27&lt;3001,$B$27*R$15+Q$15,$B$27*R$16+Q$16),2)+$Q$25</f>
        <v>137048.5</v>
      </c>
      <c r="K27" s="463">
        <f>(I27-G27)/G27</f>
        <v>3.2781078911969616E-2</v>
      </c>
      <c r="O27" s="438" t="s">
        <v>73</v>
      </c>
      <c r="Q27" s="438">
        <f>'Rate Spread Sch 92'!AB27</f>
        <v>-6.0000000000000001E-3</v>
      </c>
    </row>
    <row r="28" spans="2:20">
      <c r="C28" s="438">
        <v>500</v>
      </c>
      <c r="E28" s="460">
        <f>ROUND((B$27*C28),0)</f>
        <v>3000000</v>
      </c>
      <c r="F28" s="460"/>
      <c r="G28" s="569">
        <f t="shared" ref="G28:G29" si="3">ROUND($E28*N$18/100+$B$27*N$17+IF($B$27&lt;3001,$B$27*O$15+N$15,$B$27*O$16+N$16),2)+$Q$24</f>
        <v>188534.5</v>
      </c>
      <c r="H28" s="569"/>
      <c r="I28" s="569">
        <f>ROUND($E28*Q$18/100+$B$27*Q$17+IF($B$27&lt;3001,$B$27*R$15+Q$15,$B$27*R$16+Q$16),2)+$Q$25</f>
        <v>194624.5</v>
      </c>
      <c r="K28" s="463">
        <f>(I28-G28)/G28</f>
        <v>3.2301780310765402E-2</v>
      </c>
    </row>
    <row r="29" spans="2:20">
      <c r="C29" s="438">
        <v>700</v>
      </c>
      <c r="E29" s="460">
        <f>ROUND((B$27*C29),0)</f>
        <v>4200000</v>
      </c>
      <c r="F29" s="460"/>
      <c r="G29" s="569">
        <f t="shared" si="3"/>
        <v>244370.5</v>
      </c>
      <c r="H29" s="569"/>
      <c r="I29" s="569">
        <f>ROUND($E29*Q$18/100+$B$27*Q$17+IF($B$27&lt;3001,$B$27*R$15+Q$15,$B$27*R$16+Q$16),2)+$Q$25</f>
        <v>252200.5</v>
      </c>
      <c r="K29" s="463">
        <f>(I29-G29)/G29</f>
        <v>3.2041510738816677E-2</v>
      </c>
    </row>
    <row r="30" spans="2:20">
      <c r="B30" s="477"/>
      <c r="C30" s="477"/>
      <c r="D30" s="477"/>
      <c r="E30" s="477"/>
      <c r="F30" s="477"/>
      <c r="G30" s="477"/>
      <c r="H30" s="477"/>
      <c r="I30" s="477"/>
      <c r="J30" s="477"/>
      <c r="K30" s="477"/>
      <c r="M30" s="472" t="s">
        <v>421</v>
      </c>
      <c r="N30" s="550">
        <f>'Rate Spread combined'!V27</f>
        <v>3.2424455698179803E-2</v>
      </c>
    </row>
    <row r="31" spans="2:20">
      <c r="N31" s="474" t="s">
        <v>0</v>
      </c>
    </row>
    <row r="33" spans="2:15">
      <c r="B33" s="438" t="s">
        <v>351</v>
      </c>
    </row>
    <row r="34" spans="2:15">
      <c r="B34" s="535" t="s">
        <v>386</v>
      </c>
      <c r="O34" s="438" t="s">
        <v>0</v>
      </c>
    </row>
    <row r="35" spans="2:15">
      <c r="B35" s="535"/>
    </row>
    <row r="36" spans="2:15">
      <c r="B36" s="480"/>
    </row>
    <row r="37" spans="2:15">
      <c r="B37" s="480"/>
    </row>
    <row r="38" spans="2:15">
      <c r="B38" s="480"/>
    </row>
    <row r="39" spans="2:15">
      <c r="B39" s="480"/>
    </row>
    <row r="40" spans="2:15">
      <c r="B40" s="480"/>
    </row>
    <row r="41" spans="2:15">
      <c r="B41" s="480"/>
    </row>
    <row r="42" spans="2:15">
      <c r="B42" s="480"/>
    </row>
    <row r="43" spans="2:15">
      <c r="B43" s="480"/>
    </row>
    <row r="44" spans="2:15">
      <c r="B44" s="480"/>
    </row>
    <row r="45" spans="2:15">
      <c r="B45" s="480"/>
    </row>
    <row r="46" spans="2:15">
      <c r="B46" s="480"/>
    </row>
    <row r="47" spans="2:15">
      <c r="B47" s="480"/>
    </row>
    <row r="49" spans="16:16">
      <c r="P49" s="474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9"/>
  <sheetViews>
    <sheetView view="pageBreakPreview" zoomScale="60" zoomScaleNormal="100" workbookViewId="0">
      <selection activeCell="AJ42" sqref="AJ42"/>
    </sheetView>
  </sheetViews>
  <sheetFormatPr defaultColWidth="8.5" defaultRowHeight="15"/>
  <cols>
    <col min="1" max="1" width="2" style="438" customWidth="1"/>
    <col min="2" max="2" width="8.5" style="438"/>
    <col min="3" max="3" width="8.5" style="438" hidden="1" customWidth="1"/>
    <col min="4" max="4" width="3.25" style="438" customWidth="1"/>
    <col min="5" max="5" width="10.75" style="438" bestFit="1" customWidth="1"/>
    <col min="6" max="6" width="3.75" style="438" customWidth="1"/>
    <col min="7" max="7" width="19.875" style="438" customWidth="1"/>
    <col min="8" max="8" width="3.5" style="438" customWidth="1"/>
    <col min="9" max="9" width="19.5" style="438" customWidth="1"/>
    <col min="10" max="10" width="2.875" style="438" customWidth="1"/>
    <col min="11" max="11" width="12.125" style="438" customWidth="1"/>
    <col min="12" max="12" width="3.5" style="550" customWidth="1"/>
    <col min="13" max="13" width="15.125" style="438" customWidth="1"/>
    <col min="14" max="14" width="12.25" style="438" customWidth="1"/>
    <col min="15" max="15" width="20.375" style="438" customWidth="1"/>
    <col min="16" max="16" width="2.5" style="438" customWidth="1"/>
    <col min="17" max="17" width="14.375" style="438" customWidth="1"/>
    <col min="18" max="18" width="10.375" style="438" bestFit="1" customWidth="1"/>
    <col min="19" max="19" width="7.375" style="438" customWidth="1"/>
    <col min="20" max="20" width="2.5" style="438" customWidth="1"/>
    <col min="21" max="16384" width="8.5" style="438"/>
  </cols>
  <sheetData>
    <row r="2" spans="1:22" ht="18.75">
      <c r="B2" s="444"/>
      <c r="C2" s="440"/>
      <c r="D2" s="440"/>
      <c r="E2" s="440"/>
      <c r="F2" s="440"/>
      <c r="G2" s="440"/>
      <c r="H2" s="440"/>
      <c r="I2" s="440"/>
      <c r="J2" s="490" t="s">
        <v>0</v>
      </c>
      <c r="K2" s="554"/>
    </row>
    <row r="3" spans="1:22" ht="18.75">
      <c r="B3" s="441" t="s">
        <v>333</v>
      </c>
      <c r="C3" s="441"/>
      <c r="D3" s="441"/>
      <c r="E3" s="441"/>
      <c r="F3" s="441"/>
      <c r="G3" s="441"/>
      <c r="H3" s="441"/>
      <c r="I3" s="441"/>
      <c r="J3" s="441"/>
      <c r="K3" s="441"/>
    </row>
    <row r="4" spans="1:22" ht="18.75">
      <c r="B4" s="441" t="s">
        <v>334</v>
      </c>
      <c r="C4" s="441"/>
      <c r="D4" s="441"/>
      <c r="E4" s="441"/>
      <c r="F4" s="441"/>
      <c r="G4" s="441"/>
      <c r="H4" s="441"/>
      <c r="I4" s="441"/>
      <c r="J4" s="441"/>
      <c r="K4" s="441"/>
    </row>
    <row r="5" spans="1:22" ht="18.75">
      <c r="B5" s="441" t="s">
        <v>422</v>
      </c>
      <c r="C5" s="441"/>
      <c r="D5" s="441"/>
      <c r="E5" s="441"/>
      <c r="F5" s="441"/>
      <c r="G5" s="441"/>
      <c r="H5" s="441"/>
      <c r="I5" s="441"/>
      <c r="J5" s="441"/>
      <c r="K5" s="441"/>
    </row>
    <row r="6" spans="1:22" ht="18.75">
      <c r="B6" s="441" t="s">
        <v>423</v>
      </c>
      <c r="C6" s="441"/>
      <c r="D6" s="441"/>
      <c r="E6" s="441"/>
      <c r="F6" s="441"/>
      <c r="G6" s="441"/>
      <c r="H6" s="441"/>
      <c r="I6" s="441"/>
      <c r="J6" s="441"/>
      <c r="K6" s="441"/>
    </row>
    <row r="7" spans="1:22" ht="18.75">
      <c r="B7" s="441" t="s">
        <v>424</v>
      </c>
      <c r="C7" s="441"/>
      <c r="D7" s="441"/>
      <c r="E7" s="441"/>
      <c r="F7" s="441"/>
      <c r="G7" s="441"/>
      <c r="H7" s="441"/>
      <c r="I7" s="441"/>
      <c r="J7" s="441"/>
      <c r="K7" s="441"/>
      <c r="V7" s="438" t="s">
        <v>0</v>
      </c>
    </row>
    <row r="8" spans="1:22" ht="18.75">
      <c r="A8" s="576"/>
      <c r="B8" s="440"/>
      <c r="C8" s="440"/>
      <c r="D8" s="440"/>
      <c r="E8" s="440"/>
      <c r="F8" s="440"/>
      <c r="G8" s="440"/>
      <c r="H8" s="440"/>
      <c r="I8" s="440"/>
      <c r="J8" s="440"/>
    </row>
    <row r="9" spans="1:22" ht="18.75">
      <c r="A9" s="576"/>
      <c r="B9" s="440"/>
      <c r="C9" s="440"/>
      <c r="D9" s="440"/>
      <c r="E9" s="440"/>
      <c r="F9" s="440"/>
      <c r="G9" s="440"/>
      <c r="H9" s="440"/>
      <c r="I9" s="440"/>
      <c r="J9" s="440"/>
    </row>
    <row r="11" spans="1:22">
      <c r="B11" s="555" t="s">
        <v>364</v>
      </c>
      <c r="G11" s="449" t="s">
        <v>365</v>
      </c>
      <c r="H11" s="449"/>
      <c r="I11" s="449"/>
    </row>
    <row r="12" spans="1:22" ht="15.75" thickBot="1">
      <c r="B12" s="558" t="s">
        <v>368</v>
      </c>
      <c r="C12" s="556" t="s">
        <v>369</v>
      </c>
      <c r="G12" s="440" t="s">
        <v>9</v>
      </c>
      <c r="I12" s="440" t="s">
        <v>79</v>
      </c>
      <c r="K12" s="440" t="s">
        <v>367</v>
      </c>
    </row>
    <row r="13" spans="1:22">
      <c r="B13" s="559" t="s">
        <v>372</v>
      </c>
      <c r="C13" s="560" t="s">
        <v>373</v>
      </c>
      <c r="D13" s="455"/>
      <c r="E13" s="448" t="s">
        <v>81</v>
      </c>
      <c r="F13" s="455"/>
      <c r="G13" s="449" t="s">
        <v>417</v>
      </c>
      <c r="I13" s="449" t="s">
        <v>418</v>
      </c>
      <c r="K13" s="577" t="s">
        <v>115</v>
      </c>
      <c r="M13" s="578" t="s">
        <v>339</v>
      </c>
      <c r="N13" s="541"/>
      <c r="O13" s="542"/>
      <c r="P13" s="510"/>
      <c r="Q13" s="510"/>
      <c r="R13" s="541" t="s">
        <v>340</v>
      </c>
      <c r="S13" s="542"/>
    </row>
    <row r="14" spans="1:22">
      <c r="G14" s="560"/>
      <c r="H14" s="455"/>
      <c r="I14" s="560"/>
      <c r="M14" s="512" t="s">
        <v>376</v>
      </c>
      <c r="N14" s="469"/>
      <c r="O14" s="513"/>
      <c r="P14" s="469"/>
      <c r="Q14" s="469"/>
      <c r="R14" s="469"/>
      <c r="S14" s="513"/>
    </row>
    <row r="15" spans="1:22">
      <c r="B15" s="460">
        <v>30000</v>
      </c>
      <c r="C15" s="438">
        <v>300</v>
      </c>
      <c r="E15" s="460">
        <f>ROUND((B$15*C15),0)</f>
        <v>9000000</v>
      </c>
      <c r="F15" s="460"/>
      <c r="G15" s="569">
        <f>ROUND($E15*N$18/100+$B$15*N$17+$B$15*O$16+N$16,2)+$R$24</f>
        <v>646345.5</v>
      </c>
      <c r="H15" s="569"/>
      <c r="I15" s="569">
        <f>ROUND($E15*R$18/100+$B$15*R$17+$B$15*S$16+R$16,2)+$R$25</f>
        <v>666944.5</v>
      </c>
      <c r="K15" s="463">
        <f>(I15-G15)/G15</f>
        <v>3.1869951906526771E-2</v>
      </c>
      <c r="M15" s="512" t="s">
        <v>0</v>
      </c>
      <c r="N15" s="518" t="str">
        <f>'Billing Determinants'!G1093</f>
        <v xml:space="preserve"> </v>
      </c>
      <c r="O15" s="454" t="str">
        <f>'Billing Determinants'!G1096</f>
        <v xml:space="preserve"> </v>
      </c>
      <c r="P15" s="519"/>
      <c r="Q15" s="469" t="s">
        <v>0</v>
      </c>
      <c r="R15" s="518" t="s">
        <v>0</v>
      </c>
      <c r="S15" s="454" t="s">
        <v>0</v>
      </c>
    </row>
    <row r="16" spans="1:22">
      <c r="C16" s="438">
        <v>500</v>
      </c>
      <c r="E16" s="460">
        <f>ROUND((B$15*C16),0)</f>
        <v>15000000</v>
      </c>
      <c r="F16" s="460"/>
      <c r="G16" s="569">
        <f>ROUND($E16*N$18/100+$B$15*N$17+$B$15*O$16+N$16,2)+$R$24</f>
        <v>923785.5</v>
      </c>
      <c r="H16" s="569"/>
      <c r="I16" s="569">
        <f t="shared" ref="I16:I17" si="0">ROUND($E16*R$18/100+$B$15*R$17+$B$15*S$16+R$16,2)+$R$25</f>
        <v>952484.5</v>
      </c>
      <c r="K16" s="463">
        <f>(I16-G16)/G16</f>
        <v>3.1066735730318349E-2</v>
      </c>
      <c r="M16" s="512" t="s">
        <v>425</v>
      </c>
      <c r="N16" s="518">
        <f>'Billing Determinants'!G1094</f>
        <v>2528</v>
      </c>
      <c r="O16" s="454">
        <f>'Billing Determinants'!G1097</f>
        <v>0.23</v>
      </c>
      <c r="P16" s="519"/>
      <c r="Q16" s="469" t="s">
        <v>425</v>
      </c>
      <c r="R16" s="518">
        <f>'Billing Determinants'!J1094</f>
        <v>2577</v>
      </c>
      <c r="S16" s="454">
        <f>'Billing Determinants'!J1097</f>
        <v>0.24</v>
      </c>
    </row>
    <row r="17" spans="2:21">
      <c r="C17" s="438">
        <v>700</v>
      </c>
      <c r="E17" s="460">
        <f>ROUND((B$15*C17),0)</f>
        <v>21000000</v>
      </c>
      <c r="F17" s="460"/>
      <c r="G17" s="569">
        <f>ROUND($E17*N$18/100+$B$15*N$17+$B$15*O$16+N$16,2)+$R$24</f>
        <v>1201225.5</v>
      </c>
      <c r="H17" s="569"/>
      <c r="I17" s="569">
        <f t="shared" si="0"/>
        <v>1238024.5</v>
      </c>
      <c r="K17" s="463">
        <f>(I17-G17)/G17</f>
        <v>3.0634547801391163E-2</v>
      </c>
      <c r="M17" s="512" t="s">
        <v>372</v>
      </c>
      <c r="N17" s="518">
        <f>'Billing Determinants'!G1098</f>
        <v>7.35</v>
      </c>
      <c r="O17" s="524"/>
      <c r="P17" s="519"/>
      <c r="Q17" s="519"/>
      <c r="R17" s="518">
        <f>'Billing Determinants'!J1098</f>
        <v>7.62</v>
      </c>
      <c r="S17" s="524"/>
      <c r="U17" s="459">
        <f>(R17-N17)/N17</f>
        <v>3.6734693877551086E-2</v>
      </c>
    </row>
    <row r="18" spans="2:21">
      <c r="G18" s="569"/>
      <c r="H18" s="569"/>
      <c r="I18" s="569"/>
      <c r="K18" s="463"/>
      <c r="M18" s="512" t="s">
        <v>344</v>
      </c>
      <c r="N18" s="527">
        <f>'Billing Determinants'!G1100+R20</f>
        <v>4.6239999999999997</v>
      </c>
      <c r="O18" s="524"/>
      <c r="P18" s="519"/>
      <c r="Q18" s="519"/>
      <c r="R18" s="527">
        <f>'Billing Determinants'!J1100+'Billing Determinants'!J1102+R21+R27</f>
        <v>4.7589999999999995</v>
      </c>
      <c r="S18" s="524"/>
      <c r="U18" s="459">
        <f>(R18-N18)/N18</f>
        <v>2.9195501730103761E-2</v>
      </c>
    </row>
    <row r="19" spans="2:21" ht="15.75" thickBot="1">
      <c r="B19" s="460">
        <v>40000</v>
      </c>
      <c r="C19" s="438">
        <v>300</v>
      </c>
      <c r="E19" s="460">
        <f>ROUND((B$19*C19),0)</f>
        <v>12000000</v>
      </c>
      <c r="F19" s="460"/>
      <c r="G19" s="569">
        <f>ROUND($E19*N$18/100+$B$19*N$17+$B$19*O$16+N$16,2)+$R$24</f>
        <v>860865.5</v>
      </c>
      <c r="H19" s="569"/>
      <c r="I19" s="569">
        <f>ROUND($E19*R$18/100+$B$19*R$17+$B$19*S$16+R$16,2)+$R$25</f>
        <v>888314.5</v>
      </c>
      <c r="K19" s="463">
        <f>(I19-G19)/G19</f>
        <v>3.1885352589922582E-2</v>
      </c>
      <c r="M19" s="547" t="s">
        <v>0</v>
      </c>
      <c r="N19" s="548" t="s">
        <v>0</v>
      </c>
      <c r="O19" s="530"/>
      <c r="P19" s="529"/>
      <c r="Q19" s="529"/>
      <c r="R19" s="548" t="s">
        <v>0</v>
      </c>
      <c r="S19" s="549"/>
    </row>
    <row r="20" spans="2:21">
      <c r="C20" s="438">
        <v>500</v>
      </c>
      <c r="E20" s="460">
        <f>ROUND((B$19*C20),0)</f>
        <v>20000000</v>
      </c>
      <c r="F20" s="460"/>
      <c r="G20" s="569">
        <f t="shared" ref="G20:G21" si="1">ROUND($E20*N$18/100+$B$19*N$17+$B$19*O$16+N$16,2)+$R$24</f>
        <v>1230785.5</v>
      </c>
      <c r="H20" s="569"/>
      <c r="I20" s="569">
        <f t="shared" ref="I20:I21" si="2">ROUND($E20*R$18/100+$B$19*R$17+$B$19*S$16+R$16,2)+$R$25</f>
        <v>1269034.5</v>
      </c>
      <c r="K20" s="463">
        <f>(I20-G20)/G20</f>
        <v>3.1076901702205624E-2</v>
      </c>
      <c r="O20" s="467" t="s">
        <v>345</v>
      </c>
      <c r="P20" s="467"/>
      <c r="Q20" s="467"/>
      <c r="R20" s="468">
        <v>0.19400000000000001</v>
      </c>
    </row>
    <row r="21" spans="2:21">
      <c r="C21" s="438">
        <v>700</v>
      </c>
      <c r="E21" s="460">
        <f>ROUND((B$19*C21),0)</f>
        <v>28000000</v>
      </c>
      <c r="F21" s="460"/>
      <c r="G21" s="569">
        <f t="shared" si="1"/>
        <v>1600705.5</v>
      </c>
      <c r="H21" s="569"/>
      <c r="I21" s="569">
        <f t="shared" si="2"/>
        <v>1649754.5</v>
      </c>
      <c r="K21" s="463">
        <f>(I21-G21)/G21</f>
        <v>3.0642113742971457E-2</v>
      </c>
      <c r="O21" s="467"/>
      <c r="P21" s="467"/>
      <c r="Q21" s="467"/>
      <c r="R21" s="468">
        <v>0.19400000000000001</v>
      </c>
    </row>
    <row r="22" spans="2:21">
      <c r="G22" s="569"/>
      <c r="H22" s="569"/>
      <c r="I22" s="569"/>
      <c r="K22" s="463"/>
      <c r="O22" s="467"/>
      <c r="P22" s="467"/>
      <c r="Q22" s="467"/>
      <c r="R22" s="470"/>
    </row>
    <row r="23" spans="2:21">
      <c r="B23" s="460">
        <v>50000</v>
      </c>
      <c r="C23" s="438">
        <v>300</v>
      </c>
      <c r="E23" s="460">
        <f>ROUND((B$23*C23),0)</f>
        <v>15000000</v>
      </c>
      <c r="F23" s="460"/>
      <c r="G23" s="569">
        <f>ROUND($E23*N$18/100+$B$23*N$17+$B$23*O$16+N$16,2)+$R$24</f>
        <v>1075385.5</v>
      </c>
      <c r="H23" s="569"/>
      <c r="I23" s="569">
        <f>ROUND($E23*R$18/100+$B$23*R$17+$B$23*S$16+R$16,2)+$R$25</f>
        <v>1109684.5</v>
      </c>
      <c r="K23" s="463">
        <f>(I23-G23)/G23</f>
        <v>3.1894608956509085E-2</v>
      </c>
      <c r="O23" s="438" t="s">
        <v>0</v>
      </c>
      <c r="P23" s="438" t="s">
        <v>0</v>
      </c>
      <c r="R23" s="438" t="s">
        <v>0</v>
      </c>
    </row>
    <row r="24" spans="2:21">
      <c r="C24" s="438">
        <v>500</v>
      </c>
      <c r="E24" s="460">
        <f>ROUND((B$23*C24),0)</f>
        <v>25000000</v>
      </c>
      <c r="F24" s="460"/>
      <c r="G24" s="569">
        <f t="shared" ref="G24:G25" si="3">ROUND($E24*N$18/100+$B$23*N$17+$B$23*O$16+N$16,2)+$R$24</f>
        <v>1537785.5</v>
      </c>
      <c r="H24" s="569"/>
      <c r="I24" s="569">
        <f t="shared" ref="I24:I25" si="4">ROUND($E24*R$18/100+$B$23*R$17+$B$23*S$16+R$16,2)+$R$25</f>
        <v>1585584.5</v>
      </c>
      <c r="K24" s="463">
        <f>(I24-G24)/G24</f>
        <v>3.1083008651076501E-2</v>
      </c>
      <c r="O24" s="438" t="s">
        <v>397</v>
      </c>
      <c r="R24" s="520">
        <f>'Rate Design Low Inc Surcharge'!D21</f>
        <v>257.5</v>
      </c>
      <c r="S24" s="438" t="s">
        <v>0</v>
      </c>
    </row>
    <row r="25" spans="2:21">
      <c r="C25" s="438">
        <v>700</v>
      </c>
      <c r="E25" s="460">
        <f>ROUND((B$23*C25),0)</f>
        <v>35000000</v>
      </c>
      <c r="F25" s="460"/>
      <c r="G25" s="569">
        <f t="shared" si="3"/>
        <v>2000185.5</v>
      </c>
      <c r="H25" s="569"/>
      <c r="I25" s="569">
        <f t="shared" si="4"/>
        <v>2061484.5</v>
      </c>
      <c r="K25" s="463">
        <f>(I25-G25)/G25</f>
        <v>3.0646657522514786E-2</v>
      </c>
      <c r="O25" s="438" t="s">
        <v>384</v>
      </c>
      <c r="P25" s="484"/>
      <c r="Q25" s="484"/>
      <c r="R25" s="520">
        <f>R24</f>
        <v>257.5</v>
      </c>
    </row>
    <row r="26" spans="2:21">
      <c r="G26" s="569"/>
      <c r="H26" s="569"/>
      <c r="I26" s="569"/>
      <c r="K26" s="463"/>
    </row>
    <row r="27" spans="2:21">
      <c r="B27" s="460">
        <v>60000</v>
      </c>
      <c r="C27" s="438">
        <v>300</v>
      </c>
      <c r="E27" s="460">
        <f>ROUND((B$27*C27),0)</f>
        <v>18000000</v>
      </c>
      <c r="F27" s="460"/>
      <c r="G27" s="569">
        <f>ROUND($E27*N$18/100+$B$27*N$17+$B$27*O$16+N$16,2)+$R$24</f>
        <v>1289905.5</v>
      </c>
      <c r="H27" s="569"/>
      <c r="I27" s="569">
        <f>ROUND($E27*R$18/100+$B$27*R$17+$B$27*S$16+R$16,2)+$R$25</f>
        <v>1331054.5</v>
      </c>
      <c r="K27" s="463">
        <f>(I27-G27)/G27</f>
        <v>3.1900786530486148E-2</v>
      </c>
      <c r="O27" s="438" t="s">
        <v>73</v>
      </c>
      <c r="R27" s="438">
        <f>'Rate Spread Sch 92'!AB27</f>
        <v>-6.0000000000000001E-3</v>
      </c>
    </row>
    <row r="28" spans="2:21">
      <c r="C28" s="438">
        <v>500</v>
      </c>
      <c r="E28" s="460">
        <f>ROUND((B$27*C28),0)</f>
        <v>30000000</v>
      </c>
      <c r="F28" s="460"/>
      <c r="G28" s="569">
        <f t="shared" ref="G28:G29" si="5">ROUND($E28*N$18/100+$B$27*N$17+$B$27*O$16+N$16,2)+$R$24</f>
        <v>1844785.5</v>
      </c>
      <c r="H28" s="569"/>
      <c r="I28" s="569">
        <f t="shared" ref="I28:I29" si="6">ROUND($E28*R$18/100+$B$27*R$17+$B$27*S$16+R$16,2)+$R$25</f>
        <v>1902134.5</v>
      </c>
      <c r="K28" s="463">
        <f>(I28-G28)/G28</f>
        <v>3.1087083024015531E-2</v>
      </c>
    </row>
    <row r="29" spans="2:21">
      <c r="C29" s="438">
        <v>700</v>
      </c>
      <c r="E29" s="460">
        <f>ROUND((B$27*C29),0)</f>
        <v>42000000</v>
      </c>
      <c r="F29" s="460"/>
      <c r="G29" s="569">
        <f t="shared" si="5"/>
        <v>2399665.5</v>
      </c>
      <c r="H29" s="569"/>
      <c r="I29" s="569">
        <f t="shared" si="6"/>
        <v>2473214.5</v>
      </c>
      <c r="K29" s="463">
        <f>(I29-G29)/G29</f>
        <v>3.0649688466996755E-2</v>
      </c>
    </row>
    <row r="30" spans="2:21">
      <c r="B30" s="477"/>
      <c r="C30" s="477"/>
      <c r="D30" s="477"/>
      <c r="E30" s="477"/>
      <c r="F30" s="477"/>
      <c r="G30" s="477"/>
      <c r="H30" s="477"/>
      <c r="I30" s="477"/>
      <c r="J30" s="477"/>
      <c r="K30" s="477"/>
      <c r="M30" s="472" t="s">
        <v>421</v>
      </c>
      <c r="N30" s="550">
        <f>'Rate Spread combined'!V27</f>
        <v>3.2424455698179803E-2</v>
      </c>
    </row>
    <row r="31" spans="2:21">
      <c r="N31" s="474" t="s">
        <v>0</v>
      </c>
    </row>
    <row r="32" spans="2:21">
      <c r="O32" s="438" t="s">
        <v>0</v>
      </c>
    </row>
    <row r="33" spans="2:11">
      <c r="B33" s="438" t="s">
        <v>351</v>
      </c>
    </row>
    <row r="34" spans="2:11">
      <c r="B34" s="535" t="s">
        <v>386</v>
      </c>
    </row>
    <row r="35" spans="2:11">
      <c r="B35" s="535"/>
    </row>
    <row r="36" spans="2:11">
      <c r="B36" s="480"/>
    </row>
    <row r="37" spans="2:11">
      <c r="B37" s="480"/>
    </row>
    <row r="38" spans="2:11">
      <c r="B38" s="480"/>
    </row>
    <row r="39" spans="2:11">
      <c r="B39" s="480"/>
    </row>
    <row r="40" spans="2:11">
      <c r="B40" s="480"/>
    </row>
    <row r="41" spans="2:11">
      <c r="B41" s="480"/>
    </row>
    <row r="42" spans="2:11">
      <c r="B42" s="480"/>
    </row>
    <row r="43" spans="2:11">
      <c r="B43" s="480"/>
      <c r="K43" s="438" t="s">
        <v>0</v>
      </c>
    </row>
    <row r="44" spans="2:11">
      <c r="B44" s="480"/>
    </row>
    <row r="45" spans="2:11">
      <c r="B45" s="480"/>
    </row>
    <row r="46" spans="2:11">
      <c r="B46" s="480"/>
    </row>
    <row r="47" spans="2:11">
      <c r="B47" s="480"/>
    </row>
    <row r="49" spans="16:17">
      <c r="P49" s="474"/>
      <c r="Q49" s="474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zoomScaleNormal="100" workbookViewId="0">
      <selection activeCell="AJ42" sqref="AJ42"/>
    </sheetView>
  </sheetViews>
  <sheetFormatPr defaultRowHeight="15.75"/>
  <cols>
    <col min="1" max="1" width="41.125" bestFit="1" customWidth="1"/>
    <col min="2" max="2" width="10.125" bestFit="1" customWidth="1"/>
    <col min="3" max="3" width="7.625" customWidth="1"/>
    <col min="4" max="4" width="11.625" bestFit="1" customWidth="1"/>
    <col min="5" max="5" width="15.75" bestFit="1" customWidth="1"/>
    <col min="6" max="6" width="10.5" customWidth="1"/>
    <col min="7" max="7" width="10.375" bestFit="1" customWidth="1"/>
    <col min="10" max="10" width="11.5" customWidth="1"/>
    <col min="11" max="11" width="2" customWidth="1"/>
    <col min="12" max="12" width="11.5" bestFit="1" customWidth="1"/>
    <col min="13" max="20" width="0" hidden="1" customWidth="1"/>
    <col min="24" max="24" width="10.25" customWidth="1"/>
  </cols>
  <sheetData>
    <row r="1" spans="1:24">
      <c r="A1" s="579" t="s">
        <v>333</v>
      </c>
      <c r="B1" s="579"/>
      <c r="C1" s="579"/>
      <c r="D1" s="579"/>
      <c r="E1" s="579"/>
      <c r="F1" s="579"/>
      <c r="G1" s="579"/>
      <c r="H1" s="579"/>
      <c r="I1" s="579"/>
      <c r="J1" s="579"/>
      <c r="K1" s="580"/>
      <c r="L1" s="580"/>
      <c r="M1" s="580"/>
      <c r="N1" s="580"/>
      <c r="O1" s="580"/>
      <c r="P1" s="580"/>
      <c r="Q1" s="580"/>
      <c r="R1" s="580"/>
      <c r="S1" s="580"/>
      <c r="T1" s="580"/>
      <c r="U1" s="580"/>
      <c r="V1" s="580"/>
      <c r="W1" s="580"/>
      <c r="X1" s="580"/>
    </row>
    <row r="2" spans="1:24">
      <c r="A2" s="579" t="s">
        <v>426</v>
      </c>
      <c r="B2" s="579"/>
      <c r="C2" s="579"/>
      <c r="D2" s="579"/>
      <c r="E2" s="579"/>
      <c r="F2" s="579"/>
      <c r="G2" s="579"/>
      <c r="H2" s="579"/>
      <c r="I2" s="579"/>
      <c r="J2" s="579"/>
      <c r="K2" s="580"/>
      <c r="L2" s="580"/>
      <c r="M2" s="580"/>
      <c r="N2" s="580"/>
      <c r="O2" s="580"/>
      <c r="P2" s="580"/>
      <c r="Q2" s="580"/>
      <c r="R2" s="580"/>
      <c r="S2" s="580"/>
      <c r="T2" s="580"/>
      <c r="U2" s="580"/>
      <c r="V2" s="580"/>
      <c r="W2" s="580"/>
      <c r="X2" s="580"/>
    </row>
    <row r="3" spans="1:24">
      <c r="A3" s="579" t="s">
        <v>427</v>
      </c>
      <c r="B3" s="579"/>
      <c r="C3" s="579"/>
      <c r="D3" s="579"/>
      <c r="E3" s="579"/>
      <c r="F3" s="579"/>
      <c r="G3" s="579"/>
      <c r="H3" s="579"/>
      <c r="I3" s="579"/>
      <c r="J3" s="579"/>
      <c r="K3" s="580"/>
      <c r="L3" s="580"/>
      <c r="M3" s="580"/>
      <c r="N3" s="580"/>
      <c r="O3" s="580"/>
      <c r="P3" s="580"/>
      <c r="Q3" s="580"/>
      <c r="R3" s="580"/>
      <c r="S3" s="580"/>
      <c r="T3" s="580"/>
      <c r="U3" s="580"/>
      <c r="V3" s="580"/>
      <c r="W3" s="580"/>
      <c r="X3" s="580"/>
    </row>
    <row r="4" spans="1:24">
      <c r="A4" s="581"/>
      <c r="B4" s="581"/>
      <c r="C4" s="581"/>
      <c r="D4" s="581"/>
      <c r="E4" s="581"/>
      <c r="F4" s="581"/>
      <c r="G4" s="581"/>
      <c r="H4" s="581"/>
      <c r="I4" s="581"/>
      <c r="J4" s="581"/>
      <c r="K4" s="580"/>
      <c r="L4" s="580"/>
      <c r="M4" s="580"/>
      <c r="N4" s="580"/>
      <c r="O4" s="580"/>
      <c r="P4" s="580"/>
      <c r="Q4" s="580"/>
      <c r="R4" s="580"/>
      <c r="S4" s="580"/>
      <c r="T4" s="580"/>
      <c r="U4" s="580"/>
      <c r="V4" s="580"/>
      <c r="W4" s="580"/>
      <c r="X4" s="580"/>
    </row>
    <row r="5" spans="1:24">
      <c r="A5" s="582" t="s">
        <v>428</v>
      </c>
      <c r="B5" s="583">
        <v>5428</v>
      </c>
      <c r="C5" s="581"/>
      <c r="D5" s="584"/>
      <c r="E5" s="584"/>
      <c r="F5" s="581"/>
      <c r="G5" s="581"/>
      <c r="H5" s="581"/>
      <c r="I5" s="581"/>
      <c r="J5" s="581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</row>
    <row r="6" spans="1:24">
      <c r="A6" s="585" t="s">
        <v>429</v>
      </c>
      <c r="B6" s="586">
        <v>6.6839620129018409E-2</v>
      </c>
      <c r="C6" s="580"/>
      <c r="D6" s="587" t="s">
        <v>430</v>
      </c>
      <c r="E6" s="588" t="s">
        <v>10</v>
      </c>
      <c r="F6" s="589"/>
      <c r="G6" s="580"/>
      <c r="H6" s="580"/>
      <c r="I6" s="580"/>
      <c r="J6" s="580"/>
      <c r="K6" s="580"/>
      <c r="L6" s="580"/>
      <c r="M6" s="580"/>
      <c r="N6" s="580"/>
      <c r="O6" s="580"/>
      <c r="P6" s="580"/>
      <c r="Q6" s="580"/>
      <c r="R6" s="580"/>
      <c r="S6" s="580"/>
      <c r="T6" s="580"/>
      <c r="U6" s="580"/>
      <c r="V6" s="580"/>
      <c r="W6" s="580"/>
      <c r="X6" s="580"/>
    </row>
    <row r="7" spans="1:24">
      <c r="A7" s="585" t="s">
        <v>0</v>
      </c>
      <c r="B7" s="590">
        <v>70</v>
      </c>
      <c r="C7" s="590"/>
      <c r="D7" s="591" t="s">
        <v>431</v>
      </c>
      <c r="E7" s="592" t="s">
        <v>432</v>
      </c>
      <c r="F7" s="593"/>
      <c r="G7" s="580"/>
      <c r="H7" s="594"/>
      <c r="I7" s="594"/>
      <c r="J7" s="594"/>
      <c r="K7" s="594"/>
      <c r="L7" s="592" t="s">
        <v>433</v>
      </c>
      <c r="M7" s="594"/>
      <c r="N7" s="595"/>
      <c r="O7" s="596"/>
      <c r="P7" s="596"/>
      <c r="Q7" s="589"/>
      <c r="R7" s="580"/>
      <c r="S7" s="595"/>
      <c r="T7" s="589"/>
      <c r="U7" s="580"/>
      <c r="V7" s="592" t="s">
        <v>433</v>
      </c>
      <c r="W7" s="580"/>
      <c r="X7" s="580"/>
    </row>
    <row r="8" spans="1:24">
      <c r="A8" s="597" t="s">
        <v>0</v>
      </c>
      <c r="B8" s="580"/>
      <c r="C8" s="580"/>
      <c r="D8" s="598"/>
      <c r="E8" s="599">
        <v>9.647E-2</v>
      </c>
      <c r="F8" s="593"/>
      <c r="G8" s="600" t="s">
        <v>0</v>
      </c>
      <c r="H8" s="600"/>
      <c r="I8" s="600"/>
      <c r="J8" s="600"/>
      <c r="K8" s="594"/>
      <c r="L8" s="601" t="s">
        <v>434</v>
      </c>
      <c r="M8" s="594"/>
      <c r="N8" s="602"/>
      <c r="O8" s="594"/>
      <c r="P8" s="594"/>
      <c r="Q8" s="593"/>
      <c r="R8" s="580"/>
      <c r="S8" s="602"/>
      <c r="T8" s="593"/>
      <c r="U8" s="580"/>
      <c r="V8" s="601" t="s">
        <v>435</v>
      </c>
      <c r="W8" s="580"/>
      <c r="X8" s="580"/>
    </row>
    <row r="9" spans="1:24">
      <c r="A9" s="580"/>
      <c r="B9" s="603" t="s">
        <v>436</v>
      </c>
      <c r="C9" s="604"/>
      <c r="D9" s="591" t="s">
        <v>0</v>
      </c>
      <c r="E9" s="592" t="s">
        <v>22</v>
      </c>
      <c r="F9" s="605" t="s">
        <v>16</v>
      </c>
      <c r="G9" s="592" t="s">
        <v>437</v>
      </c>
      <c r="H9" s="594"/>
      <c r="I9" s="594"/>
      <c r="J9" s="606" t="s">
        <v>437</v>
      </c>
      <c r="K9" s="594"/>
      <c r="L9" s="601" t="s">
        <v>11</v>
      </c>
      <c r="M9" s="594"/>
      <c r="N9" s="602"/>
      <c r="O9" s="594"/>
      <c r="P9" s="594"/>
      <c r="Q9" s="593"/>
      <c r="R9" s="580"/>
      <c r="S9" s="598" t="s">
        <v>438</v>
      </c>
      <c r="T9" s="607">
        <f>E8</f>
        <v>9.647E-2</v>
      </c>
      <c r="U9" s="580"/>
      <c r="V9" s="601" t="s">
        <v>21</v>
      </c>
      <c r="W9" s="580"/>
      <c r="X9" s="580"/>
    </row>
    <row r="10" spans="1:24">
      <c r="A10" s="585" t="s">
        <v>439</v>
      </c>
      <c r="B10" s="580" t="s">
        <v>440</v>
      </c>
      <c r="C10" s="580" t="s">
        <v>441</v>
      </c>
      <c r="D10" s="608">
        <f>X27</f>
        <v>1992907.7599999995</v>
      </c>
      <c r="E10" s="609">
        <f>+J27</f>
        <v>2197901.4662864143</v>
      </c>
      <c r="F10" s="610">
        <f>E10-D10</f>
        <v>204993.70628641476</v>
      </c>
      <c r="G10" s="592" t="s">
        <v>442</v>
      </c>
      <c r="H10" s="592"/>
      <c r="I10" s="594"/>
      <c r="J10" s="606" t="s">
        <v>403</v>
      </c>
      <c r="K10" s="594"/>
      <c r="L10" s="611"/>
      <c r="M10" s="594"/>
      <c r="N10" s="602"/>
      <c r="O10" s="594"/>
      <c r="P10" s="594"/>
      <c r="Q10" s="593"/>
      <c r="R10" s="580"/>
      <c r="S10" s="612">
        <f>D10</f>
        <v>1992907.7599999995</v>
      </c>
      <c r="T10" s="613">
        <f>E10</f>
        <v>2197901.4662864143</v>
      </c>
      <c r="U10" s="580"/>
      <c r="V10" s="580"/>
      <c r="W10" s="580"/>
      <c r="X10" s="580" t="s">
        <v>443</v>
      </c>
    </row>
    <row r="11" spans="1:24">
      <c r="A11" s="614" t="s">
        <v>444</v>
      </c>
      <c r="B11" s="590">
        <v>67.5</v>
      </c>
      <c r="C11" s="590">
        <f>+B7</f>
        <v>70</v>
      </c>
      <c r="D11" s="608">
        <f>4720*B11</f>
        <v>318600</v>
      </c>
      <c r="E11" s="615">
        <f>4720*C11</f>
        <v>330400</v>
      </c>
      <c r="F11" s="616">
        <f>+E11-D11</f>
        <v>11800</v>
      </c>
      <c r="G11" s="592" t="s">
        <v>11</v>
      </c>
      <c r="H11" s="617"/>
      <c r="I11" s="594"/>
      <c r="J11" s="618" t="s">
        <v>10</v>
      </c>
      <c r="K11" s="592"/>
      <c r="L11" s="619"/>
      <c r="M11" s="580"/>
      <c r="N11" s="602" t="s">
        <v>331</v>
      </c>
      <c r="O11" s="594"/>
      <c r="P11" s="594" t="s">
        <v>330</v>
      </c>
      <c r="Q11" s="593" t="s">
        <v>445</v>
      </c>
      <c r="R11" s="580"/>
      <c r="S11" s="612">
        <f>D11</f>
        <v>318600</v>
      </c>
      <c r="T11" s="613">
        <f>E11</f>
        <v>330400</v>
      </c>
      <c r="U11" s="580"/>
      <c r="V11" s="580"/>
      <c r="W11" s="580"/>
      <c r="X11" s="592" t="s">
        <v>437</v>
      </c>
    </row>
    <row r="12" spans="1:24">
      <c r="A12" s="585" t="s">
        <v>446</v>
      </c>
      <c r="B12" s="580"/>
      <c r="C12" s="580"/>
      <c r="D12" s="620">
        <f>D10-D11</f>
        <v>1674307.7599999995</v>
      </c>
      <c r="E12" s="621">
        <f>E10-E11</f>
        <v>1867501.4662864143</v>
      </c>
      <c r="F12" s="622">
        <f>E12-D12</f>
        <v>193193.70628641476</v>
      </c>
      <c r="G12" s="623" t="s">
        <v>447</v>
      </c>
      <c r="H12" s="624" t="s">
        <v>331</v>
      </c>
      <c r="I12" s="594"/>
      <c r="J12" s="625" t="s">
        <v>21</v>
      </c>
      <c r="K12" s="617"/>
      <c r="L12" s="611"/>
      <c r="M12" s="580" t="s">
        <v>0</v>
      </c>
      <c r="N12" s="602" t="s">
        <v>448</v>
      </c>
      <c r="O12" s="594"/>
      <c r="P12" s="594" t="s">
        <v>448</v>
      </c>
      <c r="Q12" s="593" t="s">
        <v>448</v>
      </c>
      <c r="R12" s="580"/>
      <c r="S12" s="612">
        <f>S10-S11</f>
        <v>1674307.7599999995</v>
      </c>
      <c r="T12" s="613">
        <f>T10-T11</f>
        <v>1867501.4662864143</v>
      </c>
      <c r="U12" s="580"/>
      <c r="V12" s="580"/>
      <c r="W12" s="580"/>
      <c r="X12" s="592" t="s">
        <v>403</v>
      </c>
    </row>
    <row r="13" spans="1:24">
      <c r="A13" s="585"/>
      <c r="B13" s="580"/>
      <c r="C13" s="580"/>
      <c r="D13" s="598"/>
      <c r="E13" s="626"/>
      <c r="F13" s="594"/>
      <c r="G13" s="580"/>
      <c r="H13" s="580"/>
      <c r="I13" s="580"/>
      <c r="J13" s="593"/>
      <c r="K13" s="594"/>
      <c r="L13" s="580"/>
      <c r="M13" s="580"/>
      <c r="N13" s="602"/>
      <c r="O13" s="594"/>
      <c r="P13" s="594"/>
      <c r="Q13" s="593"/>
      <c r="R13" s="580"/>
      <c r="S13" s="612"/>
      <c r="T13" s="613"/>
      <c r="U13" s="580"/>
      <c r="V13" s="580"/>
      <c r="W13" s="580"/>
      <c r="X13" s="592" t="s">
        <v>21</v>
      </c>
    </row>
    <row r="14" spans="1:24">
      <c r="A14" s="585" t="s">
        <v>449</v>
      </c>
      <c r="B14" s="580" t="s">
        <v>18</v>
      </c>
      <c r="C14" s="627">
        <v>15</v>
      </c>
      <c r="D14" s="628">
        <v>0.13</v>
      </c>
      <c r="E14" s="629">
        <f t="shared" ref="E14" si="0">ROUND(D14*(1+$E$8),2)</f>
        <v>0.14000000000000001</v>
      </c>
      <c r="F14" s="594"/>
      <c r="G14" s="630">
        <f t="shared" ref="G14:G26" si="1">E14-D14</f>
        <v>1.0000000000000009E-2</v>
      </c>
      <c r="H14" s="631">
        <f>'Rate Spread GRC'!I35</f>
        <v>2531.9166666666665</v>
      </c>
      <c r="I14" s="631"/>
      <c r="J14" s="613">
        <f>H14*E14*12</f>
        <v>4253.6200000000008</v>
      </c>
      <c r="K14" s="630"/>
      <c r="L14" s="586">
        <f t="shared" ref="L14:L26" si="2">(E14-D14)/D14</f>
        <v>7.6923076923076983E-2</v>
      </c>
      <c r="M14" s="580"/>
      <c r="N14" s="632">
        <v>3226</v>
      </c>
      <c r="O14" s="631"/>
      <c r="P14" s="631">
        <f t="shared" ref="P14:P18" si="3">Q14/D14/12</f>
        <v>887.5</v>
      </c>
      <c r="Q14" s="613">
        <v>1384.5</v>
      </c>
      <c r="R14" s="580"/>
      <c r="S14" s="612">
        <f t="shared" ref="S14:S18" si="4">P14*D14*12</f>
        <v>1384.5</v>
      </c>
      <c r="T14" s="613">
        <f>H14*E14*12</f>
        <v>4253.6200000000008</v>
      </c>
      <c r="U14" s="580"/>
      <c r="V14" s="633">
        <f>(J14-X14)/X14</f>
        <v>4.912638983435462E-2</v>
      </c>
      <c r="W14" s="580"/>
      <c r="X14" s="611">
        <v>4054.44</v>
      </c>
    </row>
    <row r="15" spans="1:24">
      <c r="A15" s="585"/>
      <c r="B15" s="580" t="s">
        <v>18</v>
      </c>
      <c r="C15" s="634" t="s">
        <v>450</v>
      </c>
      <c r="D15" s="628">
        <v>0.74</v>
      </c>
      <c r="E15" s="629">
        <f>ROUND(D15*(1+$E$8),2)-0.01</f>
        <v>0.8</v>
      </c>
      <c r="F15" s="594"/>
      <c r="G15" s="630">
        <f t="shared" si="1"/>
        <v>6.0000000000000053E-2</v>
      </c>
      <c r="H15" s="631">
        <f>100431-E29+D29</f>
        <v>100195</v>
      </c>
      <c r="I15" s="631"/>
      <c r="J15" s="613">
        <f>(H15)*E15*12</f>
        <v>961872</v>
      </c>
      <c r="K15" s="630"/>
      <c r="L15" s="586">
        <f t="shared" si="2"/>
        <v>8.1081081081081155E-2</v>
      </c>
      <c r="M15" s="580"/>
      <c r="N15" s="632">
        <v>130394</v>
      </c>
      <c r="O15" s="631"/>
      <c r="P15" s="631">
        <f t="shared" si="3"/>
        <v>30134.185810810814</v>
      </c>
      <c r="Q15" s="613">
        <v>267591.57</v>
      </c>
      <c r="R15" s="580"/>
      <c r="S15" s="612">
        <f t="shared" si="4"/>
        <v>267591.57</v>
      </c>
      <c r="T15" s="613">
        <f>(H15-E29)*E15*12</f>
        <v>909763.20000000007</v>
      </c>
      <c r="U15" s="580"/>
      <c r="V15" s="633">
        <f t="shared" ref="V15:V27" si="5">(J15-X15)/X15</f>
        <v>8.5991046088096518E-2</v>
      </c>
      <c r="W15" s="580"/>
      <c r="X15" s="611">
        <v>885708.96</v>
      </c>
    </row>
    <row r="16" spans="1:24">
      <c r="A16" s="585"/>
      <c r="B16" s="580" t="s">
        <v>18</v>
      </c>
      <c r="C16" s="627">
        <v>24</v>
      </c>
      <c r="D16" s="628">
        <v>1.56</v>
      </c>
      <c r="E16" s="629">
        <f>ROUND(D16*(1+$E$8),2)+0.01</f>
        <v>1.72</v>
      </c>
      <c r="F16" s="594"/>
      <c r="G16" s="630">
        <f t="shared" si="1"/>
        <v>0.15999999999999992</v>
      </c>
      <c r="H16" s="631">
        <f>'Rate Spread GRC'!I22</f>
        <v>18788.493749999969</v>
      </c>
      <c r="I16" s="631"/>
      <c r="J16" s="613">
        <f>H16*E16*12</f>
        <v>387794.51099999936</v>
      </c>
      <c r="K16" s="630"/>
      <c r="L16" s="586">
        <f t="shared" si="2"/>
        <v>0.10256410256410251</v>
      </c>
      <c r="M16" s="580"/>
      <c r="N16" s="632">
        <v>19694</v>
      </c>
      <c r="O16" s="631"/>
      <c r="P16" s="631">
        <f t="shared" si="3"/>
        <v>4988.3178418803418</v>
      </c>
      <c r="Q16" s="613">
        <v>93381.31</v>
      </c>
      <c r="R16" s="580"/>
      <c r="S16" s="612">
        <f t="shared" si="4"/>
        <v>93381.31</v>
      </c>
      <c r="T16" s="613">
        <f>H16*E16*12</f>
        <v>387794.51099999936</v>
      </c>
      <c r="U16" s="580"/>
      <c r="V16" s="633">
        <f t="shared" si="5"/>
        <v>0.11093037754062142</v>
      </c>
      <c r="W16" s="580"/>
      <c r="X16" s="611">
        <v>349071.83999999997</v>
      </c>
    </row>
    <row r="17" spans="1:24">
      <c r="A17" s="585"/>
      <c r="B17" s="580" t="s">
        <v>18</v>
      </c>
      <c r="C17" s="627">
        <v>33</v>
      </c>
      <c r="D17" s="628">
        <v>37.89</v>
      </c>
      <c r="E17" s="629">
        <f>ROUND(D17*(1+$E$8),2)+0.12</f>
        <v>41.669999999999995</v>
      </c>
      <c r="F17" s="594"/>
      <c r="G17" s="630">
        <f t="shared" si="1"/>
        <v>3.779999999999994</v>
      </c>
      <c r="H17" s="631">
        <v>0</v>
      </c>
      <c r="I17" s="631"/>
      <c r="J17" s="613">
        <f>H17*E17*12</f>
        <v>0</v>
      </c>
      <c r="K17" s="630"/>
      <c r="L17" s="586">
        <f t="shared" si="2"/>
        <v>9.9762470308788445E-2</v>
      </c>
      <c r="M17" s="580"/>
      <c r="N17" s="632">
        <v>1</v>
      </c>
      <c r="O17" s="631"/>
      <c r="P17" s="631">
        <f t="shared" si="3"/>
        <v>8.9579484472596102E-2</v>
      </c>
      <c r="Q17" s="613">
        <v>40.729999999999997</v>
      </c>
      <c r="R17" s="580"/>
      <c r="S17" s="612">
        <f t="shared" si="4"/>
        <v>40.729999999999997</v>
      </c>
      <c r="T17" s="613">
        <f>H17*E17*12</f>
        <v>0</v>
      </c>
      <c r="U17" s="580"/>
      <c r="V17" s="633">
        <f>V18</f>
        <v>0.1102058830815968</v>
      </c>
      <c r="W17" s="580"/>
      <c r="X17" s="611">
        <v>0</v>
      </c>
    </row>
    <row r="18" spans="1:24">
      <c r="A18" s="585"/>
      <c r="B18" s="580" t="s">
        <v>18</v>
      </c>
      <c r="C18" s="627">
        <v>36</v>
      </c>
      <c r="D18" s="628">
        <v>37.89</v>
      </c>
      <c r="E18" s="629">
        <f>ROUND(D18*(1+$E$8),2)+0.12</f>
        <v>41.669999999999995</v>
      </c>
      <c r="F18" s="594"/>
      <c r="G18" s="630">
        <f t="shared" si="1"/>
        <v>3.779999999999994</v>
      </c>
      <c r="H18" s="631">
        <f>'Rate Spread GRC'!I24</f>
        <v>1053.9138888888895</v>
      </c>
      <c r="I18" s="631"/>
      <c r="J18" s="613">
        <f>H18*E18*12</f>
        <v>526999.10100000026</v>
      </c>
      <c r="K18" s="630"/>
      <c r="L18" s="586">
        <f t="shared" si="2"/>
        <v>9.9762470308788445E-2</v>
      </c>
      <c r="M18" s="580"/>
      <c r="N18" s="632">
        <v>1318</v>
      </c>
      <c r="O18" s="631"/>
      <c r="P18" s="631">
        <f t="shared" si="3"/>
        <v>292.62980557754906</v>
      </c>
      <c r="Q18" s="613">
        <v>133052.92000000001</v>
      </c>
      <c r="R18" s="580"/>
      <c r="S18" s="612">
        <f t="shared" si="4"/>
        <v>133052.92000000001</v>
      </c>
      <c r="T18" s="613">
        <f>H18*E18*12</f>
        <v>526999.10100000026</v>
      </c>
      <c r="U18" s="580"/>
      <c r="V18" s="633">
        <f t="shared" si="5"/>
        <v>0.1102058830815968</v>
      </c>
      <c r="W18" s="580"/>
      <c r="X18" s="611">
        <v>474685.92000000004</v>
      </c>
    </row>
    <row r="19" spans="1:24">
      <c r="A19" s="585"/>
      <c r="B19" s="580" t="s">
        <v>18</v>
      </c>
      <c r="C19" s="627">
        <v>40</v>
      </c>
      <c r="D19" s="628">
        <v>15.65</v>
      </c>
      <c r="E19" s="629">
        <f>ROUND(D19*(1+$E$8),2)+0.07</f>
        <v>17.23</v>
      </c>
      <c r="F19" s="635" t="s">
        <v>451</v>
      </c>
      <c r="G19" s="630">
        <f t="shared" si="1"/>
        <v>1.58</v>
      </c>
      <c r="H19" s="631">
        <f>'Rate Spread GRC'!I25</f>
        <v>5247.0299819759166</v>
      </c>
      <c r="I19" s="631"/>
      <c r="J19" s="613">
        <f>H19*E19</f>
        <v>90406.326589445045</v>
      </c>
      <c r="K19" s="630"/>
      <c r="L19" s="586">
        <f t="shared" si="2"/>
        <v>0.10095846645367412</v>
      </c>
      <c r="M19" s="630"/>
      <c r="N19" s="632">
        <v>3590</v>
      </c>
      <c r="O19" s="631"/>
      <c r="P19" s="631">
        <f>Q19/D19</f>
        <v>994.33546325878592</v>
      </c>
      <c r="Q19" s="613">
        <v>15561.35</v>
      </c>
      <c r="R19" s="580"/>
      <c r="S19" s="612">
        <f>P19*D19</f>
        <v>15561.35</v>
      </c>
      <c r="T19" s="613">
        <f>H19*E19</f>
        <v>90406.326589445045</v>
      </c>
      <c r="U19" s="580"/>
      <c r="V19" s="633">
        <f t="shared" si="5"/>
        <v>9.8243741899744233E-2</v>
      </c>
      <c r="W19" s="580"/>
      <c r="X19" s="611">
        <v>82319</v>
      </c>
    </row>
    <row r="20" spans="1:24">
      <c r="A20" s="585"/>
      <c r="B20" s="580" t="s">
        <v>18</v>
      </c>
      <c r="C20" s="627" t="s">
        <v>452</v>
      </c>
      <c r="D20" s="628">
        <v>257.5</v>
      </c>
      <c r="E20" s="629">
        <f>ROUND(D20*(1+$E$8),2)+0.71</f>
        <v>283.04999999999995</v>
      </c>
      <c r="F20" s="594"/>
      <c r="G20" s="630">
        <f t="shared" si="1"/>
        <v>25.549999999999955</v>
      </c>
      <c r="H20" s="631">
        <f>'Rate Spread GRC'!I26</f>
        <v>1</v>
      </c>
      <c r="I20" s="631"/>
      <c r="J20" s="613">
        <f t="shared" ref="J20:J26" si="6">H20*E20*12</f>
        <v>3396.5999999999995</v>
      </c>
      <c r="K20" s="630"/>
      <c r="L20" s="586">
        <f t="shared" si="2"/>
        <v>9.9223300970873604E-2</v>
      </c>
      <c r="M20" s="630"/>
      <c r="N20" s="632">
        <v>1</v>
      </c>
      <c r="O20" s="631"/>
      <c r="P20" s="631">
        <f t="shared" ref="P20:P26" si="7">Q20/D20/12</f>
        <v>0.29126213592233008</v>
      </c>
      <c r="Q20" s="613">
        <v>900</v>
      </c>
      <c r="R20" s="580"/>
      <c r="S20" s="612">
        <f t="shared" ref="S20:S26" si="8">P20*D20*12</f>
        <v>900</v>
      </c>
      <c r="T20" s="613">
        <f t="shared" ref="T20:T26" si="9">H20*E20*12</f>
        <v>3396.5999999999995</v>
      </c>
      <c r="U20" s="580"/>
      <c r="V20" s="633">
        <f t="shared" si="5"/>
        <v>9.9223300970873604E-2</v>
      </c>
      <c r="W20" s="580"/>
      <c r="X20" s="611">
        <v>3090</v>
      </c>
    </row>
    <row r="21" spans="1:24">
      <c r="A21" s="585"/>
      <c r="B21" s="580" t="s">
        <v>18</v>
      </c>
      <c r="C21" s="627" t="s">
        <v>453</v>
      </c>
      <c r="D21" s="628">
        <v>257.5</v>
      </c>
      <c r="E21" s="629">
        <f>ROUND(D21*(1+$E$8),2)+0.71</f>
        <v>283.04999999999995</v>
      </c>
      <c r="F21" s="594"/>
      <c r="G21" s="630">
        <f t="shared" si="1"/>
        <v>25.549999999999955</v>
      </c>
      <c r="H21" s="631">
        <f>'Rate Spread GRC'!I27</f>
        <v>62.012626262626249</v>
      </c>
      <c r="I21" s="631"/>
      <c r="J21" s="613">
        <f t="shared" si="6"/>
        <v>210632.08636363625</v>
      </c>
      <c r="K21" s="630"/>
      <c r="L21" s="586">
        <f t="shared" si="2"/>
        <v>9.9223300970873604E-2</v>
      </c>
      <c r="M21" s="630"/>
      <c r="N21" s="632">
        <v>77</v>
      </c>
      <c r="O21" s="631"/>
      <c r="P21" s="631">
        <f t="shared" si="7"/>
        <v>18.803330097087379</v>
      </c>
      <c r="Q21" s="613">
        <v>58102.29</v>
      </c>
      <c r="R21" s="580"/>
      <c r="S21" s="612">
        <f t="shared" si="8"/>
        <v>58102.29</v>
      </c>
      <c r="T21" s="613">
        <f t="shared" si="9"/>
        <v>210632.08636363625</v>
      </c>
      <c r="U21" s="580"/>
      <c r="V21" s="633">
        <f t="shared" si="5"/>
        <v>0.15535124986910345</v>
      </c>
      <c r="W21" s="580"/>
      <c r="X21" s="611">
        <v>182310</v>
      </c>
    </row>
    <row r="22" spans="1:24">
      <c r="A22" s="585"/>
      <c r="B22" s="580" t="s">
        <v>18</v>
      </c>
      <c r="C22" s="627">
        <v>51</v>
      </c>
      <c r="D22" s="628">
        <v>2.15</v>
      </c>
      <c r="E22" s="629">
        <f>ROUND(D22*(1+$E$8),2)+0.02</f>
        <v>2.38</v>
      </c>
      <c r="F22" s="636"/>
      <c r="G22" s="630">
        <f t="shared" si="1"/>
        <v>0.22999999999999998</v>
      </c>
      <c r="H22" s="631">
        <f>'Rate Spread GRC'!I36</f>
        <v>163</v>
      </c>
      <c r="I22" s="631"/>
      <c r="J22" s="613">
        <f t="shared" si="6"/>
        <v>4655.28</v>
      </c>
      <c r="K22" s="630"/>
      <c r="L22" s="586">
        <f t="shared" si="2"/>
        <v>0.10697674418604651</v>
      </c>
      <c r="M22" s="594"/>
      <c r="N22" s="632">
        <v>149</v>
      </c>
      <c r="O22" s="631"/>
      <c r="P22" s="631">
        <f t="shared" si="7"/>
        <v>40.639922480620157</v>
      </c>
      <c r="Q22" s="613">
        <v>1048.51</v>
      </c>
      <c r="R22" s="580"/>
      <c r="S22" s="612">
        <f t="shared" si="8"/>
        <v>1048.51</v>
      </c>
      <c r="T22" s="613">
        <f t="shared" si="9"/>
        <v>4655.28</v>
      </c>
      <c r="U22" s="580"/>
      <c r="V22" s="633">
        <f t="shared" si="5"/>
        <v>0.10697674418604655</v>
      </c>
      <c r="W22" s="580"/>
      <c r="X22" s="611">
        <v>4205.3999999999996</v>
      </c>
    </row>
    <row r="23" spans="1:24">
      <c r="A23" s="585"/>
      <c r="B23" s="580" t="s">
        <v>18</v>
      </c>
      <c r="C23" s="627">
        <v>52</v>
      </c>
      <c r="D23" s="628">
        <v>2.15</v>
      </c>
      <c r="E23" s="629">
        <f>ROUND(D23*(1+$E$8),2)+0.02</f>
        <v>2.38</v>
      </c>
      <c r="F23" s="594"/>
      <c r="G23" s="630">
        <f t="shared" si="1"/>
        <v>0.22999999999999998</v>
      </c>
      <c r="H23" s="631">
        <f>'Rate Spread GRC'!I37</f>
        <v>15</v>
      </c>
      <c r="I23" s="631"/>
      <c r="J23" s="613">
        <f t="shared" si="6"/>
        <v>428.4</v>
      </c>
      <c r="K23" s="630"/>
      <c r="L23" s="586">
        <f t="shared" si="2"/>
        <v>0.10697674418604651</v>
      </c>
      <c r="M23" s="594"/>
      <c r="N23" s="632">
        <v>28</v>
      </c>
      <c r="O23" s="631"/>
      <c r="P23" s="631">
        <f t="shared" si="7"/>
        <v>6.3860465116279066</v>
      </c>
      <c r="Q23" s="613">
        <v>164.76</v>
      </c>
      <c r="R23" s="580"/>
      <c r="S23" s="612">
        <f t="shared" si="8"/>
        <v>164.76</v>
      </c>
      <c r="T23" s="613">
        <f t="shared" si="9"/>
        <v>428.4</v>
      </c>
      <c r="U23" s="580"/>
      <c r="V23" s="633">
        <f t="shared" si="5"/>
        <v>-7.7519379844961239E-2</v>
      </c>
      <c r="W23" s="580"/>
      <c r="X23" s="611">
        <v>464.4</v>
      </c>
    </row>
    <row r="24" spans="1:24">
      <c r="A24" s="585"/>
      <c r="B24" s="580" t="s">
        <v>18</v>
      </c>
      <c r="C24" s="627">
        <v>53</v>
      </c>
      <c r="D24" s="628">
        <v>2.15</v>
      </c>
      <c r="E24" s="629">
        <f>ROUND(D24*(1+$E$8),2)+0.02</f>
        <v>2.38</v>
      </c>
      <c r="F24" s="594"/>
      <c r="G24" s="630">
        <f t="shared" si="1"/>
        <v>0.22999999999999998</v>
      </c>
      <c r="H24" s="631">
        <f>'Rate Spread GRC'!I38</f>
        <v>217.08333333333334</v>
      </c>
      <c r="I24" s="631"/>
      <c r="J24" s="613">
        <f t="shared" si="6"/>
        <v>6199.9</v>
      </c>
      <c r="K24" s="630"/>
      <c r="L24" s="586">
        <f t="shared" si="2"/>
        <v>0.10697674418604651</v>
      </c>
      <c r="M24" s="594"/>
      <c r="N24" s="632">
        <v>264</v>
      </c>
      <c r="O24" s="631"/>
      <c r="P24" s="631">
        <f t="shared" si="7"/>
        <v>74.072868217054264</v>
      </c>
      <c r="Q24" s="613">
        <v>1911.08</v>
      </c>
      <c r="R24" s="580"/>
      <c r="S24" s="612">
        <f t="shared" si="8"/>
        <v>1911.08</v>
      </c>
      <c r="T24" s="613">
        <f t="shared" si="9"/>
        <v>6199.9</v>
      </c>
      <c r="U24" s="580"/>
      <c r="V24" s="633">
        <f t="shared" si="5"/>
        <v>9.2300916138125383E-2</v>
      </c>
      <c r="W24" s="580"/>
      <c r="X24" s="611">
        <v>5676</v>
      </c>
    </row>
    <row r="25" spans="1:24">
      <c r="A25" s="585"/>
      <c r="B25" s="580" t="s">
        <v>18</v>
      </c>
      <c r="C25" s="627">
        <v>54</v>
      </c>
      <c r="D25" s="628">
        <v>0.75</v>
      </c>
      <c r="E25" s="629">
        <f>ROUND(D25*(1+$E$8),2)</f>
        <v>0.82</v>
      </c>
      <c r="F25" s="594"/>
      <c r="G25" s="630">
        <f t="shared" si="1"/>
        <v>6.9999999999999951E-2</v>
      </c>
      <c r="H25" s="631">
        <f>'Rate Spread GRC'!I29</f>
        <v>29.977777777777749</v>
      </c>
      <c r="I25" s="631"/>
      <c r="J25" s="613">
        <f t="shared" si="6"/>
        <v>294.98133333333305</v>
      </c>
      <c r="K25" s="630"/>
      <c r="L25" s="586">
        <f t="shared" si="2"/>
        <v>9.3333333333333268E-2</v>
      </c>
      <c r="M25" s="594"/>
      <c r="N25" s="632">
        <v>34</v>
      </c>
      <c r="O25" s="631"/>
      <c r="P25" s="631">
        <f t="shared" si="7"/>
        <v>8.6244444444444444</v>
      </c>
      <c r="Q25" s="613">
        <v>77.62</v>
      </c>
      <c r="R25" s="580"/>
      <c r="S25" s="612">
        <f t="shared" si="8"/>
        <v>77.62</v>
      </c>
      <c r="T25" s="613">
        <f t="shared" si="9"/>
        <v>294.98133333333305</v>
      </c>
      <c r="U25" s="580"/>
      <c r="V25" s="633">
        <f t="shared" si="5"/>
        <v>0.11735353535353429</v>
      </c>
      <c r="W25" s="580"/>
      <c r="X25" s="611">
        <v>264</v>
      </c>
    </row>
    <row r="26" spans="1:24">
      <c r="A26" s="585"/>
      <c r="B26" s="580" t="s">
        <v>18</v>
      </c>
      <c r="C26" s="627">
        <v>57</v>
      </c>
      <c r="D26" s="628">
        <v>2.15</v>
      </c>
      <c r="E26" s="629">
        <f>ROUND(D26*(1+$E$8),2)+0.02</f>
        <v>2.38</v>
      </c>
      <c r="F26" s="594"/>
      <c r="G26" s="630">
        <f t="shared" si="1"/>
        <v>0.22999999999999998</v>
      </c>
      <c r="H26" s="637">
        <f>'Rate Spread GRC'!I39</f>
        <v>33.916666666666664</v>
      </c>
      <c r="I26" s="631"/>
      <c r="J26" s="638">
        <f t="shared" si="6"/>
        <v>968.66</v>
      </c>
      <c r="K26" s="639"/>
      <c r="L26" s="586">
        <f t="shared" si="2"/>
        <v>0.10697674418604651</v>
      </c>
      <c r="M26" s="594"/>
      <c r="N26" s="632">
        <v>66</v>
      </c>
      <c r="O26" s="631"/>
      <c r="P26" s="631">
        <f t="shared" si="7"/>
        <v>18.634883720930233</v>
      </c>
      <c r="Q26" s="613">
        <v>480.78</v>
      </c>
      <c r="R26" s="580"/>
      <c r="S26" s="612">
        <f t="shared" si="8"/>
        <v>480.78</v>
      </c>
      <c r="T26" s="613">
        <f t="shared" si="9"/>
        <v>968.66</v>
      </c>
      <c r="U26" s="580"/>
      <c r="V26" s="633">
        <f t="shared" si="5"/>
        <v>-8.4269238041217609E-2</v>
      </c>
      <c r="W26" s="580"/>
      <c r="X26" s="611">
        <v>1057.8</v>
      </c>
    </row>
    <row r="27" spans="1:24">
      <c r="A27" s="585"/>
      <c r="B27" s="580"/>
      <c r="C27" s="580"/>
      <c r="D27" s="598"/>
      <c r="E27" s="640"/>
      <c r="F27" s="594"/>
      <c r="G27" s="594"/>
      <c r="H27" s="631">
        <f>SUM(H14:H26)</f>
        <v>128338.34469157184</v>
      </c>
      <c r="I27" s="631"/>
      <c r="J27" s="613">
        <f>SUM(J14:J26)</f>
        <v>2197901.4662864143</v>
      </c>
      <c r="K27" s="630"/>
      <c r="L27" s="630"/>
      <c r="M27" s="594"/>
      <c r="N27" s="632">
        <v>158986</v>
      </c>
      <c r="O27" s="631"/>
      <c r="P27" s="631">
        <f>SUM(P14:P26)</f>
        <v>37464.511258619648</v>
      </c>
      <c r="Q27" s="613">
        <v>574056.87</v>
      </c>
      <c r="R27" s="580"/>
      <c r="S27" s="612">
        <f>SUM(S14:S26)</f>
        <v>573697.42000000004</v>
      </c>
      <c r="T27" s="613">
        <f>SUM(T14:T26)</f>
        <v>2145792.6662864145</v>
      </c>
      <c r="U27" s="580"/>
      <c r="V27" s="633">
        <f t="shared" si="5"/>
        <v>0.10286161276546728</v>
      </c>
      <c r="W27" s="580"/>
      <c r="X27" s="611">
        <v>1992907.7599999995</v>
      </c>
    </row>
    <row r="28" spans="1:24">
      <c r="A28" s="627" t="s">
        <v>0</v>
      </c>
      <c r="B28" s="585" t="s">
        <v>0</v>
      </c>
      <c r="C28" s="580"/>
      <c r="D28" s="641"/>
      <c r="E28" s="640"/>
      <c r="F28" s="594"/>
      <c r="G28" s="594"/>
      <c r="H28" s="594"/>
      <c r="I28" s="594"/>
      <c r="J28" s="593"/>
      <c r="K28" s="594"/>
    </row>
    <row r="29" spans="1:24">
      <c r="A29" s="585" t="s">
        <v>454</v>
      </c>
      <c r="B29" s="580" t="s">
        <v>0</v>
      </c>
      <c r="C29" s="585" t="s">
        <v>0</v>
      </c>
      <c r="D29" s="642">
        <v>5192</v>
      </c>
      <c r="E29" s="643">
        <v>5428</v>
      </c>
      <c r="F29" s="644">
        <f>E29-D29</f>
        <v>236</v>
      </c>
      <c r="G29" s="600"/>
      <c r="H29" s="600"/>
      <c r="I29" s="600"/>
      <c r="J29" s="616">
        <f>+J27-E48</f>
        <v>82.522171124815941</v>
      </c>
      <c r="K29" s="594"/>
    </row>
    <row r="30" spans="1:24">
      <c r="A30" s="627"/>
      <c r="B30" s="580"/>
      <c r="C30" s="585"/>
      <c r="D30" s="645"/>
      <c r="E30" s="646"/>
      <c r="F30" s="647"/>
      <c r="G30" s="594"/>
      <c r="H30" s="594"/>
      <c r="I30" s="594"/>
      <c r="J30" s="648" t="s">
        <v>455</v>
      </c>
      <c r="K30" s="594"/>
    </row>
    <row r="31" spans="1:24">
      <c r="A31" s="649" t="s">
        <v>456</v>
      </c>
      <c r="B31" s="580"/>
      <c r="C31" s="585"/>
      <c r="D31" s="650"/>
      <c r="E31" s="646"/>
      <c r="F31" s="647"/>
      <c r="G31" s="594"/>
      <c r="H31" s="594"/>
      <c r="I31" s="594"/>
      <c r="J31" s="594"/>
      <c r="K31" s="594"/>
    </row>
    <row r="32" spans="1:24">
      <c r="A32" s="627" t="s">
        <v>457</v>
      </c>
      <c r="B32" s="580"/>
      <c r="C32" s="585"/>
      <c r="D32" s="650"/>
      <c r="E32" s="646"/>
      <c r="F32" s="647"/>
      <c r="G32" s="594"/>
      <c r="H32" s="594"/>
      <c r="I32" s="594"/>
      <c r="J32" s="594"/>
      <c r="K32" s="594"/>
    </row>
    <row r="33" spans="1:23">
      <c r="A33" s="627"/>
      <c r="B33" s="580"/>
      <c r="C33" s="585"/>
      <c r="D33" s="650"/>
      <c r="E33" s="646"/>
      <c r="F33" s="647"/>
      <c r="G33" s="592" t="s">
        <v>22</v>
      </c>
      <c r="H33" s="592" t="s">
        <v>122</v>
      </c>
      <c r="I33" s="594"/>
      <c r="J33" s="594"/>
      <c r="K33" s="594"/>
      <c r="W33" t="s">
        <v>0</v>
      </c>
    </row>
    <row r="34" spans="1:23">
      <c r="A34" s="651" t="s">
        <v>458</v>
      </c>
      <c r="B34" s="580"/>
      <c r="C34" s="585"/>
      <c r="D34" s="650" t="s">
        <v>440</v>
      </c>
      <c r="E34" s="646" t="s">
        <v>441</v>
      </c>
      <c r="F34" s="647"/>
      <c r="G34" s="592" t="s">
        <v>459</v>
      </c>
      <c r="H34" s="592" t="s">
        <v>459</v>
      </c>
      <c r="I34" s="594"/>
      <c r="J34" s="594"/>
      <c r="K34" s="594"/>
    </row>
    <row r="35" spans="1:23">
      <c r="A35" s="580" t="s">
        <v>460</v>
      </c>
      <c r="B35" s="580"/>
      <c r="C35" s="580"/>
      <c r="D35" s="652">
        <v>322.48</v>
      </c>
      <c r="E35" s="652">
        <f>E44</f>
        <v>344.0344406992059</v>
      </c>
      <c r="F35" s="580"/>
      <c r="G35" s="653">
        <f>E35-D35</f>
        <v>21.554440699205884</v>
      </c>
      <c r="H35" s="654">
        <f>G35/D35</f>
        <v>6.6839620129018493E-2</v>
      </c>
      <c r="I35" s="580"/>
      <c r="J35" s="580" t="s">
        <v>0</v>
      </c>
      <c r="K35" s="580"/>
      <c r="L35" s="655"/>
    </row>
    <row r="36" spans="1:23">
      <c r="A36" s="627" t="s">
        <v>461</v>
      </c>
      <c r="B36" s="580"/>
      <c r="C36" s="580"/>
      <c r="D36" s="656">
        <f>+B11</f>
        <v>67.5</v>
      </c>
      <c r="E36" s="656">
        <f>+C11</f>
        <v>70</v>
      </c>
      <c r="F36" s="580"/>
      <c r="G36" s="580"/>
      <c r="H36" s="580"/>
      <c r="I36" s="580"/>
      <c r="J36" s="580"/>
      <c r="K36" s="580"/>
    </row>
    <row r="37" spans="1:23">
      <c r="A37" s="627" t="s">
        <v>462</v>
      </c>
      <c r="B37" s="580"/>
      <c r="C37" s="580"/>
      <c r="D37" s="652">
        <f>SUM(D35:D36)</f>
        <v>389.98</v>
      </c>
      <c r="E37" s="652">
        <f>SUM(E35:E36)</f>
        <v>414.0344406992059</v>
      </c>
      <c r="F37" s="580"/>
      <c r="G37" s="580"/>
      <c r="H37" s="580"/>
      <c r="I37" s="580"/>
      <c r="J37" s="580"/>
      <c r="K37" s="580"/>
    </row>
    <row r="38" spans="1:23">
      <c r="A38" s="627"/>
      <c r="B38" s="580"/>
      <c r="C38" s="580"/>
      <c r="D38" s="652"/>
      <c r="E38" s="652"/>
      <c r="F38" s="580"/>
      <c r="G38" s="580"/>
      <c r="H38" s="580"/>
      <c r="I38" s="580"/>
      <c r="J38" s="580"/>
      <c r="K38" s="580"/>
    </row>
    <row r="39" spans="1:23">
      <c r="A39" s="627" t="s">
        <v>463</v>
      </c>
      <c r="B39" s="580"/>
      <c r="C39" s="580"/>
      <c r="D39" s="657">
        <f>D10</f>
        <v>1992907.7599999995</v>
      </c>
      <c r="E39" s="658">
        <f>E10</f>
        <v>2197901.4662864143</v>
      </c>
      <c r="F39" s="654"/>
      <c r="G39" s="580"/>
      <c r="H39" s="580"/>
      <c r="I39" s="580"/>
      <c r="J39" s="580"/>
      <c r="K39" s="580"/>
    </row>
    <row r="40" spans="1:23">
      <c r="A40" s="659" t="s">
        <v>464</v>
      </c>
      <c r="B40" s="580"/>
      <c r="C40" s="580"/>
      <c r="D40" s="657">
        <f>D35*D29</f>
        <v>1674316.1600000001</v>
      </c>
      <c r="E40" s="657">
        <f>E35*E29</f>
        <v>1867418.9441152897</v>
      </c>
      <c r="F40" s="654"/>
      <c r="G40" s="660"/>
      <c r="H40" s="580"/>
      <c r="I40" s="580"/>
      <c r="J40" s="580"/>
      <c r="K40" s="580"/>
    </row>
    <row r="41" spans="1:23">
      <c r="A41" s="659"/>
      <c r="B41" s="580"/>
      <c r="C41" s="580"/>
      <c r="D41" s="657"/>
      <c r="E41" s="657"/>
      <c r="F41" s="580"/>
      <c r="G41" s="580"/>
      <c r="H41" s="580"/>
      <c r="I41" s="580"/>
      <c r="J41" s="580"/>
      <c r="K41" s="580"/>
    </row>
    <row r="42" spans="1:23">
      <c r="A42" s="627"/>
      <c r="B42" s="580"/>
      <c r="C42" s="580"/>
      <c r="D42" s="652"/>
      <c r="E42" s="652"/>
      <c r="F42" s="580"/>
      <c r="G42" s="580"/>
      <c r="H42" s="580"/>
      <c r="I42" s="661" t="s">
        <v>0</v>
      </c>
      <c r="J42" s="580"/>
      <c r="K42" s="580"/>
    </row>
    <row r="43" spans="1:23">
      <c r="A43" s="651" t="s">
        <v>465</v>
      </c>
      <c r="B43" s="580"/>
      <c r="C43" s="580"/>
      <c r="D43" s="652"/>
      <c r="E43" s="652"/>
      <c r="F43" s="580"/>
      <c r="G43" s="580"/>
      <c r="H43" s="580"/>
      <c r="I43" s="580"/>
      <c r="J43" s="580"/>
      <c r="K43" s="580"/>
    </row>
    <row r="44" spans="1:23">
      <c r="A44" s="627" t="s">
        <v>466</v>
      </c>
      <c r="B44" s="662">
        <f>1+B6</f>
        <v>1.0668396201290185</v>
      </c>
      <c r="C44" s="580"/>
      <c r="E44" s="652">
        <f>D35*B44</f>
        <v>344.0344406992059</v>
      </c>
      <c r="F44" s="580"/>
      <c r="G44" s="580"/>
      <c r="H44" s="580"/>
      <c r="I44" s="580"/>
      <c r="J44" s="580"/>
      <c r="K44" s="580"/>
    </row>
    <row r="45" spans="1:23">
      <c r="A45" s="627" t="s">
        <v>467</v>
      </c>
      <c r="B45" s="663">
        <f>+E29</f>
        <v>5428</v>
      </c>
      <c r="C45" s="580"/>
      <c r="E45" s="652"/>
      <c r="F45" s="580"/>
      <c r="G45" s="580"/>
      <c r="H45" s="580"/>
      <c r="I45" s="580"/>
      <c r="J45" s="580"/>
      <c r="K45" s="580"/>
    </row>
    <row r="46" spans="1:23">
      <c r="A46" s="664" t="s">
        <v>468</v>
      </c>
      <c r="B46" s="580"/>
      <c r="C46" s="580"/>
      <c r="E46" s="657">
        <f>+E44*B45</f>
        <v>1867418.9441152897</v>
      </c>
      <c r="F46" s="580"/>
      <c r="G46" s="660"/>
      <c r="H46" s="580"/>
      <c r="I46" s="580"/>
      <c r="J46" s="580"/>
      <c r="K46" s="580"/>
    </row>
    <row r="47" spans="1:23">
      <c r="A47" s="664" t="s">
        <v>469</v>
      </c>
      <c r="E47" s="665">
        <f>+E11</f>
        <v>330400</v>
      </c>
    </row>
    <row r="48" spans="1:23">
      <c r="A48" s="666" t="s">
        <v>470</v>
      </c>
      <c r="B48" s="667"/>
      <c r="C48" s="667"/>
      <c r="D48" s="668"/>
      <c r="E48" s="669">
        <f>SUM(E46:E47)</f>
        <v>2197818.9441152895</v>
      </c>
    </row>
    <row r="50" spans="1:1">
      <c r="A50" s="670" t="s">
        <v>471</v>
      </c>
    </row>
  </sheetData>
  <mergeCells count="4">
    <mergeCell ref="A1:J1"/>
    <mergeCell ref="A2:J2"/>
    <mergeCell ref="A3:J3"/>
    <mergeCell ref="B9:C9"/>
  </mergeCells>
  <pageMargins left="0.7" right="0.7" top="0.75" bottom="0.75" header="0.3" footer="0.3"/>
  <pageSetup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zoomScaleNormal="100" workbookViewId="0">
      <selection activeCell="AJ42" sqref="AJ42"/>
    </sheetView>
  </sheetViews>
  <sheetFormatPr defaultRowHeight="15.75"/>
  <cols>
    <col min="1" max="1" width="16.125" customWidth="1"/>
    <col min="3" max="3" width="10.5" bestFit="1" customWidth="1"/>
    <col min="5" max="5" width="9.625" customWidth="1"/>
    <col min="6" max="6" width="13.25" customWidth="1"/>
  </cols>
  <sheetData>
    <row r="1" spans="1:8">
      <c r="A1" s="671" t="s">
        <v>333</v>
      </c>
      <c r="B1" s="671"/>
      <c r="C1" s="671"/>
      <c r="D1" s="671"/>
      <c r="E1" s="671"/>
      <c r="F1" s="671"/>
    </row>
    <row r="2" spans="1:8">
      <c r="A2" s="671" t="s">
        <v>472</v>
      </c>
      <c r="B2" s="671"/>
      <c r="C2" s="671"/>
      <c r="D2" s="671"/>
      <c r="E2" s="671"/>
      <c r="F2" s="671"/>
    </row>
    <row r="3" spans="1:8">
      <c r="A3" s="671" t="s">
        <v>473</v>
      </c>
      <c r="B3" s="671"/>
      <c r="C3" s="671"/>
      <c r="D3" s="671"/>
      <c r="E3" s="671"/>
      <c r="F3" s="671"/>
    </row>
    <row r="4" spans="1:8">
      <c r="A4" s="580"/>
      <c r="B4" s="580"/>
      <c r="C4" s="580"/>
      <c r="D4" s="580"/>
      <c r="E4" s="580"/>
      <c r="F4" s="580"/>
    </row>
    <row r="5" spans="1:8">
      <c r="A5" s="580"/>
      <c r="B5" s="672"/>
      <c r="C5" s="672"/>
      <c r="D5" s="672"/>
      <c r="E5" s="672"/>
      <c r="F5" s="672"/>
      <c r="H5" s="673" t="s">
        <v>430</v>
      </c>
    </row>
    <row r="6" spans="1:8">
      <c r="A6" s="627" t="s">
        <v>474</v>
      </c>
      <c r="B6" s="601" t="s">
        <v>437</v>
      </c>
      <c r="C6" s="601" t="s">
        <v>475</v>
      </c>
      <c r="D6" s="601" t="s">
        <v>476</v>
      </c>
      <c r="E6" s="601" t="s">
        <v>477</v>
      </c>
      <c r="F6" s="592" t="s">
        <v>437</v>
      </c>
      <c r="H6" s="601" t="s">
        <v>477</v>
      </c>
    </row>
    <row r="7" spans="1:8">
      <c r="A7" s="674" t="s">
        <v>478</v>
      </c>
      <c r="B7" s="675" t="s">
        <v>331</v>
      </c>
      <c r="C7" s="675" t="s">
        <v>479</v>
      </c>
      <c r="D7" s="675" t="s">
        <v>480</v>
      </c>
      <c r="E7" s="676" t="s">
        <v>481</v>
      </c>
      <c r="F7" s="675" t="s">
        <v>482</v>
      </c>
      <c r="H7" s="676" t="s">
        <v>481</v>
      </c>
    </row>
    <row r="8" spans="1:8">
      <c r="A8" s="649" t="s">
        <v>483</v>
      </c>
      <c r="B8" s="677">
        <v>2312.5295341261431</v>
      </c>
      <c r="C8" s="611">
        <f>F8*E8/100</f>
        <v>1064648.2191056164</v>
      </c>
      <c r="D8" s="653">
        <f>C8/B8</f>
        <v>460.3825392906495</v>
      </c>
      <c r="E8" s="678">
        <f>ROUND(H8*(1+$E$14),3)</f>
        <v>7.29</v>
      </c>
      <c r="F8" s="677">
        <v>14604227.971270457</v>
      </c>
      <c r="H8" s="679">
        <v>6.3959999999999999</v>
      </c>
    </row>
    <row r="9" spans="1:8">
      <c r="A9" s="649" t="s">
        <v>484</v>
      </c>
      <c r="B9" s="677">
        <v>1766.7256956709446</v>
      </c>
      <c r="C9" s="611">
        <f>F9*E9/100</f>
        <v>539797.999229257</v>
      </c>
      <c r="D9" s="653">
        <f>C9/B9</f>
        <v>305.53582853973228</v>
      </c>
      <c r="E9" s="678">
        <f>ROUND(H9*(1+$E$14),3)</f>
        <v>4.9039999999999999</v>
      </c>
      <c r="F9" s="677">
        <v>11007300.147415517</v>
      </c>
      <c r="H9">
        <v>4.3029999999999999</v>
      </c>
    </row>
    <row r="10" spans="1:8">
      <c r="A10" s="649" t="s">
        <v>485</v>
      </c>
      <c r="B10" s="677">
        <v>1348.7447702029124</v>
      </c>
      <c r="C10" s="611">
        <f>F10*E10/100</f>
        <v>263007.37959576125</v>
      </c>
      <c r="D10" s="653">
        <f>C10/B10</f>
        <v>195.00159363449691</v>
      </c>
      <c r="E10" s="678">
        <f>ROUND(H10*(1+$E$14),3)</f>
        <v>3.0649999999999999</v>
      </c>
      <c r="F10" s="677">
        <v>8580991.1776757333</v>
      </c>
      <c r="H10" s="679">
        <v>2.6890000000000001</v>
      </c>
    </row>
    <row r="11" spans="1:8">
      <c r="A11" s="627" t="s">
        <v>475</v>
      </c>
      <c r="B11" s="677">
        <f>'Rate Design Low Inc Surcharge'!E29</f>
        <v>5428</v>
      </c>
      <c r="C11" s="611">
        <f>SUM(C8:C10)</f>
        <v>1867453.5979306346</v>
      </c>
      <c r="D11" s="653">
        <f>C11/B11</f>
        <v>344.04082496879784</v>
      </c>
      <c r="E11" s="678">
        <f>C11/F11*100</f>
        <v>5.4615852717507805</v>
      </c>
      <c r="F11" s="677">
        <f>SUM(F8:F10)</f>
        <v>34192519.296361707</v>
      </c>
      <c r="H11" s="679">
        <v>4.984</v>
      </c>
    </row>
    <row r="13" spans="1:8">
      <c r="B13" t="s">
        <v>0</v>
      </c>
    </row>
    <row r="14" spans="1:8">
      <c r="E14" s="597">
        <v>0.13969999999999999</v>
      </c>
    </row>
    <row r="16" spans="1:8">
      <c r="C16" s="680">
        <f>'Rate Design Low Inc Surcharge'!D40</f>
        <v>1674316.1600000001</v>
      </c>
      <c r="D16" s="655">
        <v>322.48</v>
      </c>
      <c r="H16" t="s">
        <v>0</v>
      </c>
    </row>
    <row r="17" spans="3:4">
      <c r="C17" s="680">
        <f>'Rate Design Low Inc Surcharge'!E40</f>
        <v>1867418.9441152897</v>
      </c>
      <c r="D17" s="655">
        <f>'Rate Design Low Inc Surcharge'!E35</f>
        <v>344.0344406992059</v>
      </c>
    </row>
  </sheetData>
  <mergeCells count="4">
    <mergeCell ref="A1:F1"/>
    <mergeCell ref="A2:F2"/>
    <mergeCell ref="A3:F3"/>
    <mergeCell ref="B5:F5"/>
  </mergeCells>
  <printOptions horizontalCentered="1"/>
  <pageMargins left="0.25" right="0.25" top="0.5" bottom="0.2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AJ59"/>
  <sheetViews>
    <sheetView view="pageBreakPreview" topLeftCell="B1" zoomScale="70" zoomScaleNormal="55" zoomScaleSheetLayoutView="70" workbookViewId="0">
      <selection activeCell="AJ42" sqref="AJ42"/>
    </sheetView>
  </sheetViews>
  <sheetFormatPr defaultColWidth="10.25" defaultRowHeight="15.75"/>
  <cols>
    <col min="1" max="1" width="0" style="1" hidden="1" customWidth="1"/>
    <col min="2" max="2" width="4.625" style="1" customWidth="1"/>
    <col min="3" max="3" width="2.125" style="1" customWidth="1"/>
    <col min="4" max="4" width="35.875" style="4" customWidth="1"/>
    <col min="5" max="5" width="2.125" style="4" customWidth="1"/>
    <col min="6" max="6" width="5.625" style="4" bestFit="1" customWidth="1"/>
    <col min="7" max="7" width="2.125" style="4" customWidth="1"/>
    <col min="8" max="8" width="9.25" style="1" hidden="1" customWidth="1"/>
    <col min="9" max="9" width="9.25" style="1" customWidth="1"/>
    <col min="10" max="10" width="2" style="1" customWidth="1"/>
    <col min="11" max="11" width="11" style="1" hidden="1" customWidth="1"/>
    <col min="12" max="12" width="11" style="1" bestFit="1" customWidth="1"/>
    <col min="13" max="13" width="2.875" style="1" customWidth="1"/>
    <col min="14" max="14" width="10.25" style="1" hidden="1" customWidth="1"/>
    <col min="15" max="15" width="10" style="1" hidden="1" customWidth="1"/>
    <col min="16" max="16" width="2.75" style="1" hidden="1" customWidth="1"/>
    <col min="17" max="17" width="14.625" style="1" customWidth="1"/>
    <col min="18" max="18" width="2" style="1" hidden="1" customWidth="1"/>
    <col min="19" max="19" width="20.25" style="1" hidden="1" customWidth="1"/>
    <col min="20" max="20" width="2.625" style="1" hidden="1" customWidth="1"/>
    <col min="21" max="21" width="10.5" style="1" hidden="1" customWidth="1"/>
    <col min="22" max="22" width="7.25" style="1" hidden="1" customWidth="1"/>
    <col min="23" max="23" width="11.875" style="1" customWidth="1"/>
    <col min="24" max="24" width="10.5" style="1" customWidth="1"/>
    <col min="25" max="25" width="10" style="1" hidden="1" customWidth="1"/>
    <col min="26" max="26" width="7.75" style="1" hidden="1" customWidth="1"/>
    <col min="27" max="27" width="2.625" style="1" customWidth="1"/>
    <col min="28" max="28" width="11.5" style="1" customWidth="1"/>
    <col min="29" max="29" width="3.875" style="1" customWidth="1"/>
    <col min="30" max="30" width="2.125" style="1" customWidth="1"/>
    <col min="31" max="31" width="3.125" style="1" customWidth="1"/>
    <col min="32" max="32" width="7.25" style="1" customWidth="1"/>
    <col min="33" max="33" width="0.125" style="1" customWidth="1"/>
    <col min="34" max="34" width="10.25" style="1" customWidth="1"/>
    <col min="35" max="35" width="13.5" style="1" bestFit="1" customWidth="1"/>
    <col min="36" max="16384" width="10.25" style="1"/>
  </cols>
  <sheetData>
    <row r="1" spans="2:36" ht="18.75">
      <c r="C1" s="2"/>
      <c r="D1" s="3"/>
      <c r="Q1" s="5" t="s">
        <v>0</v>
      </c>
    </row>
    <row r="2" spans="2:36">
      <c r="B2" s="6" t="s">
        <v>71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7"/>
    </row>
    <row r="3" spans="2:36">
      <c r="B3" s="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9"/>
      <c r="AD3" s="9"/>
      <c r="AE3" s="9"/>
      <c r="AF3" s="9"/>
      <c r="AG3" s="9"/>
    </row>
    <row r="4" spans="2:36">
      <c r="B4" s="8" t="s">
        <v>72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9"/>
      <c r="AD4" s="9"/>
      <c r="AE4" s="9"/>
      <c r="AF4" s="9"/>
      <c r="AG4" s="9"/>
    </row>
    <row r="5" spans="2:36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9"/>
      <c r="AD5" s="9"/>
      <c r="AE5" s="9"/>
      <c r="AF5" s="9"/>
      <c r="AG5" s="9"/>
    </row>
    <row r="6" spans="2:36">
      <c r="B6" s="8" t="s">
        <v>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9"/>
      <c r="AD6" s="9"/>
      <c r="AE6" s="9"/>
      <c r="AF6" s="9"/>
      <c r="AG6" s="9"/>
      <c r="AH6" s="5" t="s">
        <v>0</v>
      </c>
    </row>
    <row r="7" spans="2:36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7"/>
      <c r="AD7" s="7"/>
      <c r="AE7" s="7"/>
      <c r="AF7" s="7"/>
      <c r="AG7" s="7"/>
    </row>
    <row r="8" spans="2:36">
      <c r="M8" s="10"/>
      <c r="N8" s="11"/>
      <c r="O8" s="11"/>
      <c r="P8" s="12"/>
      <c r="Q8" s="12"/>
      <c r="R8" s="11"/>
      <c r="S8" s="11"/>
      <c r="T8" s="11"/>
      <c r="U8" s="12"/>
      <c r="V8" s="12"/>
      <c r="W8" s="12"/>
      <c r="X8" s="12"/>
      <c r="Y8" s="12"/>
      <c r="Z8" s="12"/>
      <c r="AA8" s="12"/>
      <c r="AC8" s="12"/>
      <c r="AD8" s="12"/>
      <c r="AE8" s="12"/>
      <c r="AF8" s="12"/>
      <c r="AG8" s="12"/>
      <c r="AH8" s="10"/>
      <c r="AI8" s="10"/>
      <c r="AJ8" s="10"/>
    </row>
    <row r="9" spans="2:36">
      <c r="N9" s="14" t="s">
        <v>8</v>
      </c>
      <c r="O9" s="14" t="s">
        <v>9</v>
      </c>
      <c r="P9" s="15"/>
      <c r="Q9" s="13" t="s">
        <v>10</v>
      </c>
      <c r="R9" s="16"/>
      <c r="S9" s="16"/>
      <c r="T9" s="17"/>
      <c r="AA9" s="15"/>
      <c r="AC9" s="15"/>
      <c r="AD9" s="15"/>
      <c r="AE9" s="15"/>
      <c r="AF9" s="15"/>
      <c r="AG9" s="15"/>
    </row>
    <row r="10" spans="2:36">
      <c r="F10" s="19" t="s">
        <v>12</v>
      </c>
      <c r="G10" s="19"/>
      <c r="H10" s="14" t="s">
        <v>13</v>
      </c>
      <c r="N10" s="13" t="s">
        <v>14</v>
      </c>
      <c r="O10" s="13" t="s">
        <v>14</v>
      </c>
      <c r="P10" s="20"/>
      <c r="Q10" s="13" t="s">
        <v>14</v>
      </c>
      <c r="R10" s="13"/>
      <c r="S10" s="13" t="s">
        <v>15</v>
      </c>
      <c r="T10" s="13"/>
      <c r="U10" s="17" t="s">
        <v>0</v>
      </c>
      <c r="V10" s="17"/>
      <c r="W10" s="21" t="s">
        <v>16</v>
      </c>
      <c r="X10" s="21"/>
      <c r="Y10" s="21"/>
      <c r="Z10" s="21"/>
      <c r="AA10" s="17"/>
      <c r="AB10" s="13" t="s">
        <v>73</v>
      </c>
      <c r="AC10" s="17"/>
      <c r="AD10" s="17"/>
      <c r="AE10" s="22"/>
      <c r="AF10" s="17"/>
      <c r="AG10" s="22"/>
    </row>
    <row r="11" spans="2:36">
      <c r="B11" s="22" t="s">
        <v>17</v>
      </c>
      <c r="F11" s="19" t="s">
        <v>18</v>
      </c>
      <c r="G11" s="19"/>
      <c r="H11" s="14" t="s">
        <v>19</v>
      </c>
      <c r="I11" s="14" t="s">
        <v>13</v>
      </c>
      <c r="K11" s="14" t="s">
        <v>20</v>
      </c>
      <c r="N11" s="14" t="s">
        <v>21</v>
      </c>
      <c r="O11" s="14" t="s">
        <v>21</v>
      </c>
      <c r="P11" s="22"/>
      <c r="Q11" s="23" t="s">
        <v>21</v>
      </c>
      <c r="R11" s="14"/>
      <c r="S11" s="14" t="s">
        <v>21</v>
      </c>
      <c r="T11" s="14"/>
      <c r="U11" s="24" t="s">
        <v>22</v>
      </c>
      <c r="V11" s="14" t="s">
        <v>14</v>
      </c>
      <c r="W11" s="24" t="s">
        <v>22</v>
      </c>
      <c r="X11" s="14" t="s">
        <v>73</v>
      </c>
      <c r="Y11" s="24" t="s">
        <v>15</v>
      </c>
      <c r="Z11" s="14" t="s">
        <v>15</v>
      </c>
      <c r="AA11" s="22"/>
      <c r="AB11" s="18" t="s">
        <v>74</v>
      </c>
      <c r="AC11" s="22"/>
      <c r="AD11" s="22"/>
      <c r="AE11" s="22"/>
      <c r="AF11" s="13"/>
      <c r="AG11" s="25"/>
      <c r="AH11" s="10"/>
    </row>
    <row r="12" spans="2:36">
      <c r="B12" s="26" t="s">
        <v>24</v>
      </c>
      <c r="D12" s="27" t="s">
        <v>25</v>
      </c>
      <c r="F12" s="27" t="s">
        <v>24</v>
      </c>
      <c r="G12" s="28"/>
      <c r="H12" s="29" t="s">
        <v>8</v>
      </c>
      <c r="I12" s="18" t="s">
        <v>19</v>
      </c>
      <c r="K12" s="29" t="s">
        <v>8</v>
      </c>
      <c r="L12" s="18" t="s">
        <v>20</v>
      </c>
      <c r="N12" s="30" t="s">
        <v>26</v>
      </c>
      <c r="O12" s="30" t="s">
        <v>26</v>
      </c>
      <c r="P12" s="13"/>
      <c r="Q12" s="31" t="s">
        <v>26</v>
      </c>
      <c r="R12" s="32"/>
      <c r="S12" s="30" t="s">
        <v>26</v>
      </c>
      <c r="T12" s="32"/>
      <c r="U12" s="33" t="s">
        <v>26</v>
      </c>
      <c r="V12" s="18" t="s">
        <v>27</v>
      </c>
      <c r="W12" s="33" t="s">
        <v>26</v>
      </c>
      <c r="X12" s="18" t="s">
        <v>27</v>
      </c>
      <c r="Y12" s="33" t="s">
        <v>26</v>
      </c>
      <c r="Z12" s="18" t="s">
        <v>27</v>
      </c>
      <c r="AA12" s="25"/>
      <c r="AB12" s="34" t="s">
        <v>28</v>
      </c>
      <c r="AC12" s="25"/>
      <c r="AD12" s="25"/>
      <c r="AE12" s="25"/>
      <c r="AF12" s="13"/>
      <c r="AG12" s="25"/>
      <c r="AH12" s="10"/>
    </row>
    <row r="13" spans="2:36">
      <c r="B13" s="35"/>
      <c r="D13" s="24" t="s">
        <v>29</v>
      </c>
      <c r="F13" s="24" t="s">
        <v>30</v>
      </c>
      <c r="G13" s="19"/>
      <c r="H13" s="24"/>
      <c r="I13" s="24" t="s">
        <v>31</v>
      </c>
      <c r="K13" s="24"/>
      <c r="L13" s="24" t="s">
        <v>32</v>
      </c>
      <c r="N13" s="24"/>
      <c r="O13" s="24" t="s">
        <v>33</v>
      </c>
      <c r="P13" s="24"/>
      <c r="Q13" s="24" t="s">
        <v>33</v>
      </c>
      <c r="R13" s="24"/>
      <c r="S13" s="24"/>
      <c r="T13" s="24"/>
      <c r="U13" s="24" t="s">
        <v>35</v>
      </c>
      <c r="V13" s="24" t="s">
        <v>36</v>
      </c>
      <c r="W13" s="24" t="s">
        <v>34</v>
      </c>
      <c r="X13" s="24" t="s">
        <v>35</v>
      </c>
      <c r="Y13" s="24" t="s">
        <v>36</v>
      </c>
      <c r="Z13" s="24" t="s">
        <v>37</v>
      </c>
      <c r="AA13" s="24"/>
      <c r="AB13" s="24" t="s">
        <v>36</v>
      </c>
      <c r="AC13" s="24"/>
      <c r="AD13" s="24"/>
      <c r="AE13" s="24"/>
      <c r="AF13" s="20"/>
      <c r="AG13" s="20"/>
      <c r="AH13" s="10"/>
    </row>
    <row r="14" spans="2:36">
      <c r="P14" s="24"/>
      <c r="Q14" s="24" t="s">
        <v>0</v>
      </c>
      <c r="V14" s="24" t="s">
        <v>41</v>
      </c>
      <c r="X14" s="24" t="s">
        <v>0</v>
      </c>
      <c r="Y14" s="24" t="s">
        <v>75</v>
      </c>
      <c r="Z14" s="24" t="s">
        <v>76</v>
      </c>
      <c r="AF14" s="10"/>
      <c r="AG14" s="10"/>
      <c r="AH14" s="10"/>
    </row>
    <row r="15" spans="2:36">
      <c r="D15" s="36" t="s">
        <v>45</v>
      </c>
      <c r="AF15" s="10"/>
      <c r="AG15" s="10"/>
      <c r="AH15" s="10"/>
    </row>
    <row r="16" spans="2:36">
      <c r="B16" s="22">
        <v>1</v>
      </c>
      <c r="D16" s="4" t="s">
        <v>46</v>
      </c>
      <c r="F16" s="37" t="s">
        <v>47</v>
      </c>
      <c r="G16" s="37"/>
      <c r="H16" s="38">
        <v>101336.91666666667</v>
      </c>
      <c r="I16" s="38">
        <f>'Billing Determinants'!C89/12</f>
        <v>104635.09245519141</v>
      </c>
      <c r="J16" s="5"/>
      <c r="K16" s="38">
        <v>1569938.6044392167</v>
      </c>
      <c r="L16" s="38">
        <f>'Billing Determinants'!C101/1000</f>
        <v>1572834.8567787264</v>
      </c>
      <c r="N16" s="39">
        <v>102672.94442530281</v>
      </c>
      <c r="O16" s="39">
        <f>'Billing Determinants'!I101/1000</f>
        <v>140088.11881608813</v>
      </c>
      <c r="P16" s="40"/>
      <c r="Q16" s="39">
        <f>'Billing Determinants'!L101/1000</f>
        <v>144770.12781608815</v>
      </c>
      <c r="R16" s="39"/>
      <c r="S16" s="41">
        <f>Q16+W16</f>
        <v>144612.84433041027</v>
      </c>
      <c r="T16" s="39"/>
      <c r="U16" s="39">
        <v>4682.009</v>
      </c>
      <c r="V16" s="42">
        <f>U16/O16</f>
        <v>3.342188502186029E-2</v>
      </c>
      <c r="W16" s="39">
        <f>(AB16/100)*L16</f>
        <v>-157.28348567787265</v>
      </c>
      <c r="X16" s="42">
        <f>W16/O16</f>
        <v>-1.1227467897142593E-3</v>
      </c>
      <c r="Y16" s="39">
        <f>O16+W16</f>
        <v>139930.83533041025</v>
      </c>
      <c r="Z16" s="42">
        <f>W16/O16</f>
        <v>-1.1227467897142593E-3</v>
      </c>
      <c r="AA16" s="40"/>
      <c r="AB16" s="43">
        <f>ROUND((((Q16/$Q$44)*$W$51)/L16)*100,3)</f>
        <v>-0.01</v>
      </c>
      <c r="AC16" s="40"/>
      <c r="AD16" s="40"/>
      <c r="AE16" s="40"/>
      <c r="AF16" s="45" t="s">
        <v>0</v>
      </c>
      <c r="AG16" s="46"/>
      <c r="AH16" s="47" t="s">
        <v>0</v>
      </c>
      <c r="AI16" s="5" t="s">
        <v>0</v>
      </c>
    </row>
    <row r="17" spans="2:36">
      <c r="H17" s="48"/>
      <c r="I17" s="48"/>
      <c r="K17" s="48"/>
      <c r="L17" s="48"/>
      <c r="N17" s="48"/>
      <c r="O17" s="48"/>
      <c r="P17" s="10"/>
      <c r="Q17" s="48"/>
      <c r="R17" s="10"/>
      <c r="S17" s="49"/>
      <c r="T17" s="10"/>
      <c r="U17" s="48"/>
      <c r="V17" s="50"/>
      <c r="W17" s="48"/>
      <c r="X17" s="51"/>
      <c r="Y17" s="48"/>
      <c r="Z17" s="51"/>
      <c r="AA17" s="10"/>
      <c r="AB17" s="52"/>
      <c r="AC17" s="10"/>
      <c r="AD17" s="10"/>
      <c r="AE17" s="10"/>
      <c r="AF17" s="53"/>
      <c r="AG17" s="10"/>
      <c r="AH17" s="10"/>
    </row>
    <row r="18" spans="2:36">
      <c r="V18" s="54"/>
      <c r="X18" s="54"/>
      <c r="Z18" s="54"/>
      <c r="AB18" s="55"/>
      <c r="AF18" s="53"/>
      <c r="AG18" s="10"/>
      <c r="AH18" s="10"/>
    </row>
    <row r="19" spans="2:36">
      <c r="B19" s="56">
        <f>MAX(B$13:B18)+1</f>
        <v>2</v>
      </c>
      <c r="D19" s="36" t="s">
        <v>48</v>
      </c>
      <c r="H19" s="57">
        <f>SUM(H16:H16)</f>
        <v>101336.91666666667</v>
      </c>
      <c r="I19" s="57">
        <f>SUM(I16:I16)</f>
        <v>104635.09245519141</v>
      </c>
      <c r="K19" s="57">
        <f>SUM(K16:K16)</f>
        <v>1569938.6044392167</v>
      </c>
      <c r="L19" s="57">
        <f>SUM(L16:L16)</f>
        <v>1572834.8567787264</v>
      </c>
      <c r="M19" s="57"/>
      <c r="N19" s="58">
        <f>SUM(N16:N16)</f>
        <v>102672.94442530281</v>
      </c>
      <c r="O19" s="58">
        <f>SUM(O16:O16)</f>
        <v>140088.11881608813</v>
      </c>
      <c r="P19" s="40"/>
      <c r="Q19" s="58">
        <f>SUM(Q16:Q16)</f>
        <v>144770.12781608815</v>
      </c>
      <c r="R19" s="58"/>
      <c r="S19" s="58">
        <f>SUM(S16:S16)</f>
        <v>144612.84433041027</v>
      </c>
      <c r="T19" s="58"/>
      <c r="U19" s="39">
        <f>SUM(U16)</f>
        <v>4682.009</v>
      </c>
      <c r="V19" s="42">
        <f>U19/O19</f>
        <v>3.342188502186029E-2</v>
      </c>
      <c r="W19" s="39">
        <f>SUM(W16)</f>
        <v>-157.28348567787265</v>
      </c>
      <c r="X19" s="42">
        <f>W19/O19</f>
        <v>-1.1227467897142593E-3</v>
      </c>
      <c r="Y19" s="39">
        <f>U19+W19</f>
        <v>4524.7255143221273</v>
      </c>
      <c r="Z19" s="42">
        <f>W19/O19</f>
        <v>-1.1227467897142593E-3</v>
      </c>
      <c r="AA19" s="40"/>
      <c r="AB19" s="59"/>
      <c r="AC19" s="40"/>
      <c r="AD19" s="40"/>
      <c r="AE19" s="40"/>
      <c r="AF19" s="60"/>
      <c r="AG19" s="46"/>
      <c r="AH19" s="10"/>
    </row>
    <row r="20" spans="2:36">
      <c r="L20" s="5" t="s">
        <v>0</v>
      </c>
      <c r="V20" s="54"/>
      <c r="X20" s="54"/>
      <c r="Z20" s="54"/>
      <c r="AB20" s="55"/>
      <c r="AF20" s="53"/>
      <c r="AG20" s="10"/>
      <c r="AH20" s="10"/>
    </row>
    <row r="21" spans="2:36">
      <c r="D21" s="36" t="s">
        <v>49</v>
      </c>
      <c r="H21" s="61"/>
      <c r="I21" s="61"/>
      <c r="V21" s="54"/>
      <c r="X21" s="54"/>
      <c r="Z21" s="54"/>
      <c r="AB21" s="55"/>
      <c r="AF21" s="53"/>
      <c r="AG21" s="10"/>
      <c r="AH21" s="10"/>
    </row>
    <row r="22" spans="2:36">
      <c r="B22" s="56">
        <f>MAX(B$13:B21)+1</f>
        <v>3</v>
      </c>
      <c r="D22" s="4" t="s">
        <v>50</v>
      </c>
      <c r="F22" s="19">
        <v>24</v>
      </c>
      <c r="G22" s="19"/>
      <c r="H22" s="38">
        <v>17306.416666666664</v>
      </c>
      <c r="I22" s="38">
        <f>'Billing Determinants'!C177/12</f>
        <v>18788.493749999969</v>
      </c>
      <c r="K22" s="38">
        <v>513041.74113523914</v>
      </c>
      <c r="L22" s="38">
        <f>'Billing Determinants'!C205/1000</f>
        <v>543201.5574379696</v>
      </c>
      <c r="N22" s="58">
        <v>33647.646251191611</v>
      </c>
      <c r="O22" s="39">
        <f>'Billing Determinants'!I205/1000</f>
        <v>48473.096458215186</v>
      </c>
      <c r="P22" s="40"/>
      <c r="Q22" s="39">
        <f>'Billing Determinants'!L205/1000</f>
        <v>49195.665458215182</v>
      </c>
      <c r="R22" s="39"/>
      <c r="S22" s="41">
        <f t="shared" ref="S22:S29" si="0">Q22+W22</f>
        <v>49141.345302471382</v>
      </c>
      <c r="T22" s="39"/>
      <c r="U22" s="39">
        <v>722.56899999999996</v>
      </c>
      <c r="V22" s="42">
        <f>U22/O22</f>
        <v>1.4906598769131025E-2</v>
      </c>
      <c r="W22" s="39">
        <f t="shared" ref="W22:W29" si="1">(AB22/100)*L22</f>
        <v>-54.32015574379696</v>
      </c>
      <c r="X22" s="42">
        <f>W22/O22</f>
        <v>-1.1206248354821331E-3</v>
      </c>
      <c r="Y22" s="39">
        <f t="shared" ref="Y22:Y29" si="2">O22+W22</f>
        <v>48418.776302471386</v>
      </c>
      <c r="Z22" s="42">
        <f t="shared" ref="Z22:Z29" si="3">W22/O22</f>
        <v>-1.1206248354821331E-3</v>
      </c>
      <c r="AA22" s="40"/>
      <c r="AB22" s="43">
        <f t="shared" ref="AB22:AB28" si="4">ROUND((((Q22/$Q$44)*$W$51)/L22)*100,3)</f>
        <v>-0.01</v>
      </c>
      <c r="AC22" s="40"/>
      <c r="AD22" s="40"/>
      <c r="AE22" s="40"/>
      <c r="AF22" s="60"/>
      <c r="AG22" s="46"/>
      <c r="AH22" s="10"/>
      <c r="AI22" s="62"/>
      <c r="AJ22" s="63"/>
    </row>
    <row r="23" spans="2:36">
      <c r="B23" s="56">
        <f>MAX(B$13:B22)+1</f>
        <v>4</v>
      </c>
      <c r="D23" s="4" t="s">
        <v>51</v>
      </c>
      <c r="E23" s="64"/>
      <c r="F23" s="19">
        <v>33</v>
      </c>
      <c r="G23" s="19"/>
      <c r="H23" s="38">
        <v>0</v>
      </c>
      <c r="I23" s="38">
        <v>0</v>
      </c>
      <c r="K23" s="38">
        <v>0</v>
      </c>
      <c r="L23" s="38">
        <v>0</v>
      </c>
      <c r="N23" s="39">
        <v>0</v>
      </c>
      <c r="O23" s="39">
        <v>0</v>
      </c>
      <c r="P23" s="40"/>
      <c r="Q23" s="39">
        <f>'Billing Determinants'!L597/100</f>
        <v>0</v>
      </c>
      <c r="R23" s="39"/>
      <c r="S23" s="41">
        <f t="shared" si="0"/>
        <v>0</v>
      </c>
      <c r="T23" s="39"/>
      <c r="U23" s="39">
        <v>0</v>
      </c>
      <c r="V23" s="42">
        <f>V24</f>
        <v>3.3421465564214353E-2</v>
      </c>
      <c r="W23" s="39">
        <f t="shared" si="1"/>
        <v>0</v>
      </c>
      <c r="X23" s="42">
        <f>X24</f>
        <v>-1.0726188176041998E-3</v>
      </c>
      <c r="Y23" s="39">
        <f t="shared" si="2"/>
        <v>0</v>
      </c>
      <c r="Z23" s="42">
        <f>Z24</f>
        <v>-1.0726188176041998E-3</v>
      </c>
      <c r="AA23" s="40"/>
      <c r="AB23" s="43">
        <f>AB24</f>
        <v>-8.0000000000000002E-3</v>
      </c>
      <c r="AC23" s="40"/>
      <c r="AD23" s="40"/>
      <c r="AE23" s="40"/>
      <c r="AF23" s="60"/>
      <c r="AG23" s="46"/>
      <c r="AH23" s="10"/>
      <c r="AI23" s="62"/>
      <c r="AJ23" s="63"/>
    </row>
    <row r="24" spans="2:36">
      <c r="B24" s="56">
        <f>MAX(B$13:B23)+1</f>
        <v>5</v>
      </c>
      <c r="D24" s="4" t="s">
        <v>52</v>
      </c>
      <c r="F24" s="19">
        <v>36</v>
      </c>
      <c r="G24" s="19"/>
      <c r="H24" s="38">
        <v>1058.6666666666667</v>
      </c>
      <c r="I24" s="38">
        <f>'Billing Determinants'!C606/12</f>
        <v>1053.9138888888895</v>
      </c>
      <c r="K24" s="38">
        <v>901191.51506367233</v>
      </c>
      <c r="L24" s="38">
        <f>'Billing Determinants'!C637/1000</f>
        <v>895773.15120793856</v>
      </c>
      <c r="N24" s="58">
        <v>49005.26783999426</v>
      </c>
      <c r="O24" s="39">
        <f>'Billing Determinants'!I637/1000</f>
        <v>66810.176104031925</v>
      </c>
      <c r="P24" s="40"/>
      <c r="Q24" s="39">
        <f>'Billing Determinants'!L637/1000</f>
        <v>69043.070104031925</v>
      </c>
      <c r="R24" s="39"/>
      <c r="S24" s="41">
        <f t="shared" si="0"/>
        <v>68971.408251935296</v>
      </c>
      <c r="T24" s="39"/>
      <c r="U24" s="39">
        <v>2232.8939999999998</v>
      </c>
      <c r="V24" s="42">
        <f>U24/O24</f>
        <v>3.3421465564214353E-2</v>
      </c>
      <c r="W24" s="39">
        <f t="shared" si="1"/>
        <v>-71.661852096635087</v>
      </c>
      <c r="X24" s="42">
        <f t="shared" ref="X24:X29" si="5">W24/O24</f>
        <v>-1.0726188176041998E-3</v>
      </c>
      <c r="Y24" s="39">
        <f t="shared" si="2"/>
        <v>66738.514251935296</v>
      </c>
      <c r="Z24" s="42">
        <f t="shared" si="3"/>
        <v>-1.0726188176041998E-3</v>
      </c>
      <c r="AA24" s="40"/>
      <c r="AB24" s="43">
        <f t="shared" si="4"/>
        <v>-8.0000000000000002E-3</v>
      </c>
      <c r="AC24" s="40"/>
      <c r="AD24" s="40"/>
      <c r="AE24" s="40"/>
      <c r="AF24" s="60"/>
      <c r="AG24" s="46"/>
      <c r="AH24" s="10"/>
      <c r="AI24" s="62"/>
      <c r="AJ24" s="63"/>
    </row>
    <row r="25" spans="2:36">
      <c r="B25" s="56">
        <f>MAX(B$13:B24)+1</f>
        <v>6</v>
      </c>
      <c r="D25" s="4" t="s">
        <v>53</v>
      </c>
      <c r="F25" s="19" t="s">
        <v>54</v>
      </c>
      <c r="G25" s="19"/>
      <c r="H25" s="38">
        <v>5259</v>
      </c>
      <c r="I25" s="38">
        <f>'Billing Determinants'!C726</f>
        <v>5247.0299819759166</v>
      </c>
      <c r="K25" s="38">
        <v>168033.04399999999</v>
      </c>
      <c r="L25" s="38">
        <f>'Billing Determinants'!C769/1000</f>
        <v>148533.3665584703</v>
      </c>
      <c r="N25" s="58">
        <v>10140.337</v>
      </c>
      <c r="O25" s="39">
        <f>'Billing Determinants'!I769/1000</f>
        <v>12666.289000000001</v>
      </c>
      <c r="P25" s="40"/>
      <c r="Q25" s="39">
        <f>'Billing Determinants'!L769/1000</f>
        <v>12854.989</v>
      </c>
      <c r="R25" s="39"/>
      <c r="S25" s="41">
        <f t="shared" si="0"/>
        <v>12841.620997009737</v>
      </c>
      <c r="T25" s="39"/>
      <c r="U25" s="39">
        <v>188.7</v>
      </c>
      <c r="V25" s="42">
        <f>U25/O25</f>
        <v>1.489781261109706E-2</v>
      </c>
      <c r="W25" s="39">
        <f t="shared" si="1"/>
        <v>-13.368002990262326</v>
      </c>
      <c r="X25" s="42">
        <f t="shared" si="5"/>
        <v>-1.0554001247139019E-3</v>
      </c>
      <c r="Y25" s="39">
        <f t="shared" si="2"/>
        <v>12652.920997009738</v>
      </c>
      <c r="Z25" s="42">
        <f t="shared" si="3"/>
        <v>-1.0554001247139019E-3</v>
      </c>
      <c r="AA25" s="40"/>
      <c r="AB25" s="43">
        <f t="shared" si="4"/>
        <v>-8.9999999999999993E-3</v>
      </c>
      <c r="AC25" s="40"/>
      <c r="AD25" s="40"/>
      <c r="AE25" s="40"/>
      <c r="AF25" s="60"/>
      <c r="AG25" s="46"/>
      <c r="AH25" s="10"/>
    </row>
    <row r="26" spans="2:36">
      <c r="B26" s="56">
        <f>MAX(B$13:B25)+1</f>
        <v>7</v>
      </c>
      <c r="D26" s="4" t="s">
        <v>55</v>
      </c>
      <c r="F26" s="19">
        <v>47</v>
      </c>
      <c r="G26" s="19"/>
      <c r="H26" s="38">
        <v>1.0833333333333333</v>
      </c>
      <c r="I26" s="38">
        <f>'Billing Determinants'!C885/12</f>
        <v>1</v>
      </c>
      <c r="K26" s="38">
        <v>1616.6904507017675</v>
      </c>
      <c r="L26" s="38">
        <f>'Billing Determinants'!C899/1000</f>
        <v>1994.5324465218168</v>
      </c>
      <c r="N26" s="58">
        <v>165.62561725051643</v>
      </c>
      <c r="O26" s="39">
        <f>'Billing Determinants'!I899/1000</f>
        <v>292.12801280278654</v>
      </c>
      <c r="P26" s="40"/>
      <c r="Q26" s="39">
        <f>'Billing Determinants'!L899/1000</f>
        <v>302.01501280278654</v>
      </c>
      <c r="R26" s="39"/>
      <c r="S26" s="41">
        <f t="shared" si="0"/>
        <v>301.89534085599524</v>
      </c>
      <c r="T26" s="39"/>
      <c r="U26" s="39">
        <v>9.8870000000000005</v>
      </c>
      <c r="V26" s="42">
        <f>U26/O26</f>
        <v>3.3844751501714558E-2</v>
      </c>
      <c r="W26" s="39">
        <f t="shared" si="1"/>
        <v>-0.11967194679130902</v>
      </c>
      <c r="X26" s="42">
        <f t="shared" si="5"/>
        <v>-4.0965584109216757E-4</v>
      </c>
      <c r="Y26" s="39">
        <f t="shared" si="2"/>
        <v>292.00834085599524</v>
      </c>
      <c r="Z26" s="42">
        <f t="shared" si="3"/>
        <v>-4.0965584109216757E-4</v>
      </c>
      <c r="AA26" s="40"/>
      <c r="AB26" s="43">
        <f>AB27</f>
        <v>-6.0000000000000001E-3</v>
      </c>
      <c r="AC26" s="40"/>
      <c r="AD26" s="40"/>
      <c r="AE26" s="40"/>
      <c r="AF26" s="60"/>
      <c r="AG26" s="46"/>
      <c r="AH26" s="10"/>
    </row>
    <row r="27" spans="2:36">
      <c r="B27" s="56">
        <f>MAX(B$13:B26)+1</f>
        <v>8</v>
      </c>
      <c r="D27" s="4" t="s">
        <v>56</v>
      </c>
      <c r="F27" s="19">
        <v>48</v>
      </c>
      <c r="G27" s="19"/>
      <c r="H27" s="38">
        <v>63.666666666666671</v>
      </c>
      <c r="I27" s="38">
        <f>('Billing Determinants'!C926+'Billing Determinants'!C1095)/12</f>
        <v>62.012626262626249</v>
      </c>
      <c r="K27" s="38">
        <v>856497.09877425549</v>
      </c>
      <c r="L27" s="38">
        <f>('Billing Determinants'!C936+'Billing Determinants'!C1106)/1000</f>
        <v>834884.0372572965</v>
      </c>
      <c r="N27" s="58">
        <v>38996.209349631463</v>
      </c>
      <c r="O27" s="39">
        <f>('Billing Determinants'!I936+'Billing Determinants'!I1106)/1000</f>
        <v>50976.274610443281</v>
      </c>
      <c r="P27" s="40"/>
      <c r="Q27" s="39">
        <f>'Billing Determinants'!L917/1000</f>
        <v>52679.245610443271</v>
      </c>
      <c r="R27" s="39"/>
      <c r="S27" s="41">
        <f t="shared" si="0"/>
        <v>52629.152568207835</v>
      </c>
      <c r="T27" s="39"/>
      <c r="U27" s="39">
        <v>1702.9710000000036</v>
      </c>
      <c r="V27" s="42">
        <f>U27/O27</f>
        <v>3.3407129356038186E-2</v>
      </c>
      <c r="W27" s="39">
        <f t="shared" si="1"/>
        <v>-50.093042235437792</v>
      </c>
      <c r="X27" s="42">
        <f t="shared" si="5"/>
        <v>-9.826736578583844E-4</v>
      </c>
      <c r="Y27" s="39">
        <f t="shared" si="2"/>
        <v>50926.181568207845</v>
      </c>
      <c r="Z27" s="42">
        <f t="shared" si="3"/>
        <v>-9.826736578583844E-4</v>
      </c>
      <c r="AA27" s="40"/>
      <c r="AB27" s="43">
        <f>ROUND((((Q27/$Q$44)*$W$51)/L27)*100,3)+0.001</f>
        <v>-6.0000000000000001E-3</v>
      </c>
      <c r="AC27" s="40"/>
      <c r="AD27" s="40"/>
      <c r="AE27" s="40"/>
      <c r="AF27" s="60"/>
      <c r="AG27" s="46"/>
      <c r="AH27" s="10"/>
      <c r="AI27" s="5" t="s">
        <v>0</v>
      </c>
    </row>
    <row r="28" spans="2:36" hidden="1">
      <c r="B28" s="56">
        <f>MAX(B$13:B26)+1</f>
        <v>8</v>
      </c>
      <c r="D28" s="4" t="s">
        <v>57</v>
      </c>
      <c r="F28" s="37" t="s">
        <v>58</v>
      </c>
      <c r="G28" s="19"/>
      <c r="H28" s="38">
        <v>63.666666666666671</v>
      </c>
      <c r="I28" s="38">
        <v>0</v>
      </c>
      <c r="K28" s="38">
        <v>856497.09877425549</v>
      </c>
      <c r="L28" s="38">
        <v>0</v>
      </c>
      <c r="N28" s="58">
        <v>38996.209349631463</v>
      </c>
      <c r="O28" s="39">
        <v>0</v>
      </c>
      <c r="P28" s="40"/>
      <c r="Q28" s="39">
        <v>0</v>
      </c>
      <c r="R28" s="39"/>
      <c r="S28" s="41">
        <f t="shared" si="0"/>
        <v>0</v>
      </c>
      <c r="T28" s="39"/>
      <c r="U28" s="39">
        <v>0</v>
      </c>
      <c r="V28" s="42">
        <v>0</v>
      </c>
      <c r="W28" s="39">
        <v>0</v>
      </c>
      <c r="X28" s="42">
        <v>0</v>
      </c>
      <c r="Y28" s="39">
        <f t="shared" si="2"/>
        <v>0</v>
      </c>
      <c r="Z28" s="42" t="e">
        <f t="shared" si="3"/>
        <v>#DIV/0!</v>
      </c>
      <c r="AA28" s="40"/>
      <c r="AB28" s="43" t="e">
        <f t="shared" si="4"/>
        <v>#DIV/0!</v>
      </c>
      <c r="AC28" s="40"/>
      <c r="AD28" s="40"/>
      <c r="AE28" s="40"/>
      <c r="AF28" s="60"/>
      <c r="AG28" s="46"/>
      <c r="AH28" s="10"/>
    </row>
    <row r="29" spans="2:36">
      <c r="B29" s="56">
        <f>MAX(B$13:B28)+1</f>
        <v>9</v>
      </c>
      <c r="D29" s="4" t="s">
        <v>59</v>
      </c>
      <c r="F29" s="19" t="s">
        <v>60</v>
      </c>
      <c r="G29" s="19"/>
      <c r="H29" s="38">
        <v>28</v>
      </c>
      <c r="I29" s="38">
        <f>'Billing Determinants'!C1226/12</f>
        <v>29.977777777777749</v>
      </c>
      <c r="K29" s="38">
        <v>233.86177246899351</v>
      </c>
      <c r="L29" s="38">
        <f>'Billing Determinants'!C1232/1000</f>
        <v>294.55045303791917</v>
      </c>
      <c r="N29" s="58">
        <v>18.659249899021408</v>
      </c>
      <c r="O29" s="39">
        <f>'Billing Determinants'!I1232/1000</f>
        <v>25.790024491772925</v>
      </c>
      <c r="P29" s="40"/>
      <c r="Q29" s="39">
        <f>'Billing Determinants'!L1232/1000</f>
        <v>26.174024491772926</v>
      </c>
      <c r="R29" s="39"/>
      <c r="S29" s="41">
        <f t="shared" si="0"/>
        <v>26.150460455529892</v>
      </c>
      <c r="T29" s="39"/>
      <c r="U29" s="39">
        <v>0.38400000000000001</v>
      </c>
      <c r="V29" s="42">
        <f>U29/O29</f>
        <v>1.4889477911217062E-2</v>
      </c>
      <c r="W29" s="39">
        <f t="shared" si="1"/>
        <v>-2.3564036243033534E-2</v>
      </c>
      <c r="X29" s="42">
        <f t="shared" si="5"/>
        <v>-9.1368801338480754E-4</v>
      </c>
      <c r="Y29" s="39">
        <f t="shared" si="2"/>
        <v>25.766460455529892</v>
      </c>
      <c r="Z29" s="42">
        <f t="shared" si="3"/>
        <v>-9.1368801338480754E-4</v>
      </c>
      <c r="AA29" s="40"/>
      <c r="AB29" s="43">
        <f>ROUND((((Q29/$Q$44)*$W$51)/L29)*100,3)+0.001</f>
        <v>-8.0000000000000002E-3</v>
      </c>
      <c r="AC29" s="40"/>
      <c r="AD29" s="40"/>
      <c r="AE29" s="40"/>
      <c r="AF29" s="60"/>
      <c r="AG29" s="46"/>
      <c r="AH29" s="10"/>
    </row>
    <row r="30" spans="2:36">
      <c r="B30" s="22"/>
      <c r="F30" s="19"/>
      <c r="G30" s="19"/>
      <c r="H30" s="48"/>
      <c r="I30" s="48"/>
      <c r="K30" s="48"/>
      <c r="L30" s="48"/>
      <c r="N30" s="48"/>
      <c r="O30" s="48"/>
      <c r="P30" s="10"/>
      <c r="Q30" s="48"/>
      <c r="R30" s="10"/>
      <c r="S30" s="49"/>
      <c r="T30" s="10"/>
      <c r="U30" s="48"/>
      <c r="V30" s="51"/>
      <c r="W30" s="48"/>
      <c r="X30" s="51"/>
      <c r="Y30" s="48"/>
      <c r="Z30" s="51"/>
      <c r="AA30" s="10"/>
      <c r="AB30" s="52"/>
      <c r="AC30" s="10"/>
      <c r="AD30" s="10"/>
      <c r="AE30" s="10"/>
      <c r="AF30" s="53"/>
      <c r="AG30" s="10"/>
      <c r="AH30" s="10"/>
    </row>
    <row r="31" spans="2:36">
      <c r="B31" s="22"/>
      <c r="V31" s="54"/>
      <c r="X31" s="54"/>
      <c r="Z31" s="54"/>
      <c r="AB31" s="55"/>
      <c r="AF31" s="53"/>
      <c r="AG31" s="10"/>
      <c r="AH31" s="10"/>
    </row>
    <row r="32" spans="2:36">
      <c r="B32" s="56">
        <f>MAX(B$13:B31)+1</f>
        <v>10</v>
      </c>
      <c r="D32" s="36" t="s">
        <v>61</v>
      </c>
      <c r="H32" s="57">
        <f>SUM(H22:H29)</f>
        <v>23780.5</v>
      </c>
      <c r="I32" s="57">
        <f>SUM(I22:I29)</f>
        <v>25182.428024905177</v>
      </c>
      <c r="K32" s="57">
        <f>SUM(K22:K29)</f>
        <v>3297111.0499705928</v>
      </c>
      <c r="L32" s="57">
        <f>SUM(L22:L29)</f>
        <v>2424681.1953612347</v>
      </c>
      <c r="M32" s="57"/>
      <c r="N32" s="39">
        <f>SUM(N22:N29)</f>
        <v>170969.95465759834</v>
      </c>
      <c r="O32" s="39">
        <f>SUM(O22:O29)</f>
        <v>179243.75420998497</v>
      </c>
      <c r="P32" s="40"/>
      <c r="Q32" s="39">
        <f>SUM(Q22:Q29)</f>
        <v>184101.15920998494</v>
      </c>
      <c r="R32" s="58"/>
      <c r="S32" s="41">
        <f>SUM(S22:S29)</f>
        <v>183911.57292093578</v>
      </c>
      <c r="T32" s="58"/>
      <c r="U32" s="39">
        <f>SUM(U22:U29)</f>
        <v>4857.4050000000034</v>
      </c>
      <c r="V32" s="42">
        <f>U32/O32</f>
        <v>2.7099437977122085E-2</v>
      </c>
      <c r="W32" s="39">
        <f>SUM(W22:W29)</f>
        <v>-189.58628904916651</v>
      </c>
      <c r="X32" s="42">
        <f>W32/O32</f>
        <v>-1.0577009496635806E-3</v>
      </c>
      <c r="Y32" s="39">
        <f>U32+W32</f>
        <v>4667.8187109508372</v>
      </c>
      <c r="Z32" s="42"/>
      <c r="AA32" s="40"/>
      <c r="AB32" s="43"/>
      <c r="AC32" s="40"/>
      <c r="AD32" s="40"/>
      <c r="AE32" s="40"/>
      <c r="AF32" s="60"/>
      <c r="AG32" s="46"/>
      <c r="AH32" s="10"/>
    </row>
    <row r="33" spans="2:35">
      <c r="B33" s="22"/>
      <c r="V33" s="54"/>
      <c r="X33" s="54"/>
      <c r="Z33" s="54"/>
      <c r="AB33" s="55"/>
      <c r="AF33" s="53"/>
      <c r="AG33" s="10"/>
      <c r="AH33" s="10"/>
    </row>
    <row r="34" spans="2:35">
      <c r="B34" s="22"/>
      <c r="D34" s="36" t="s">
        <v>62</v>
      </c>
      <c r="V34" s="54"/>
      <c r="X34" s="54"/>
      <c r="Z34" s="54"/>
      <c r="AB34" s="55"/>
      <c r="AF34" s="53"/>
      <c r="AG34" s="10"/>
      <c r="AH34" s="10"/>
    </row>
    <row r="35" spans="2:35">
      <c r="B35" s="56">
        <f>MAX(B$13:B34)+1</f>
        <v>11</v>
      </c>
      <c r="D35" s="4" t="s">
        <v>63</v>
      </c>
      <c r="F35" s="19" t="s">
        <v>64</v>
      </c>
      <c r="G35" s="19"/>
      <c r="H35" s="38">
        <v>2828</v>
      </c>
      <c r="I35" s="38">
        <f>'Billing Determinants'!C24/12</f>
        <v>2531.9166666666665</v>
      </c>
      <c r="K35" s="38">
        <v>3735.0893644456642</v>
      </c>
      <c r="L35" s="38">
        <f>'Billing Determinants'!C27/1000</f>
        <v>3355.2350684260427</v>
      </c>
      <c r="N35" s="58">
        <v>473.92026673033644</v>
      </c>
      <c r="O35" s="39">
        <f>'Billing Determinants'!I27/1000</f>
        <v>468.63441510785196</v>
      </c>
      <c r="P35" s="40"/>
      <c r="Q35" s="39">
        <f>'Billing Determinants'!L27/1000</f>
        <v>475.65941433249048</v>
      </c>
      <c r="R35" s="39"/>
      <c r="S35" s="41">
        <f>Q35+W35</f>
        <v>475.18968142291084</v>
      </c>
      <c r="T35" s="39"/>
      <c r="U35" s="39">
        <v>7.024999224638508</v>
      </c>
      <c r="V35" s="42">
        <f>U35/O35</f>
        <v>1.499036135240253E-2</v>
      </c>
      <c r="W35" s="39">
        <f>(AB35/100)*L35</f>
        <v>-0.46973290957964592</v>
      </c>
      <c r="X35" s="42">
        <f>W35/O35</f>
        <v>-1.002344032867371E-3</v>
      </c>
      <c r="Y35" s="39">
        <f t="shared" ref="Y35:Y39" si="6">O35+W35</f>
        <v>468.16468219827232</v>
      </c>
      <c r="Z35" s="42">
        <f t="shared" ref="Z35:Z39" si="7">W35/O35</f>
        <v>-1.002344032867371E-3</v>
      </c>
      <c r="AA35" s="40"/>
      <c r="AB35" s="43">
        <f>ROUND((((Q35/$Q$44)*$W$51)/L35)*100,3)+0.001</f>
        <v>-1.3999999999999999E-2</v>
      </c>
      <c r="AC35" s="40"/>
      <c r="AD35" s="40"/>
      <c r="AE35" s="40"/>
      <c r="AF35" s="60"/>
      <c r="AG35" s="46"/>
      <c r="AH35" s="10"/>
    </row>
    <row r="36" spans="2:35">
      <c r="B36" s="56">
        <f>MAX(B$13:B35)+1</f>
        <v>12</v>
      </c>
      <c r="D36" s="4" t="s">
        <v>65</v>
      </c>
      <c r="F36" s="19" t="s">
        <v>66</v>
      </c>
      <c r="G36" s="19"/>
      <c r="H36" s="38">
        <v>178</v>
      </c>
      <c r="I36" s="38">
        <f>'Billing Determinants'!C1137/12</f>
        <v>163</v>
      </c>
      <c r="K36" s="38">
        <v>2902.2385934150548</v>
      </c>
      <c r="L36" s="38">
        <f>'Billing Determinants'!C1141/1000</f>
        <v>3186.5956037362384</v>
      </c>
      <c r="N36" s="58">
        <v>522.31224201957195</v>
      </c>
      <c r="O36" s="39">
        <f>'Billing Determinants'!I1141/1000</f>
        <v>620.98089382532601</v>
      </c>
      <c r="P36" s="40"/>
      <c r="Q36" s="39">
        <f>'Billing Determinants'!L1141/1000</f>
        <v>630.25889382532603</v>
      </c>
      <c r="R36" s="39"/>
      <c r="S36" s="41">
        <f>Q36+W36</f>
        <v>629.62157470457873</v>
      </c>
      <c r="T36" s="39"/>
      <c r="U36" s="39">
        <v>9.2780000000000005</v>
      </c>
      <c r="V36" s="42">
        <f>U36/O36</f>
        <v>1.4940878362370008E-2</v>
      </c>
      <c r="W36" s="39">
        <f>(AB36/100)*L36</f>
        <v>-0.63731912074724772</v>
      </c>
      <c r="X36" s="42">
        <f>W36/O36</f>
        <v>-1.0263103536427281E-3</v>
      </c>
      <c r="Y36" s="39">
        <f t="shared" si="6"/>
        <v>620.34357470457871</v>
      </c>
      <c r="Z36" s="42">
        <f t="shared" si="7"/>
        <v>-1.0263103536427281E-3</v>
      </c>
      <c r="AA36" s="40"/>
      <c r="AB36" s="43">
        <f>ROUND((((Q36/$Q$44)*$W$51)/L36)*100,3)+0.001</f>
        <v>-0.02</v>
      </c>
      <c r="AC36" s="40"/>
      <c r="AD36" s="40"/>
      <c r="AE36" s="40"/>
      <c r="AF36" s="60"/>
      <c r="AG36" s="46"/>
      <c r="AH36" s="45" t="s">
        <v>0</v>
      </c>
    </row>
    <row r="37" spans="2:35">
      <c r="B37" s="56">
        <f>MAX(B$13:B36)+1</f>
        <v>13</v>
      </c>
      <c r="D37" s="4" t="s">
        <v>65</v>
      </c>
      <c r="F37" s="19">
        <v>52</v>
      </c>
      <c r="G37" s="19"/>
      <c r="H37" s="38">
        <v>30</v>
      </c>
      <c r="I37" s="38">
        <f>'Billing Determinants'!C1153/12</f>
        <v>15</v>
      </c>
      <c r="K37" s="38">
        <v>466.2387672357238</v>
      </c>
      <c r="L37" s="38">
        <f>'Billing Determinants'!C1158/1000</f>
        <v>198.34085987577339</v>
      </c>
      <c r="N37" s="58">
        <v>60.670270195709442</v>
      </c>
      <c r="O37" s="39">
        <f>'Billing Determinants'!I1158/1000</f>
        <v>33.511850718803466</v>
      </c>
      <c r="P37" s="40"/>
      <c r="Q37" s="39">
        <f>'Billing Determinants'!L1158/1000</f>
        <v>34.010850718803461</v>
      </c>
      <c r="R37" s="39"/>
      <c r="S37" s="41">
        <f>Q37+W37</f>
        <v>33.977132772624579</v>
      </c>
      <c r="T37" s="39"/>
      <c r="U37" s="39">
        <v>0.499</v>
      </c>
      <c r="V37" s="42">
        <f>U37/O37</f>
        <v>1.4890254918687961E-2</v>
      </c>
      <c r="W37" s="39">
        <f>(AB37/100)*L37</f>
        <v>-3.3717946178881471E-2</v>
      </c>
      <c r="X37" s="42">
        <f>W37/O37</f>
        <v>-1.0061499277317552E-3</v>
      </c>
      <c r="Y37" s="39">
        <f t="shared" si="6"/>
        <v>33.478132772624583</v>
      </c>
      <c r="Z37" s="42">
        <f t="shared" si="7"/>
        <v>-1.0061499277317552E-3</v>
      </c>
      <c r="AA37" s="40"/>
      <c r="AB37" s="43">
        <f>ROUND((((Q37/$Q$44)*$W$51)/L37)*100,3)+0.001</f>
        <v>-1.6999999999999998E-2</v>
      </c>
      <c r="AC37" s="40"/>
      <c r="AD37" s="40"/>
      <c r="AE37" s="40"/>
      <c r="AF37" s="60"/>
      <c r="AG37" s="46"/>
      <c r="AH37" s="10"/>
    </row>
    <row r="38" spans="2:35">
      <c r="B38" s="56">
        <f>MAX(B$13:B37)+1</f>
        <v>14</v>
      </c>
      <c r="D38" s="4" t="s">
        <v>65</v>
      </c>
      <c r="F38" s="19">
        <v>53</v>
      </c>
      <c r="G38" s="19"/>
      <c r="H38" s="38">
        <v>272.33333333333337</v>
      </c>
      <c r="I38" s="38">
        <f>'Billing Determinants'!C1168/12</f>
        <v>217.08333333333334</v>
      </c>
      <c r="K38" s="38">
        <v>4499.9316487570059</v>
      </c>
      <c r="L38" s="38">
        <f>'Billing Determinants'!C1172/1000</f>
        <v>4161.9537848388163</v>
      </c>
      <c r="N38" s="38">
        <v>278.83306975907675</v>
      </c>
      <c r="O38" s="39">
        <f>'Billing Determinants'!I1172/1000</f>
        <v>286.22928702344217</v>
      </c>
      <c r="P38" s="40"/>
      <c r="Q38" s="39">
        <f>'Billing Determinants'!L1172/1000</f>
        <v>290.49259358894909</v>
      </c>
      <c r="R38" s="39"/>
      <c r="S38" s="41">
        <f>Q38+W38</f>
        <v>290.24287636185875</v>
      </c>
      <c r="T38" s="39"/>
      <c r="U38" s="39">
        <v>4.2636456391777608</v>
      </c>
      <c r="V38" s="42">
        <f>U38/O38</f>
        <v>1.4895909791469273E-2</v>
      </c>
      <c r="W38" s="39">
        <f>(AB38/100)*L38</f>
        <v>-0.24971722709032898</v>
      </c>
      <c r="X38" s="42">
        <f>W38/O38</f>
        <v>-8.7243772182501067E-4</v>
      </c>
      <c r="Y38" s="39">
        <f t="shared" si="6"/>
        <v>285.97956979635183</v>
      </c>
      <c r="Z38" s="42">
        <f t="shared" si="7"/>
        <v>-8.7243772182501067E-4</v>
      </c>
      <c r="AA38" s="40"/>
      <c r="AB38" s="43">
        <f>ROUND((((Q38/$Q$44)*$W$51)/L38)*100,3)+0.001</f>
        <v>-6.0000000000000001E-3</v>
      </c>
      <c r="AC38" s="40"/>
      <c r="AD38" s="40"/>
      <c r="AE38" s="40"/>
      <c r="AF38" s="60"/>
      <c r="AG38" s="46"/>
      <c r="AH38" s="10"/>
      <c r="AI38" s="5" t="s">
        <v>0</v>
      </c>
    </row>
    <row r="39" spans="2:35">
      <c r="B39" s="56">
        <f>MAX(B$13:B38)+1</f>
        <v>15</v>
      </c>
      <c r="D39" s="4" t="s">
        <v>65</v>
      </c>
      <c r="F39" s="19">
        <v>57</v>
      </c>
      <c r="G39" s="19"/>
      <c r="H39" s="38">
        <v>50.666666666666664</v>
      </c>
      <c r="I39" s="38">
        <f>'Billing Determinants'!C1268/12</f>
        <v>33.916666666666664</v>
      </c>
      <c r="K39" s="38">
        <v>2174.0459905922153</v>
      </c>
      <c r="L39" s="38">
        <f>'Billing Determinants'!C1272/1000</f>
        <v>1743.2558167712143</v>
      </c>
      <c r="N39" s="38">
        <v>235.8029580256418</v>
      </c>
      <c r="O39" s="39">
        <f>'Billing Determinants'!I1272/1000</f>
        <v>212.91005677457667</v>
      </c>
      <c r="P39" s="40"/>
      <c r="Q39" s="39">
        <f>'Billing Determinants'!L1272/1000</f>
        <v>216.05905677457665</v>
      </c>
      <c r="R39" s="39"/>
      <c r="S39" s="41">
        <f>Q39+W39</f>
        <v>215.8498660765641</v>
      </c>
      <c r="T39" s="39"/>
      <c r="U39" s="39">
        <v>3.149</v>
      </c>
      <c r="V39" s="42">
        <f>U39/O39</f>
        <v>1.4790283031740839E-2</v>
      </c>
      <c r="W39" s="39">
        <f>(AB39/100)*L39</f>
        <v>-0.20919069801254572</v>
      </c>
      <c r="X39" s="42">
        <f>W39/O39</f>
        <v>-9.8253084509780154E-4</v>
      </c>
      <c r="Y39" s="39">
        <f t="shared" si="6"/>
        <v>212.70086607656413</v>
      </c>
      <c r="Z39" s="42">
        <f t="shared" si="7"/>
        <v>-9.8253084509780154E-4</v>
      </c>
      <c r="AA39" s="40"/>
      <c r="AB39" s="43">
        <f>ROUND((((Q39/$Q$44)*$W$51)/L39)*100,3)+0.001</f>
        <v>-1.2E-2</v>
      </c>
      <c r="AC39" s="40"/>
      <c r="AD39" s="40"/>
      <c r="AE39" s="40"/>
      <c r="AF39" s="60"/>
      <c r="AG39" s="46"/>
      <c r="AH39" s="10"/>
    </row>
    <row r="40" spans="2:35">
      <c r="B40" s="22"/>
      <c r="H40" s="48"/>
      <c r="I40" s="48"/>
      <c r="K40" s="48"/>
      <c r="L40" s="48"/>
      <c r="N40" s="48"/>
      <c r="O40" s="48"/>
      <c r="P40" s="10"/>
      <c r="Q40" s="49"/>
      <c r="R40" s="10"/>
      <c r="S40" s="49"/>
      <c r="T40" s="10"/>
      <c r="U40" s="48"/>
      <c r="V40" s="51"/>
      <c r="W40" s="48"/>
      <c r="X40" s="51"/>
      <c r="Y40" s="48"/>
      <c r="Z40" s="51"/>
      <c r="AA40" s="10"/>
      <c r="AB40" s="52"/>
      <c r="AC40" s="10"/>
      <c r="AD40" s="10"/>
      <c r="AE40" s="10"/>
      <c r="AF40" s="53"/>
      <c r="AG40" s="10"/>
      <c r="AH40" s="10"/>
    </row>
    <row r="41" spans="2:35">
      <c r="B41" s="22"/>
      <c r="V41" s="54"/>
      <c r="X41" s="54"/>
      <c r="Z41" s="54"/>
      <c r="AB41" s="55"/>
      <c r="AF41" s="53"/>
      <c r="AG41" s="10"/>
      <c r="AH41" s="10"/>
    </row>
    <row r="42" spans="2:35">
      <c r="B42" s="56">
        <f>MAX(B$13:B41)+1</f>
        <v>16</v>
      </c>
      <c r="D42" s="36" t="s">
        <v>67</v>
      </c>
      <c r="H42" s="65">
        <f>SUM(H35:H39)</f>
        <v>3359</v>
      </c>
      <c r="I42" s="65">
        <f>SUM(I35:I39)</f>
        <v>2960.9166666666665</v>
      </c>
      <c r="K42" s="65">
        <f>SUM(K35:K39)</f>
        <v>13777.544364445665</v>
      </c>
      <c r="L42" s="65">
        <f>SUM(L35:L39)</f>
        <v>12645.381133648085</v>
      </c>
      <c r="M42" s="57"/>
      <c r="N42" s="66">
        <f>SUM(N35:N39)</f>
        <v>1571.5388067303365</v>
      </c>
      <c r="O42" s="66">
        <f>SUM(O35:O39)</f>
        <v>1622.2665034500001</v>
      </c>
      <c r="P42" s="46"/>
      <c r="Q42" s="66">
        <f>SUM(Q35:Q39)</f>
        <v>1646.4808092401458</v>
      </c>
      <c r="R42" s="67"/>
      <c r="S42" s="66">
        <f>SUM(S35:S39)</f>
        <v>1644.8811313385368</v>
      </c>
      <c r="T42" s="67"/>
      <c r="U42" s="66">
        <f>SUM(U35:U39)</f>
        <v>24.214644863816268</v>
      </c>
      <c r="V42" s="68">
        <f>U42/O42</f>
        <v>1.4926428433503428E-2</v>
      </c>
      <c r="W42" s="66">
        <f>SUM(W35:W39)</f>
        <v>-1.5996779016086498</v>
      </c>
      <c r="X42" s="68">
        <f>W42/O42</f>
        <v>-9.860758994941262E-4</v>
      </c>
      <c r="Y42" s="66">
        <f>U42+W42</f>
        <v>22.614966962207617</v>
      </c>
      <c r="Z42" s="42">
        <f>W42/O42</f>
        <v>-9.860758994941262E-4</v>
      </c>
      <c r="AA42" s="46"/>
      <c r="AB42" s="43"/>
      <c r="AC42" s="46"/>
      <c r="AD42" s="46"/>
      <c r="AE42" s="46"/>
      <c r="AF42" s="70"/>
      <c r="AG42" s="46"/>
      <c r="AH42" s="10"/>
    </row>
    <row r="43" spans="2:35">
      <c r="B43" s="22"/>
      <c r="D43" s="36"/>
      <c r="H43" s="71"/>
      <c r="I43" s="71"/>
      <c r="K43" s="71"/>
      <c r="L43" s="71"/>
      <c r="M43" s="57"/>
      <c r="N43" s="67"/>
      <c r="O43" s="67"/>
      <c r="P43" s="67"/>
      <c r="Q43" s="67"/>
      <c r="R43" s="67"/>
      <c r="S43" s="67"/>
      <c r="T43" s="67"/>
      <c r="U43" s="67"/>
      <c r="V43" s="72"/>
      <c r="W43" s="67"/>
      <c r="X43" s="72"/>
      <c r="Y43" s="67"/>
      <c r="Z43" s="73"/>
      <c r="AA43" s="67"/>
      <c r="AB43" s="74"/>
      <c r="AC43" s="67"/>
      <c r="AD43" s="67"/>
      <c r="AE43" s="67"/>
      <c r="AF43" s="53"/>
      <c r="AG43" s="67"/>
      <c r="AH43" s="10"/>
    </row>
    <row r="44" spans="2:35" ht="16.5" thickBot="1">
      <c r="B44" s="56">
        <f>MAX(B$13:B43)+1</f>
        <v>17</v>
      </c>
      <c r="D44" s="75" t="s">
        <v>68</v>
      </c>
      <c r="H44" s="76">
        <f>H42+H32+H19</f>
        <v>128476.41666666667</v>
      </c>
      <c r="I44" s="76">
        <f>I42+I32+I19</f>
        <v>132778.43714676326</v>
      </c>
      <c r="K44" s="76">
        <f>K42+K32+K19</f>
        <v>4880827.1987742558</v>
      </c>
      <c r="L44" s="76">
        <f>L42+L32+L19</f>
        <v>4010161.4332736093</v>
      </c>
      <c r="N44" s="77">
        <f>N42+N32+N19</f>
        <v>275214.43788963149</v>
      </c>
      <c r="O44" s="77">
        <f>O42+O32+O19</f>
        <v>320954.13952952309</v>
      </c>
      <c r="P44" s="46"/>
      <c r="Q44" s="77">
        <f>Q42+Q32+Q19</f>
        <v>330517.76783531322</v>
      </c>
      <c r="R44" s="78"/>
      <c r="S44" s="77">
        <f>S42+S32+S19</f>
        <v>330169.29838268459</v>
      </c>
      <c r="T44" s="78"/>
      <c r="U44" s="77">
        <f>U42+U32+U19</f>
        <v>9563.6286448638202</v>
      </c>
      <c r="V44" s="79">
        <f>U44/O44</f>
        <v>2.9797492747352793E-2</v>
      </c>
      <c r="W44" s="77">
        <f>W42+W32+W19</f>
        <v>-348.46945262864779</v>
      </c>
      <c r="X44" s="79">
        <f>W44/O44</f>
        <v>-1.085729734283716E-3</v>
      </c>
      <c r="Y44" s="77">
        <f>O44+W44</f>
        <v>320605.67007689446</v>
      </c>
      <c r="Z44" s="79">
        <f>W44/O44</f>
        <v>-1.085729734283716E-3</v>
      </c>
      <c r="AA44" s="46"/>
      <c r="AB44" s="43" t="s">
        <v>0</v>
      </c>
      <c r="AC44" s="46"/>
      <c r="AD44" s="46"/>
      <c r="AE44" s="46"/>
      <c r="AF44" s="45" t="s">
        <v>0</v>
      </c>
      <c r="AG44" s="46"/>
      <c r="AH44" s="47" t="s">
        <v>0</v>
      </c>
    </row>
    <row r="45" spans="2:35" ht="16.5" thickTop="1">
      <c r="B45" s="81" t="s">
        <v>0</v>
      </c>
      <c r="C45" s="82"/>
      <c r="D45" s="82"/>
      <c r="H45" s="83"/>
      <c r="I45" s="83"/>
      <c r="K45" s="83"/>
      <c r="L45" s="83"/>
      <c r="N45" s="78"/>
      <c r="O45" s="78"/>
      <c r="P45" s="46"/>
      <c r="Q45" s="78"/>
      <c r="R45" s="78"/>
      <c r="S45" s="78"/>
      <c r="T45" s="78"/>
      <c r="U45" s="78"/>
      <c r="V45" s="54"/>
      <c r="W45" s="78"/>
      <c r="X45" s="54"/>
      <c r="Y45" s="46"/>
      <c r="AA45" s="46"/>
      <c r="AB45" s="46"/>
      <c r="AC45" s="46"/>
      <c r="AD45" s="46"/>
      <c r="AE45" s="46"/>
      <c r="AF45" s="60"/>
      <c r="AG45" s="46"/>
      <c r="AH45" s="10"/>
    </row>
    <row r="46" spans="2:35">
      <c r="B46" s="56">
        <v>18</v>
      </c>
      <c r="D46" s="4" t="s">
        <v>69</v>
      </c>
      <c r="H46" s="83"/>
      <c r="I46" s="83"/>
      <c r="K46" s="83"/>
      <c r="L46" s="83"/>
      <c r="N46" s="78">
        <v>311.00673999999998</v>
      </c>
      <c r="O46" s="41">
        <f>'Billing Determinants'!I1279/1000</f>
        <v>651.51829000000009</v>
      </c>
      <c r="P46" s="84"/>
      <c r="Q46" s="41">
        <f>O46</f>
        <v>651.51829000000009</v>
      </c>
      <c r="R46" s="78"/>
      <c r="S46" s="41">
        <f>Q46</f>
        <v>651.51829000000009</v>
      </c>
      <c r="T46" s="78"/>
      <c r="U46" s="62"/>
      <c r="V46" s="42"/>
      <c r="W46" s="62"/>
      <c r="X46" s="42"/>
      <c r="Y46" s="46"/>
      <c r="AA46" s="46"/>
      <c r="AB46" s="46"/>
      <c r="AC46" s="46"/>
      <c r="AD46" s="40"/>
      <c r="AE46" s="46"/>
      <c r="AF46" s="60"/>
      <c r="AG46" s="46"/>
      <c r="AH46" s="10"/>
    </row>
    <row r="47" spans="2:35">
      <c r="B47" s="56"/>
      <c r="H47" s="83"/>
      <c r="I47" s="83"/>
      <c r="K47" s="83"/>
      <c r="L47" s="83"/>
      <c r="N47" s="78"/>
      <c r="O47" s="78"/>
      <c r="P47" s="84"/>
      <c r="Q47" s="41"/>
      <c r="R47" s="78"/>
      <c r="S47" s="41"/>
      <c r="T47" s="78"/>
      <c r="U47" s="62"/>
      <c r="V47" s="42"/>
      <c r="W47" s="62"/>
      <c r="X47" s="42"/>
      <c r="Y47" s="46"/>
      <c r="AA47" s="46"/>
      <c r="AB47" s="46"/>
      <c r="AC47" s="46"/>
      <c r="AD47" s="40"/>
      <c r="AE47" s="46"/>
      <c r="AF47" s="60"/>
      <c r="AG47" s="46"/>
      <c r="AH47" s="10"/>
    </row>
    <row r="48" spans="2:35" ht="16.5" thickBot="1">
      <c r="B48" s="56">
        <v>19</v>
      </c>
      <c r="D48" s="85" t="s">
        <v>70</v>
      </c>
      <c r="H48" s="86">
        <f>SUM(H44:H46)</f>
        <v>128476.41666666667</v>
      </c>
      <c r="I48" s="86">
        <f>SUM(I44:I46)</f>
        <v>132778.43714676326</v>
      </c>
      <c r="K48" s="86">
        <f>SUM(K44:K46)</f>
        <v>4880827.1987742558</v>
      </c>
      <c r="L48" s="86">
        <f>SUM(L44:L46)</f>
        <v>4010161.4332736093</v>
      </c>
      <c r="N48" s="77">
        <f>SUM(N44:N46)</f>
        <v>275525.44462963147</v>
      </c>
      <c r="O48" s="77">
        <f>SUM(O44:O46)</f>
        <v>321605.65781952307</v>
      </c>
      <c r="Q48" s="87">
        <f>SUM(Q44:Q46)</f>
        <v>331169.2861253132</v>
      </c>
      <c r="R48" s="78"/>
      <c r="S48" s="87">
        <f>SUM(S44:S46)</f>
        <v>330820.81667268457</v>
      </c>
      <c r="T48" s="78"/>
      <c r="U48" s="77">
        <f>SUM(U44:U46)</f>
        <v>9563.6286448638202</v>
      </c>
      <c r="V48" s="79">
        <f>U48/O48</f>
        <v>2.9737128101865316E-2</v>
      </c>
      <c r="W48" s="77">
        <f>SUM(W44:W46)</f>
        <v>-348.46945262864779</v>
      </c>
      <c r="X48" s="79">
        <f>W48/O48</f>
        <v>-1.0835302307529676E-3</v>
      </c>
      <c r="AD48" s="40"/>
      <c r="AF48" s="10"/>
      <c r="AG48" s="10"/>
      <c r="AH48" s="10"/>
    </row>
    <row r="49" spans="10:33" ht="18.75" customHeight="1" thickTop="1">
      <c r="J49" s="5"/>
      <c r="U49" s="39" t="s">
        <v>0</v>
      </c>
      <c r="V49" s="88" t="s">
        <v>0</v>
      </c>
      <c r="X49" s="88" t="s">
        <v>0</v>
      </c>
    </row>
    <row r="50" spans="10:33" ht="18.75" customHeight="1" thickBot="1">
      <c r="U50" s="102" t="s">
        <v>0</v>
      </c>
      <c r="V50" s="79" t="s">
        <v>0</v>
      </c>
      <c r="X50" s="88"/>
    </row>
    <row r="51" spans="10:33" ht="16.5" thickTop="1">
      <c r="N51" s="91"/>
      <c r="O51" s="91"/>
      <c r="P51" s="10"/>
      <c r="S51" s="62"/>
      <c r="U51" s="62"/>
      <c r="V51" s="92"/>
      <c r="W51" s="62">
        <v>-348.03300000000002</v>
      </c>
      <c r="X51" s="92"/>
      <c r="Y51" s="10"/>
      <c r="AA51" s="10"/>
      <c r="AB51" s="10"/>
      <c r="AC51" s="10"/>
      <c r="AD51" s="10"/>
      <c r="AE51" s="10"/>
      <c r="AF51" s="10"/>
      <c r="AG51" s="10"/>
    </row>
    <row r="52" spans="10:33">
      <c r="P52" s="10"/>
      <c r="U52" s="93"/>
      <c r="Y52" s="10"/>
      <c r="Z52" s="10"/>
      <c r="AA52" s="10"/>
      <c r="AB52" s="10"/>
      <c r="AC52" s="10"/>
      <c r="AD52" s="10"/>
      <c r="AE52" s="10"/>
      <c r="AF52" s="10"/>
      <c r="AG52" s="10"/>
    </row>
    <row r="53" spans="10:33">
      <c r="Q53" s="45"/>
      <c r="U53" s="94"/>
      <c r="V53" s="95"/>
      <c r="W53" s="94"/>
    </row>
    <row r="54" spans="10:33">
      <c r="Q54" s="10"/>
      <c r="U54" s="96"/>
      <c r="V54" s="97"/>
      <c r="W54" s="96"/>
    </row>
    <row r="55" spans="10:33">
      <c r="Q55" s="35"/>
      <c r="U55" s="98"/>
      <c r="V55" s="99"/>
      <c r="W55" s="98"/>
    </row>
    <row r="56" spans="10:33">
      <c r="Q56" s="100"/>
      <c r="V56" s="54"/>
    </row>
    <row r="57" spans="10:33">
      <c r="Q57" s="5"/>
      <c r="V57" s="101"/>
    </row>
    <row r="59" spans="10:33">
      <c r="Q59" s="35"/>
      <c r="X59" s="63"/>
    </row>
  </sheetData>
  <mergeCells count="8">
    <mergeCell ref="W10:Z10"/>
    <mergeCell ref="B45:D45"/>
    <mergeCell ref="B2:AB2"/>
    <mergeCell ref="B3:AB3"/>
    <mergeCell ref="B4:AB4"/>
    <mergeCell ref="B5:AB5"/>
    <mergeCell ref="B6:AB6"/>
    <mergeCell ref="B7:AB7"/>
  </mergeCells>
  <printOptions horizontalCentered="1"/>
  <pageMargins left="0.25" right="0.25" top="0.5" bottom="0.5" header="0.5" footer="0.25"/>
  <pageSetup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AL59"/>
  <sheetViews>
    <sheetView view="pageBreakPreview" topLeftCell="B1" zoomScale="70" zoomScaleNormal="55" zoomScaleSheetLayoutView="70" workbookViewId="0">
      <selection activeCell="AJ42" sqref="AJ42"/>
    </sheetView>
  </sheetViews>
  <sheetFormatPr defaultColWidth="10.25" defaultRowHeight="15.75"/>
  <cols>
    <col min="1" max="1" width="0" style="1" hidden="1" customWidth="1"/>
    <col min="2" max="2" width="4.625" style="1" customWidth="1"/>
    <col min="3" max="3" width="2.125" style="1" customWidth="1"/>
    <col min="4" max="4" width="35.875" style="4" customWidth="1"/>
    <col min="5" max="5" width="2.125" style="4" customWidth="1"/>
    <col min="6" max="6" width="5.625" style="4" bestFit="1" customWidth="1"/>
    <col min="7" max="7" width="2.125" style="4" customWidth="1"/>
    <col min="8" max="8" width="9.25" style="1" hidden="1" customWidth="1"/>
    <col min="9" max="9" width="9.25" style="1" customWidth="1"/>
    <col min="10" max="10" width="2" style="1" customWidth="1"/>
    <col min="11" max="11" width="11" style="1" hidden="1" customWidth="1"/>
    <col min="12" max="12" width="11" style="1" bestFit="1" customWidth="1"/>
    <col min="13" max="13" width="2.875" style="1" customWidth="1"/>
    <col min="14" max="14" width="10.25" style="1" hidden="1" customWidth="1"/>
    <col min="15" max="15" width="12.625" style="1" bestFit="1" customWidth="1"/>
    <col min="16" max="16" width="2.75" style="1" customWidth="1"/>
    <col min="17" max="17" width="14.625" style="1" customWidth="1"/>
    <col min="18" max="18" width="2" style="1" customWidth="1"/>
    <col min="19" max="19" width="20.25" style="1" hidden="1" customWidth="1"/>
    <col min="20" max="20" width="2.625" style="1" hidden="1" customWidth="1"/>
    <col min="21" max="21" width="10.5" style="1" bestFit="1" customWidth="1"/>
    <col min="22" max="22" width="8.75" style="1" bestFit="1" customWidth="1"/>
    <col min="23" max="23" width="14.125" style="1" hidden="1" customWidth="1"/>
    <col min="24" max="24" width="8.75" style="1" hidden="1" customWidth="1"/>
    <col min="25" max="25" width="8.875" style="1" hidden="1" customWidth="1"/>
    <col min="26" max="26" width="7.75" style="1" hidden="1" customWidth="1"/>
    <col min="27" max="27" width="2.625" style="1" hidden="1" customWidth="1"/>
    <col min="28" max="28" width="11.5" style="1" hidden="1" customWidth="1"/>
    <col min="29" max="29" width="3.875" style="1" customWidth="1"/>
    <col min="30" max="30" width="11.75" style="1" bestFit="1" customWidth="1"/>
    <col min="31" max="31" width="2.125" style="1" customWidth="1"/>
    <col min="32" max="32" width="8.25" style="1" customWidth="1"/>
    <col min="33" max="33" width="3.125" style="1" customWidth="1"/>
    <col min="34" max="34" width="7.25" style="1" customWidth="1"/>
    <col min="35" max="35" width="0.125" style="1" customWidth="1"/>
    <col min="36" max="36" width="10.25" style="1" customWidth="1"/>
    <col min="37" max="37" width="13.5" style="1" bestFit="1" customWidth="1"/>
    <col min="38" max="16384" width="10.25" style="1"/>
  </cols>
  <sheetData>
    <row r="1" spans="2:38" ht="18.75">
      <c r="C1" s="2"/>
      <c r="D1" s="3"/>
      <c r="Q1" s="5" t="s">
        <v>0</v>
      </c>
    </row>
    <row r="2" spans="2:38">
      <c r="B2" s="6" t="s">
        <v>77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2:38">
      <c r="B3" s="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2:38">
      <c r="B4" s="8" t="s">
        <v>78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2:38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9"/>
      <c r="X5" s="9"/>
      <c r="Y5" s="9"/>
      <c r="Z5" s="9" t="s">
        <v>0</v>
      </c>
      <c r="AA5" s="9"/>
      <c r="AB5" s="9"/>
      <c r="AC5" s="9"/>
      <c r="AD5" s="9"/>
      <c r="AE5" s="9"/>
      <c r="AF5" s="9"/>
      <c r="AG5" s="9"/>
      <c r="AH5" s="9"/>
      <c r="AI5" s="9"/>
    </row>
    <row r="6" spans="2:38">
      <c r="B6" s="8" t="s">
        <v>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2:38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2:38">
      <c r="M8" s="10"/>
      <c r="N8" s="11"/>
      <c r="O8" s="11"/>
      <c r="P8" s="12"/>
      <c r="Q8" s="12"/>
      <c r="R8" s="11"/>
      <c r="S8" s="11"/>
      <c r="T8" s="11"/>
      <c r="U8" s="12"/>
      <c r="V8" s="12"/>
      <c r="W8" s="12"/>
      <c r="X8" s="12"/>
      <c r="Y8" s="12"/>
      <c r="Z8" s="12"/>
      <c r="AA8" s="12"/>
      <c r="AB8" s="13" t="s">
        <v>7</v>
      </c>
      <c r="AC8" s="12"/>
      <c r="AD8" s="12"/>
      <c r="AE8" s="12"/>
      <c r="AF8" s="12"/>
      <c r="AG8" s="12"/>
      <c r="AH8" s="12"/>
      <c r="AI8" s="12"/>
      <c r="AJ8" s="10"/>
      <c r="AK8" s="10"/>
      <c r="AL8" s="10"/>
    </row>
    <row r="9" spans="2:38">
      <c r="N9" s="14" t="s">
        <v>8</v>
      </c>
      <c r="R9" s="17" t="s">
        <v>0</v>
      </c>
      <c r="S9" s="16"/>
      <c r="T9" s="17"/>
      <c r="AA9" s="15"/>
      <c r="AB9" s="18" t="s">
        <v>11</v>
      </c>
      <c r="AC9" s="15"/>
      <c r="AD9" s="13" t="s">
        <v>10</v>
      </c>
      <c r="AE9" s="15"/>
      <c r="AF9" s="13" t="s">
        <v>79</v>
      </c>
      <c r="AG9" s="15"/>
      <c r="AH9" s="15"/>
      <c r="AI9" s="15"/>
    </row>
    <row r="10" spans="2:38">
      <c r="F10" s="19" t="s">
        <v>12</v>
      </c>
      <c r="G10" s="19"/>
      <c r="H10" s="14" t="s">
        <v>13</v>
      </c>
      <c r="N10" s="13" t="s">
        <v>14</v>
      </c>
      <c r="O10" s="14" t="s">
        <v>9</v>
      </c>
      <c r="P10" s="15"/>
      <c r="Q10" s="13" t="s">
        <v>10</v>
      </c>
      <c r="R10" s="13"/>
      <c r="S10" s="13"/>
      <c r="T10" s="13"/>
      <c r="U10" s="17" t="s">
        <v>0</v>
      </c>
      <c r="V10" s="17"/>
      <c r="W10" s="21" t="s">
        <v>16</v>
      </c>
      <c r="X10" s="21"/>
      <c r="Y10" s="21"/>
      <c r="Z10" s="21"/>
      <c r="AA10" s="17"/>
      <c r="AB10" s="17"/>
      <c r="AC10" s="17"/>
      <c r="AD10" s="13" t="s">
        <v>16</v>
      </c>
      <c r="AE10" s="17"/>
      <c r="AF10" s="13" t="s">
        <v>16</v>
      </c>
      <c r="AG10" s="22"/>
      <c r="AH10" s="17"/>
      <c r="AI10" s="22"/>
    </row>
    <row r="11" spans="2:38">
      <c r="B11" s="22" t="s">
        <v>17</v>
      </c>
      <c r="F11" s="19" t="s">
        <v>18</v>
      </c>
      <c r="G11" s="19"/>
      <c r="H11" s="14" t="s">
        <v>19</v>
      </c>
      <c r="I11" s="14" t="s">
        <v>13</v>
      </c>
      <c r="K11" s="14" t="s">
        <v>20</v>
      </c>
      <c r="N11" s="14" t="s">
        <v>21</v>
      </c>
      <c r="O11" s="14" t="s">
        <v>21</v>
      </c>
      <c r="P11" s="22"/>
      <c r="Q11" s="23" t="s">
        <v>21</v>
      </c>
      <c r="R11" s="14"/>
      <c r="S11" s="14"/>
      <c r="T11" s="14"/>
      <c r="U11" s="103" t="s">
        <v>16</v>
      </c>
      <c r="V11" s="103"/>
      <c r="W11" s="24" t="s">
        <v>22</v>
      </c>
      <c r="X11" s="14" t="s">
        <v>7</v>
      </c>
      <c r="Y11" s="24" t="s">
        <v>15</v>
      </c>
      <c r="Z11" s="14" t="s">
        <v>15</v>
      </c>
      <c r="AA11" s="22"/>
      <c r="AB11" s="22"/>
      <c r="AC11" s="22"/>
      <c r="AD11" s="14" t="s">
        <v>23</v>
      </c>
      <c r="AE11" s="22"/>
      <c r="AF11" s="14" t="s">
        <v>80</v>
      </c>
      <c r="AG11" s="22"/>
      <c r="AH11" s="13"/>
      <c r="AI11" s="25"/>
      <c r="AJ11" s="10"/>
    </row>
    <row r="12" spans="2:38">
      <c r="B12" s="26" t="s">
        <v>24</v>
      </c>
      <c r="D12" s="27" t="s">
        <v>25</v>
      </c>
      <c r="F12" s="27" t="s">
        <v>24</v>
      </c>
      <c r="G12" s="28"/>
      <c r="H12" s="29" t="s">
        <v>8</v>
      </c>
      <c r="I12" s="18" t="s">
        <v>19</v>
      </c>
      <c r="K12" s="29" t="s">
        <v>8</v>
      </c>
      <c r="L12" s="18" t="s">
        <v>20</v>
      </c>
      <c r="N12" s="30" t="s">
        <v>26</v>
      </c>
      <c r="O12" s="30" t="s">
        <v>26</v>
      </c>
      <c r="P12" s="13"/>
      <c r="Q12" s="31" t="s">
        <v>26</v>
      </c>
      <c r="R12" s="32"/>
      <c r="S12" s="30"/>
      <c r="T12" s="32"/>
      <c r="U12" s="33" t="s">
        <v>26</v>
      </c>
      <c r="V12" s="18" t="s">
        <v>27</v>
      </c>
      <c r="W12" s="33" t="s">
        <v>26</v>
      </c>
      <c r="X12" s="18" t="s">
        <v>27</v>
      </c>
      <c r="Y12" s="33" t="s">
        <v>26</v>
      </c>
      <c r="Z12" s="18" t="s">
        <v>27</v>
      </c>
      <c r="AA12" s="25"/>
      <c r="AB12" s="34" t="s">
        <v>28</v>
      </c>
      <c r="AC12" s="25"/>
      <c r="AD12" s="30" t="s">
        <v>28</v>
      </c>
      <c r="AE12" s="25"/>
      <c r="AF12" s="18" t="s">
        <v>81</v>
      </c>
      <c r="AG12" s="25"/>
      <c r="AH12" s="13"/>
      <c r="AI12" s="25"/>
      <c r="AJ12" s="10"/>
    </row>
    <row r="13" spans="2:38">
      <c r="B13" s="35"/>
      <c r="D13" s="24" t="s">
        <v>29</v>
      </c>
      <c r="F13" s="24" t="s">
        <v>30</v>
      </c>
      <c r="G13" s="19"/>
      <c r="H13" s="24"/>
      <c r="I13" s="24" t="s">
        <v>31</v>
      </c>
      <c r="K13" s="24"/>
      <c r="L13" s="24" t="s">
        <v>32</v>
      </c>
      <c r="N13" s="24"/>
      <c r="O13" s="24" t="s">
        <v>33</v>
      </c>
      <c r="P13" s="24"/>
      <c r="Q13" s="24" t="s">
        <v>34</v>
      </c>
      <c r="R13" s="24"/>
      <c r="S13" s="24"/>
      <c r="T13" s="24"/>
      <c r="U13" s="24" t="s">
        <v>35</v>
      </c>
      <c r="V13" s="24" t="s">
        <v>36</v>
      </c>
      <c r="W13" s="24" t="s">
        <v>37</v>
      </c>
      <c r="X13" s="24" t="s">
        <v>38</v>
      </c>
      <c r="Y13" s="24" t="s">
        <v>39</v>
      </c>
      <c r="Z13" s="24" t="s">
        <v>40</v>
      </c>
      <c r="AA13" s="24"/>
      <c r="AB13" s="24"/>
      <c r="AC13" s="24"/>
      <c r="AD13" s="24" t="s">
        <v>37</v>
      </c>
      <c r="AE13" s="24"/>
      <c r="AF13" s="24" t="s">
        <v>38</v>
      </c>
      <c r="AG13" s="24"/>
      <c r="AH13" s="20"/>
      <c r="AI13" s="20"/>
      <c r="AJ13" s="10"/>
    </row>
    <row r="14" spans="2:38">
      <c r="P14" s="24"/>
      <c r="Q14" s="24" t="s">
        <v>0</v>
      </c>
      <c r="V14" s="24" t="s">
        <v>41</v>
      </c>
      <c r="X14" s="24" t="s">
        <v>0</v>
      </c>
      <c r="Y14" s="24" t="s">
        <v>42</v>
      </c>
      <c r="Z14" s="24" t="s">
        <v>43</v>
      </c>
      <c r="AD14" s="24" t="s">
        <v>82</v>
      </c>
      <c r="AF14" s="24" t="s">
        <v>83</v>
      </c>
      <c r="AH14" s="10"/>
      <c r="AI14" s="10"/>
      <c r="AJ14" s="10"/>
    </row>
    <row r="15" spans="2:38">
      <c r="D15" s="36" t="s">
        <v>45</v>
      </c>
      <c r="AH15" s="10"/>
      <c r="AI15" s="10"/>
      <c r="AJ15" s="10"/>
    </row>
    <row r="16" spans="2:38">
      <c r="B16" s="22">
        <v>1</v>
      </c>
      <c r="D16" s="4" t="s">
        <v>46</v>
      </c>
      <c r="F16" s="37" t="s">
        <v>47</v>
      </c>
      <c r="G16" s="37"/>
      <c r="H16" s="38">
        <v>101336.91666666667</v>
      </c>
      <c r="I16" s="38">
        <f>'Billing Determinants'!C89/12</f>
        <v>104635.09245519141</v>
      </c>
      <c r="J16" s="5"/>
      <c r="K16" s="38">
        <v>1569938.6044392167</v>
      </c>
      <c r="L16" s="38">
        <f>'Billing Determinants'!C101/1000</f>
        <v>1572834.8567787264</v>
      </c>
      <c r="N16" s="39">
        <v>102672.94442530281</v>
      </c>
      <c r="O16" s="39">
        <f>'Billing Determinants'!I101/1000</f>
        <v>140088.11881608813</v>
      </c>
      <c r="P16" s="40"/>
      <c r="Q16" s="39">
        <f>O16+U16</f>
        <v>144612.84433041027</v>
      </c>
      <c r="R16" s="39"/>
      <c r="S16" s="41"/>
      <c r="T16" s="39"/>
      <c r="U16" s="39">
        <f>'Rate Spread GRC'!U16+'Rate Spread Sch 92'!W16</f>
        <v>4524.7255143221273</v>
      </c>
      <c r="V16" s="42">
        <f>U16/O16</f>
        <v>3.229913823214603E-2</v>
      </c>
      <c r="W16" s="39">
        <f>(AB16/100)*L16</f>
        <v>2469.3507251426004</v>
      </c>
      <c r="X16" s="42">
        <f>W16/O16</f>
        <v>1.7627124598513868E-2</v>
      </c>
      <c r="Y16" s="39">
        <f>U16+W16</f>
        <v>6994.0762394647281</v>
      </c>
      <c r="Z16" s="42">
        <f>Y16/O16</f>
        <v>4.9926262830659894E-2</v>
      </c>
      <c r="AA16" s="40"/>
      <c r="AB16" s="43">
        <f>ROUND((((Q16/$Q$44)*$W$51)/L16)*100,3)</f>
        <v>0.157</v>
      </c>
      <c r="AC16" s="40"/>
      <c r="AD16" s="44">
        <f>Q16/L16*100</f>
        <v>9.1944073916690314</v>
      </c>
      <c r="AE16" s="40"/>
      <c r="AF16" s="60">
        <f>(U16/L16)*100</f>
        <v>0.28767963113362549</v>
      </c>
      <c r="AG16" s="40"/>
      <c r="AH16" s="45" t="s">
        <v>0</v>
      </c>
      <c r="AI16" s="46"/>
      <c r="AJ16" s="47" t="s">
        <v>0</v>
      </c>
      <c r="AK16" s="5" t="s">
        <v>0</v>
      </c>
    </row>
    <row r="17" spans="2:38">
      <c r="H17" s="48"/>
      <c r="I17" s="48"/>
      <c r="K17" s="48"/>
      <c r="L17" s="48"/>
      <c r="N17" s="48"/>
      <c r="O17" s="48"/>
      <c r="P17" s="10"/>
      <c r="Q17" s="48"/>
      <c r="R17" s="10"/>
      <c r="S17" s="49"/>
      <c r="T17" s="10"/>
      <c r="U17" s="48"/>
      <c r="V17" s="50"/>
      <c r="W17" s="48"/>
      <c r="X17" s="51"/>
      <c r="Y17" s="48"/>
      <c r="Z17" s="51"/>
      <c r="AA17" s="10"/>
      <c r="AB17" s="52"/>
      <c r="AC17" s="10"/>
      <c r="AD17" s="49"/>
      <c r="AE17" s="10"/>
      <c r="AF17" s="104"/>
      <c r="AG17" s="10"/>
      <c r="AH17" s="53"/>
      <c r="AI17" s="10"/>
      <c r="AJ17" s="10"/>
    </row>
    <row r="18" spans="2:38">
      <c r="V18" s="54"/>
      <c r="X18" s="54"/>
      <c r="Z18" s="54"/>
      <c r="AB18" s="55"/>
      <c r="AF18" s="105"/>
      <c r="AH18" s="53"/>
      <c r="AI18" s="10"/>
      <c r="AJ18" s="10"/>
    </row>
    <row r="19" spans="2:38">
      <c r="B19" s="56">
        <f>MAX(B$13:B18)+1</f>
        <v>2</v>
      </c>
      <c r="D19" s="36" t="s">
        <v>48</v>
      </c>
      <c r="H19" s="57">
        <f>SUM(H16:H16)</f>
        <v>101336.91666666667</v>
      </c>
      <c r="I19" s="57">
        <f>SUM(I16:I16)</f>
        <v>104635.09245519141</v>
      </c>
      <c r="K19" s="57">
        <f>SUM(K16:K16)</f>
        <v>1569938.6044392167</v>
      </c>
      <c r="L19" s="57">
        <f>SUM(L16:L16)</f>
        <v>1572834.8567787264</v>
      </c>
      <c r="M19" s="57"/>
      <c r="N19" s="58">
        <f>SUM(N16:N16)</f>
        <v>102672.94442530281</v>
      </c>
      <c r="O19" s="58">
        <f>SUM(O16:O16)</f>
        <v>140088.11881608813</v>
      </c>
      <c r="P19" s="40"/>
      <c r="Q19" s="58">
        <f>SUM(Q16:Q16)</f>
        <v>144612.84433041027</v>
      </c>
      <c r="R19" s="58"/>
      <c r="S19" s="58"/>
      <c r="T19" s="58"/>
      <c r="U19" s="39">
        <f>SUM(U16)</f>
        <v>4524.7255143221273</v>
      </c>
      <c r="V19" s="42">
        <f>U19/O19</f>
        <v>3.229913823214603E-2</v>
      </c>
      <c r="W19" s="39">
        <f>SUM(W16)</f>
        <v>2469.3507251426004</v>
      </c>
      <c r="X19" s="42">
        <f>W19/O19</f>
        <v>1.7627124598513868E-2</v>
      </c>
      <c r="Y19" s="39">
        <f>U19+W19</f>
        <v>6994.0762394647281</v>
      </c>
      <c r="Z19" s="42">
        <f>Y19/O19</f>
        <v>4.9926262830659894E-2</v>
      </c>
      <c r="AA19" s="40"/>
      <c r="AB19" s="59"/>
      <c r="AC19" s="40"/>
      <c r="AD19" s="44">
        <f>Q19/L19*100</f>
        <v>9.1944073916690314</v>
      </c>
      <c r="AE19" s="40"/>
      <c r="AF19" s="60">
        <f>(U19/L19)*100</f>
        <v>0.28767963113362549</v>
      </c>
      <c r="AG19" s="40"/>
      <c r="AH19" s="60"/>
      <c r="AI19" s="46"/>
      <c r="AJ19" s="10"/>
    </row>
    <row r="20" spans="2:38">
      <c r="L20" s="5" t="s">
        <v>0</v>
      </c>
      <c r="V20" s="54"/>
      <c r="X20" s="54"/>
      <c r="Z20" s="54"/>
      <c r="AB20" s="55"/>
      <c r="AF20" s="105"/>
      <c r="AH20" s="53"/>
      <c r="AI20" s="10"/>
      <c r="AJ20" s="10"/>
    </row>
    <row r="21" spans="2:38">
      <c r="D21" s="36" t="s">
        <v>49</v>
      </c>
      <c r="H21" s="61"/>
      <c r="I21" s="61"/>
      <c r="V21" s="54"/>
      <c r="X21" s="54"/>
      <c r="Z21" s="54"/>
      <c r="AB21" s="55"/>
      <c r="AF21" s="105"/>
      <c r="AH21" s="53"/>
      <c r="AI21" s="10"/>
      <c r="AJ21" s="10"/>
    </row>
    <row r="22" spans="2:38">
      <c r="B22" s="56">
        <f>MAX(B$13:B21)+1</f>
        <v>3</v>
      </c>
      <c r="D22" s="4" t="s">
        <v>50</v>
      </c>
      <c r="F22" s="19">
        <v>24</v>
      </c>
      <c r="G22" s="19"/>
      <c r="H22" s="38">
        <v>17306.416666666664</v>
      </c>
      <c r="I22" s="38">
        <f>'Billing Determinants'!C177/12</f>
        <v>18788.493749999969</v>
      </c>
      <c r="K22" s="38">
        <v>513041.74113523914</v>
      </c>
      <c r="L22" s="38">
        <f>'Billing Determinants'!C205/1000</f>
        <v>543201.5574379696</v>
      </c>
      <c r="N22" s="58">
        <v>33647.646251191611</v>
      </c>
      <c r="O22" s="39">
        <f>'Billing Determinants'!I205/1000</f>
        <v>48473.096458215186</v>
      </c>
      <c r="P22" s="40"/>
      <c r="Q22" s="39">
        <f t="shared" ref="Q22:Q29" si="0">O22+U22</f>
        <v>49141.345302471389</v>
      </c>
      <c r="R22" s="39"/>
      <c r="S22" s="41"/>
      <c r="T22" s="39"/>
      <c r="U22" s="39">
        <f>'Rate Spread GRC'!U22+'Rate Spread Sch 92'!W22</f>
        <v>668.24884425620303</v>
      </c>
      <c r="V22" s="42">
        <f>U22/O22</f>
        <v>1.3785973933648893E-2</v>
      </c>
      <c r="W22" s="39">
        <f t="shared" ref="W22:W29" si="1">(AB22/100)*L22</f>
        <v>841.96241402885289</v>
      </c>
      <c r="X22" s="42">
        <f>W22/O22</f>
        <v>1.7369684949973062E-2</v>
      </c>
      <c r="Y22" s="39">
        <f t="shared" ref="Y22:Y29" si="2">U22+W22</f>
        <v>1510.2112582850559</v>
      </c>
      <c r="Z22" s="42">
        <f>Y22/O22</f>
        <v>3.1155658883621956E-2</v>
      </c>
      <c r="AA22" s="40"/>
      <c r="AB22" s="43">
        <f t="shared" ref="AB22:AB29" si="3">ROUND((((Q22/$Q$44)*$W$51)/L22)*100,3)</f>
        <v>0.155</v>
      </c>
      <c r="AC22" s="40"/>
      <c r="AD22" s="44">
        <f>Q22/L22*100</f>
        <v>9.0466134770026017</v>
      </c>
      <c r="AE22" s="40"/>
      <c r="AF22" s="60">
        <f>(U22/L22)*100</f>
        <v>0.12302042126094476</v>
      </c>
      <c r="AG22" s="40"/>
      <c r="AH22" s="60"/>
      <c r="AI22" s="46"/>
      <c r="AJ22" s="10"/>
      <c r="AK22" s="62"/>
      <c r="AL22" s="63"/>
    </row>
    <row r="23" spans="2:38">
      <c r="B23" s="56">
        <f>MAX(B$13:B22)+1</f>
        <v>4</v>
      </c>
      <c r="D23" s="4" t="s">
        <v>51</v>
      </c>
      <c r="E23" s="64"/>
      <c r="F23" s="19">
        <v>33</v>
      </c>
      <c r="G23" s="19"/>
      <c r="H23" s="38">
        <v>0</v>
      </c>
      <c r="I23" s="38">
        <v>0</v>
      </c>
      <c r="K23" s="38">
        <v>0</v>
      </c>
      <c r="L23" s="38">
        <v>0</v>
      </c>
      <c r="N23" s="39">
        <v>0</v>
      </c>
      <c r="O23" s="39">
        <v>0</v>
      </c>
      <c r="P23" s="40"/>
      <c r="Q23" s="39">
        <f t="shared" si="0"/>
        <v>0</v>
      </c>
      <c r="R23" s="39"/>
      <c r="S23" s="41"/>
      <c r="T23" s="39"/>
      <c r="U23" s="39">
        <f>'Rate Spread GRC'!U23+'Rate Spread Sch 92'!W23</f>
        <v>0</v>
      </c>
      <c r="V23" s="42">
        <f>V24</f>
        <v>3.2348846746610156E-2</v>
      </c>
      <c r="W23" s="39">
        <f t="shared" si="1"/>
        <v>0</v>
      </c>
      <c r="X23" s="42">
        <f>X24</f>
        <v>1.7698210490469296E-2</v>
      </c>
      <c r="Y23" s="39">
        <f t="shared" si="2"/>
        <v>0</v>
      </c>
      <c r="Z23" s="42">
        <f>V23+X23</f>
        <v>5.0047057237079452E-2</v>
      </c>
      <c r="AA23" s="40"/>
      <c r="AB23" s="43">
        <f>AB24</f>
        <v>0.13200000000000001</v>
      </c>
      <c r="AC23" s="40"/>
      <c r="AD23" s="44">
        <v>0</v>
      </c>
      <c r="AE23" s="40"/>
      <c r="AF23" s="60">
        <v>0</v>
      </c>
      <c r="AG23" s="40"/>
      <c r="AH23" s="60"/>
      <c r="AI23" s="46"/>
      <c r="AJ23" s="10"/>
      <c r="AK23" s="62"/>
      <c r="AL23" s="63"/>
    </row>
    <row r="24" spans="2:38">
      <c r="B24" s="56">
        <f>MAX(B$13:B23)+1</f>
        <v>5</v>
      </c>
      <c r="D24" s="4" t="s">
        <v>52</v>
      </c>
      <c r="F24" s="19">
        <v>36</v>
      </c>
      <c r="G24" s="19"/>
      <c r="H24" s="38">
        <v>1058.6666666666667</v>
      </c>
      <c r="I24" s="38">
        <f>'Billing Determinants'!C606/12</f>
        <v>1053.9138888888895</v>
      </c>
      <c r="K24" s="38">
        <v>901191.51506367233</v>
      </c>
      <c r="L24" s="38">
        <f>'Billing Determinants'!C637/1000</f>
        <v>895773.15120793856</v>
      </c>
      <c r="N24" s="58">
        <v>49005.26783999426</v>
      </c>
      <c r="O24" s="39">
        <f>'Billing Determinants'!I637/1000</f>
        <v>66810.176104031925</v>
      </c>
      <c r="P24" s="40"/>
      <c r="Q24" s="39">
        <f t="shared" si="0"/>
        <v>68971.408251935296</v>
      </c>
      <c r="R24" s="39"/>
      <c r="S24" s="41"/>
      <c r="T24" s="39"/>
      <c r="U24" s="39">
        <f>'Rate Spread GRC'!U24+'Rate Spread Sch 92'!W24</f>
        <v>2161.2321479033649</v>
      </c>
      <c r="V24" s="42">
        <f>U24/O24</f>
        <v>3.2348846746610156E-2</v>
      </c>
      <c r="W24" s="39">
        <f t="shared" si="1"/>
        <v>1182.4205595944788</v>
      </c>
      <c r="X24" s="42">
        <f t="shared" ref="X24:X29" si="4">W24/O24</f>
        <v>1.7698210490469296E-2</v>
      </c>
      <c r="Y24" s="39">
        <f t="shared" si="2"/>
        <v>3343.6527074978439</v>
      </c>
      <c r="Z24" s="42">
        <f t="shared" ref="Z24:Z29" si="5">Y24/O24</f>
        <v>5.0047057237079459E-2</v>
      </c>
      <c r="AA24" s="40"/>
      <c r="AB24" s="43">
        <f t="shared" si="3"/>
        <v>0.13200000000000001</v>
      </c>
      <c r="AC24" s="40"/>
      <c r="AD24" s="44">
        <f>Q24/L24*100</f>
        <v>7.6996512073317049</v>
      </c>
      <c r="AE24" s="40"/>
      <c r="AF24" s="60">
        <f>(U24/L24)*100</f>
        <v>0.2412700296932288</v>
      </c>
      <c r="AG24" s="40"/>
      <c r="AH24" s="60"/>
      <c r="AI24" s="46"/>
      <c r="AJ24" s="10"/>
      <c r="AK24" s="62"/>
      <c r="AL24" s="63"/>
    </row>
    <row r="25" spans="2:38">
      <c r="B25" s="56">
        <f>MAX(B$13:B24)+1</f>
        <v>6</v>
      </c>
      <c r="D25" s="4" t="s">
        <v>53</v>
      </c>
      <c r="F25" s="19" t="s">
        <v>54</v>
      </c>
      <c r="G25" s="19"/>
      <c r="H25" s="38">
        <v>5259</v>
      </c>
      <c r="I25" s="38">
        <f>'Billing Determinants'!C726</f>
        <v>5247.0299819759166</v>
      </c>
      <c r="K25" s="38">
        <v>168033.04399999999</v>
      </c>
      <c r="L25" s="38">
        <f>'Billing Determinants'!C769/1000</f>
        <v>148533.3665584703</v>
      </c>
      <c r="N25" s="58">
        <v>10140.337</v>
      </c>
      <c r="O25" s="39">
        <f>'Billing Determinants'!I769/1000</f>
        <v>12666.289000000001</v>
      </c>
      <c r="P25" s="40"/>
      <c r="Q25" s="39">
        <f t="shared" si="0"/>
        <v>12841.620997009739</v>
      </c>
      <c r="R25" s="39"/>
      <c r="S25" s="41"/>
      <c r="T25" s="39"/>
      <c r="U25" s="39">
        <f>'Rate Spread GRC'!U25+'Rate Spread Sch 92'!W25</f>
        <v>175.33199700973768</v>
      </c>
      <c r="V25" s="42">
        <f>U25/O25</f>
        <v>1.384241248638316E-2</v>
      </c>
      <c r="W25" s="39">
        <f t="shared" si="1"/>
        <v>219.82938250653604</v>
      </c>
      <c r="X25" s="42">
        <f t="shared" si="4"/>
        <v>1.7355468717517499E-2</v>
      </c>
      <c r="Y25" s="39">
        <f t="shared" si="2"/>
        <v>395.16137951627371</v>
      </c>
      <c r="Z25" s="42">
        <f t="shared" si="5"/>
        <v>3.119788120390066E-2</v>
      </c>
      <c r="AA25" s="40"/>
      <c r="AB25" s="43">
        <f t="shared" si="3"/>
        <v>0.14799999999999999</v>
      </c>
      <c r="AC25" s="40"/>
      <c r="AD25" s="44">
        <f>Q25/L25*100</f>
        <v>8.6456136385723283</v>
      </c>
      <c r="AE25" s="40"/>
      <c r="AF25" s="60">
        <f>(U25/L25)*100</f>
        <v>0.11804216188738849</v>
      </c>
      <c r="AG25" s="40"/>
      <c r="AH25" s="60"/>
      <c r="AI25" s="46"/>
      <c r="AJ25" s="10"/>
    </row>
    <row r="26" spans="2:38">
      <c r="B26" s="56">
        <f>MAX(B$13:B25)+1</f>
        <v>7</v>
      </c>
      <c r="D26" s="4" t="s">
        <v>55</v>
      </c>
      <c r="F26" s="19">
        <v>47</v>
      </c>
      <c r="G26" s="19"/>
      <c r="H26" s="38">
        <v>1.0833333333333333</v>
      </c>
      <c r="I26" s="38">
        <f>'Billing Determinants'!C885/12</f>
        <v>1</v>
      </c>
      <c r="K26" s="38">
        <v>1616.6904507017675</v>
      </c>
      <c r="L26" s="38">
        <f>'Billing Determinants'!C899/1000</f>
        <v>1994.5324465218168</v>
      </c>
      <c r="N26" s="58">
        <v>165.62561725051643</v>
      </c>
      <c r="O26" s="39">
        <f>'Billing Determinants'!I899/1000</f>
        <v>292.12801280278654</v>
      </c>
      <c r="P26" s="40"/>
      <c r="Q26" s="39">
        <f t="shared" si="0"/>
        <v>301.89534085599524</v>
      </c>
      <c r="R26" s="39"/>
      <c r="S26" s="41"/>
      <c r="T26" s="39"/>
      <c r="U26" s="39">
        <f>'Rate Spread GRC'!U26+'Rate Spread Sch 92'!W26</f>
        <v>9.7673280532086917</v>
      </c>
      <c r="V26" s="42">
        <f>U26/O26</f>
        <v>3.3435095660622395E-2</v>
      </c>
      <c r="W26" s="39">
        <f t="shared" si="1"/>
        <v>5.1658390364915059</v>
      </c>
      <c r="X26" s="42">
        <f t="shared" si="4"/>
        <v>1.7683477140478566E-2</v>
      </c>
      <c r="Y26" s="39">
        <f t="shared" si="2"/>
        <v>14.933167089700198</v>
      </c>
      <c r="Z26" s="42">
        <f t="shared" si="5"/>
        <v>5.1118572801100964E-2</v>
      </c>
      <c r="AA26" s="40"/>
      <c r="AB26" s="43">
        <f t="shared" si="3"/>
        <v>0.25900000000000001</v>
      </c>
      <c r="AC26" s="40"/>
      <c r="AD26" s="44">
        <f>Q26/L26*100</f>
        <v>15.136145886343344</v>
      </c>
      <c r="AE26" s="40"/>
      <c r="AF26" s="60">
        <f>(U26/L26)*100</f>
        <v>0.48970514720086572</v>
      </c>
      <c r="AG26" s="40"/>
      <c r="AH26" s="60"/>
      <c r="AI26" s="46"/>
      <c r="AJ26" s="10"/>
    </row>
    <row r="27" spans="2:38">
      <c r="B27" s="56">
        <f>MAX(B$13:B26)+1</f>
        <v>8</v>
      </c>
      <c r="D27" s="4" t="s">
        <v>56</v>
      </c>
      <c r="F27" s="19">
        <v>48</v>
      </c>
      <c r="G27" s="19"/>
      <c r="H27" s="38">
        <v>63.666666666666671</v>
      </c>
      <c r="I27" s="38">
        <f>('Billing Determinants'!C926+'Billing Determinants'!C1095)/12</f>
        <v>62.012626262626249</v>
      </c>
      <c r="K27" s="38">
        <v>856497.09877425549</v>
      </c>
      <c r="L27" s="38">
        <f>('Billing Determinants'!C936+'Billing Determinants'!C1106)/1000</f>
        <v>834884.0372572965</v>
      </c>
      <c r="N27" s="58">
        <v>38996.209349631463</v>
      </c>
      <c r="O27" s="39">
        <f>('Billing Determinants'!I936+'Billing Determinants'!I1106)/1000</f>
        <v>50976.274610443281</v>
      </c>
      <c r="P27" s="40"/>
      <c r="Q27" s="39">
        <f t="shared" si="0"/>
        <v>52629.15256820785</v>
      </c>
      <c r="R27" s="39"/>
      <c r="S27" s="41"/>
      <c r="T27" s="39"/>
      <c r="U27" s="39">
        <f>'Rate Spread GRC'!U27+'Rate Spread Sch 92'!W27</f>
        <v>1652.877957764566</v>
      </c>
      <c r="V27" s="42">
        <f>U27/O27</f>
        <v>3.2424455698179803E-2</v>
      </c>
      <c r="W27" s="39">
        <f t="shared" si="1"/>
        <v>901.67476023788026</v>
      </c>
      <c r="X27" s="42">
        <f t="shared" si="4"/>
        <v>1.7688125841450922E-2</v>
      </c>
      <c r="Y27" s="39">
        <f t="shared" si="2"/>
        <v>2554.5527180024465</v>
      </c>
      <c r="Z27" s="42">
        <f t="shared" si="5"/>
        <v>5.0112581539630725E-2</v>
      </c>
      <c r="AA27" s="40"/>
      <c r="AB27" s="43">
        <f t="shared" si="3"/>
        <v>0.108</v>
      </c>
      <c r="AC27" s="40"/>
      <c r="AD27" s="44">
        <f>Q27/L27*100</f>
        <v>6.303767974903618</v>
      </c>
      <c r="AE27" s="40"/>
      <c r="AF27" s="60">
        <f>(U27/L27)*100</f>
        <v>0.1979769505708226</v>
      </c>
      <c r="AG27" s="40"/>
      <c r="AH27" s="60"/>
      <c r="AI27" s="46"/>
      <c r="AJ27" s="10"/>
      <c r="AK27" s="5" t="s">
        <v>0</v>
      </c>
    </row>
    <row r="28" spans="2:38" hidden="1">
      <c r="B28" s="56">
        <f>MAX(B$13:B26)+1</f>
        <v>8</v>
      </c>
      <c r="D28" s="4" t="s">
        <v>57</v>
      </c>
      <c r="F28" s="37" t="s">
        <v>58</v>
      </c>
      <c r="G28" s="19"/>
      <c r="H28" s="38">
        <v>63.666666666666671</v>
      </c>
      <c r="I28" s="38">
        <v>0</v>
      </c>
      <c r="K28" s="38">
        <v>856497.09877425549</v>
      </c>
      <c r="L28" s="38">
        <v>0</v>
      </c>
      <c r="N28" s="58">
        <v>38996.209349631463</v>
      </c>
      <c r="O28" s="39">
        <v>0</v>
      </c>
      <c r="P28" s="40"/>
      <c r="Q28" s="39">
        <f t="shared" si="0"/>
        <v>0</v>
      </c>
      <c r="R28" s="39"/>
      <c r="S28" s="41"/>
      <c r="T28" s="39"/>
      <c r="U28" s="39">
        <f>'Rate Spread GRC'!U28+'Rate Spread Sch 92'!W28</f>
        <v>0</v>
      </c>
      <c r="V28" s="42">
        <v>0</v>
      </c>
      <c r="W28" s="39">
        <v>0</v>
      </c>
      <c r="X28" s="42">
        <v>0</v>
      </c>
      <c r="Y28" s="39">
        <f t="shared" si="2"/>
        <v>0</v>
      </c>
      <c r="Z28" s="42">
        <v>0</v>
      </c>
      <c r="AA28" s="40"/>
      <c r="AB28" s="43" t="e">
        <f t="shared" si="3"/>
        <v>#DIV/0!</v>
      </c>
      <c r="AC28" s="40"/>
      <c r="AD28" s="44">
        <v>0</v>
      </c>
      <c r="AE28" s="40"/>
      <c r="AF28" s="60">
        <v>0</v>
      </c>
      <c r="AG28" s="40"/>
      <c r="AH28" s="60"/>
      <c r="AI28" s="46"/>
      <c r="AJ28" s="10"/>
    </row>
    <row r="29" spans="2:38">
      <c r="B29" s="56">
        <f>MAX(B$13:B28)+1</f>
        <v>9</v>
      </c>
      <c r="D29" s="4" t="s">
        <v>59</v>
      </c>
      <c r="F29" s="19" t="s">
        <v>60</v>
      </c>
      <c r="G29" s="19"/>
      <c r="H29" s="38">
        <v>28</v>
      </c>
      <c r="I29" s="38">
        <f>'Billing Determinants'!C1226/12</f>
        <v>29.977777777777749</v>
      </c>
      <c r="K29" s="38">
        <v>233.86177246899351</v>
      </c>
      <c r="L29" s="38">
        <f>'Billing Determinants'!C1232/1000</f>
        <v>294.55045303791917</v>
      </c>
      <c r="N29" s="58">
        <v>18.659249899021408</v>
      </c>
      <c r="O29" s="39">
        <f>'Billing Determinants'!I1232/1000</f>
        <v>25.790024491772925</v>
      </c>
      <c r="P29" s="40"/>
      <c r="Q29" s="39">
        <f t="shared" si="0"/>
        <v>26.150460455529892</v>
      </c>
      <c r="R29" s="39"/>
      <c r="S29" s="41"/>
      <c r="T29" s="39"/>
      <c r="U29" s="39">
        <f>'Rate Spread GRC'!U29+'Rate Spread Sch 92'!W29</f>
        <v>0.36043596375696646</v>
      </c>
      <c r="V29" s="42">
        <f>U29/O29</f>
        <v>1.3975789897832254E-2</v>
      </c>
      <c r="W29" s="39">
        <f t="shared" si="1"/>
        <v>0.44771668861763708</v>
      </c>
      <c r="X29" s="42">
        <f t="shared" si="4"/>
        <v>1.736007225431134E-2</v>
      </c>
      <c r="Y29" s="39">
        <f t="shared" si="2"/>
        <v>0.80815265237460354</v>
      </c>
      <c r="Z29" s="42">
        <f t="shared" si="5"/>
        <v>3.1335862152143595E-2</v>
      </c>
      <c r="AA29" s="40"/>
      <c r="AB29" s="43">
        <f t="shared" si="3"/>
        <v>0.152</v>
      </c>
      <c r="AC29" s="40"/>
      <c r="AD29" s="44">
        <f>Q29/L29*100</f>
        <v>8.8780920843341526</v>
      </c>
      <c r="AE29" s="40"/>
      <c r="AF29" s="60">
        <f>(U29/L29)*100</f>
        <v>0.12236815799789841</v>
      </c>
      <c r="AG29" s="40"/>
      <c r="AH29" s="60"/>
      <c r="AI29" s="46"/>
      <c r="AJ29" s="10"/>
    </row>
    <row r="30" spans="2:38">
      <c r="B30" s="22"/>
      <c r="F30" s="19"/>
      <c r="G30" s="19"/>
      <c r="H30" s="48"/>
      <c r="I30" s="48"/>
      <c r="K30" s="48"/>
      <c r="L30" s="48"/>
      <c r="N30" s="48"/>
      <c r="O30" s="48"/>
      <c r="P30" s="10"/>
      <c r="Q30" s="48"/>
      <c r="R30" s="10"/>
      <c r="S30" s="49"/>
      <c r="T30" s="10"/>
      <c r="U30" s="48"/>
      <c r="V30" s="51"/>
      <c r="W30" s="48"/>
      <c r="X30" s="51"/>
      <c r="Y30" s="48"/>
      <c r="Z30" s="51"/>
      <c r="AA30" s="10"/>
      <c r="AB30" s="52"/>
      <c r="AC30" s="10"/>
      <c r="AD30" s="49"/>
      <c r="AE30" s="10"/>
      <c r="AF30" s="104"/>
      <c r="AG30" s="10"/>
      <c r="AH30" s="53"/>
      <c r="AI30" s="10"/>
      <c r="AJ30" s="10"/>
    </row>
    <row r="31" spans="2:38">
      <c r="B31" s="22"/>
      <c r="V31" s="54"/>
      <c r="X31" s="54"/>
      <c r="Z31" s="54"/>
      <c r="AB31" s="55"/>
      <c r="AF31" s="105"/>
      <c r="AH31" s="53"/>
      <c r="AI31" s="10"/>
      <c r="AJ31" s="10"/>
    </row>
    <row r="32" spans="2:38">
      <c r="B32" s="56">
        <f>MAX(B$13:B31)+1</f>
        <v>10</v>
      </c>
      <c r="D32" s="36" t="s">
        <v>61</v>
      </c>
      <c r="H32" s="57">
        <f>SUM(H22:H29)</f>
        <v>23780.5</v>
      </c>
      <c r="I32" s="57">
        <f>SUM(I22:I29)</f>
        <v>25182.428024905177</v>
      </c>
      <c r="K32" s="57">
        <f>SUM(K22:K29)</f>
        <v>3297111.0499705928</v>
      </c>
      <c r="L32" s="57">
        <f>SUM(L22:L29)</f>
        <v>2424681.1953612347</v>
      </c>
      <c r="M32" s="57"/>
      <c r="N32" s="39">
        <f>SUM(N22:N29)</f>
        <v>170969.95465759834</v>
      </c>
      <c r="O32" s="39">
        <f>SUM(O22:O29)</f>
        <v>179243.75420998497</v>
      </c>
      <c r="P32" s="40"/>
      <c r="Q32" s="39">
        <f>SUM(Q22:Q29)</f>
        <v>183911.57292093581</v>
      </c>
      <c r="R32" s="58"/>
      <c r="S32" s="41"/>
      <c r="T32" s="58"/>
      <c r="U32" s="39">
        <f>SUM(U22:U29)</f>
        <v>4667.8187109508372</v>
      </c>
      <c r="V32" s="42">
        <f>U32/O32</f>
        <v>2.6041737027458507E-2</v>
      </c>
      <c r="W32" s="39">
        <f>SUM(W22:W29)</f>
        <v>3151.5006720928573</v>
      </c>
      <c r="X32" s="42">
        <f>W32/O32</f>
        <v>1.7582206342324533E-2</v>
      </c>
      <c r="Y32" s="39">
        <f>U32+W32</f>
        <v>7819.319383043694</v>
      </c>
      <c r="Z32" s="42"/>
      <c r="AA32" s="40"/>
      <c r="AB32" s="43"/>
      <c r="AC32" s="40"/>
      <c r="AD32" s="44">
        <f>Q32/L32*100</f>
        <v>7.5849795541279903</v>
      </c>
      <c r="AE32" s="40"/>
      <c r="AF32" s="60">
        <f>(U32/L32)*100</f>
        <v>0.19251267836287297</v>
      </c>
      <c r="AG32" s="40"/>
      <c r="AH32" s="60"/>
      <c r="AI32" s="46"/>
      <c r="AJ32" s="10"/>
    </row>
    <row r="33" spans="2:37">
      <c r="B33" s="22"/>
      <c r="V33" s="54"/>
      <c r="X33" s="54"/>
      <c r="Z33" s="54"/>
      <c r="AB33" s="55"/>
      <c r="AF33" s="105"/>
      <c r="AH33" s="53"/>
      <c r="AI33" s="10"/>
      <c r="AJ33" s="10"/>
    </row>
    <row r="34" spans="2:37">
      <c r="B34" s="22"/>
      <c r="D34" s="36" t="s">
        <v>62</v>
      </c>
      <c r="V34" s="54"/>
      <c r="X34" s="54"/>
      <c r="Z34" s="54"/>
      <c r="AB34" s="55"/>
      <c r="AF34" s="105"/>
      <c r="AH34" s="53"/>
      <c r="AI34" s="10"/>
      <c r="AJ34" s="10"/>
    </row>
    <row r="35" spans="2:37">
      <c r="B35" s="56">
        <f>MAX(B$13:B34)+1</f>
        <v>11</v>
      </c>
      <c r="D35" s="4" t="s">
        <v>63</v>
      </c>
      <c r="F35" s="19" t="s">
        <v>64</v>
      </c>
      <c r="G35" s="19"/>
      <c r="H35" s="38">
        <v>2828</v>
      </c>
      <c r="I35" s="38">
        <f>'Billing Determinants'!C24/12</f>
        <v>2531.9166666666665</v>
      </c>
      <c r="K35" s="38">
        <v>3735.0893644456642</v>
      </c>
      <c r="L35" s="38">
        <f>'Billing Determinants'!C27/1000</f>
        <v>3355.2350684260427</v>
      </c>
      <c r="N35" s="58">
        <v>473.92026673033644</v>
      </c>
      <c r="O35" s="39">
        <f>'Billing Determinants'!I27/1000</f>
        <v>468.63441510785196</v>
      </c>
      <c r="P35" s="40"/>
      <c r="Q35" s="39">
        <f t="shared" ref="Q35:Q39" si="6">O35+U35</f>
        <v>475.18968142291084</v>
      </c>
      <c r="R35" s="39"/>
      <c r="S35" s="41"/>
      <c r="T35" s="39"/>
      <c r="U35" s="39">
        <f>'Rate Spread GRC'!U35+'Rate Spread Sch 92'!W35</f>
        <v>6.5552663150588621</v>
      </c>
      <c r="V35" s="42">
        <f>U35/O35</f>
        <v>1.3988017319535159E-2</v>
      </c>
      <c r="W35" s="39">
        <f>(AB35/100)*L35</f>
        <v>8.1196688655910236</v>
      </c>
      <c r="X35" s="42">
        <f>W35/O35</f>
        <v>1.7326232568135987E-2</v>
      </c>
      <c r="Y35" s="39">
        <f>U35+W35</f>
        <v>14.674935180649886</v>
      </c>
      <c r="Z35" s="42">
        <f>Y35/O35</f>
        <v>3.1314249887671147E-2</v>
      </c>
      <c r="AA35" s="40"/>
      <c r="AB35" s="43">
        <f t="shared" ref="AB35:AB39" si="7">ROUND((((Q35/$Q$44)*$W$51)/L35)*100,3)</f>
        <v>0.24199999999999999</v>
      </c>
      <c r="AC35" s="40"/>
      <c r="AD35" s="44">
        <f>Q35/L35*100</f>
        <v>14.162634561572601</v>
      </c>
      <c r="AE35" s="40"/>
      <c r="AF35" s="60">
        <f>(U35/L35)*100</f>
        <v>0.19537427874268043</v>
      </c>
      <c r="AG35" s="40"/>
      <c r="AH35" s="60"/>
      <c r="AI35" s="46"/>
      <c r="AJ35" s="10"/>
    </row>
    <row r="36" spans="2:37">
      <c r="B36" s="56">
        <f>MAX(B$13:B35)+1</f>
        <v>12</v>
      </c>
      <c r="D36" s="4" t="s">
        <v>65</v>
      </c>
      <c r="F36" s="19" t="s">
        <v>66</v>
      </c>
      <c r="G36" s="19"/>
      <c r="H36" s="38">
        <v>178</v>
      </c>
      <c r="I36" s="38">
        <f>'Billing Determinants'!C1137/12</f>
        <v>163</v>
      </c>
      <c r="K36" s="38">
        <v>2902.2385934150548</v>
      </c>
      <c r="L36" s="38">
        <f>'Billing Determinants'!C1141/1000</f>
        <v>3186.5956037362384</v>
      </c>
      <c r="N36" s="58">
        <v>522.31224201957195</v>
      </c>
      <c r="O36" s="39">
        <f>'Billing Determinants'!I1141/1000</f>
        <v>620.98089382532601</v>
      </c>
      <c r="P36" s="40"/>
      <c r="Q36" s="39">
        <f t="shared" si="6"/>
        <v>629.62157470457873</v>
      </c>
      <c r="R36" s="39"/>
      <c r="S36" s="41"/>
      <c r="T36" s="39"/>
      <c r="U36" s="39">
        <f>'Rate Spread GRC'!U36+'Rate Spread Sch 92'!W36</f>
        <v>8.6406808792527521</v>
      </c>
      <c r="V36" s="42">
        <f>U36/O36</f>
        <v>1.3914568008727278E-2</v>
      </c>
      <c r="W36" s="39">
        <f>(AB36/100)*L36</f>
        <v>10.770693140628486</v>
      </c>
      <c r="X36" s="42">
        <f>W36/O36</f>
        <v>1.7344644976562105E-2</v>
      </c>
      <c r="Y36" s="39">
        <f>U36+W36</f>
        <v>19.411374019881237</v>
      </c>
      <c r="Z36" s="42">
        <f>Y36/O36</f>
        <v>3.1259212985289379E-2</v>
      </c>
      <c r="AA36" s="40"/>
      <c r="AB36" s="43">
        <f t="shared" si="7"/>
        <v>0.33800000000000002</v>
      </c>
      <c r="AC36" s="40"/>
      <c r="AD36" s="44">
        <f>Q36/L36*100</f>
        <v>19.758439821054054</v>
      </c>
      <c r="AE36" s="40"/>
      <c r="AF36" s="60">
        <f>(U36/L36)*100</f>
        <v>0.27115712044294782</v>
      </c>
      <c r="AG36" s="40"/>
      <c r="AH36" s="60"/>
      <c r="AI36" s="46"/>
      <c r="AJ36" s="45" t="s">
        <v>0</v>
      </c>
    </row>
    <row r="37" spans="2:37">
      <c r="B37" s="56">
        <f>MAX(B$13:B36)+1</f>
        <v>13</v>
      </c>
      <c r="D37" s="4" t="s">
        <v>65</v>
      </c>
      <c r="F37" s="19">
        <v>52</v>
      </c>
      <c r="G37" s="19"/>
      <c r="H37" s="38">
        <v>30</v>
      </c>
      <c r="I37" s="38">
        <f>'Billing Determinants'!C1153/12</f>
        <v>15</v>
      </c>
      <c r="K37" s="38">
        <v>466.2387672357238</v>
      </c>
      <c r="L37" s="38">
        <f>'Billing Determinants'!C1158/1000</f>
        <v>198.34085987577339</v>
      </c>
      <c r="N37" s="58">
        <v>60.670270195709442</v>
      </c>
      <c r="O37" s="39">
        <f>'Billing Determinants'!I1158/1000</f>
        <v>33.511850718803466</v>
      </c>
      <c r="P37" s="40"/>
      <c r="Q37" s="39">
        <f t="shared" si="6"/>
        <v>33.977132772624586</v>
      </c>
      <c r="R37" s="39"/>
      <c r="S37" s="41"/>
      <c r="T37" s="39"/>
      <c r="U37" s="39">
        <f>'Rate Spread GRC'!U37+'Rate Spread Sch 92'!W37</f>
        <v>0.46528205382111854</v>
      </c>
      <c r="V37" s="42">
        <f>U37/O37</f>
        <v>1.3884104990956207E-2</v>
      </c>
      <c r="W37" s="39">
        <f>(AB37/100)*L37</f>
        <v>0.58113871943601603</v>
      </c>
      <c r="X37" s="42">
        <f>W37/O37</f>
        <v>1.7341289930906133E-2</v>
      </c>
      <c r="Y37" s="39">
        <f>U37+W37</f>
        <v>1.0464207732571347</v>
      </c>
      <c r="Z37" s="42">
        <f>Y37/O37</f>
        <v>3.1225394921862343E-2</v>
      </c>
      <c r="AA37" s="40"/>
      <c r="AB37" s="43">
        <f t="shared" si="7"/>
        <v>0.29299999999999998</v>
      </c>
      <c r="AC37" s="40"/>
      <c r="AD37" s="44">
        <f>Q37/L37*100</f>
        <v>17.130677357104052</v>
      </c>
      <c r="AE37" s="40"/>
      <c r="AF37" s="60">
        <f>(U37/L37)*100</f>
        <v>0.23458709118864268</v>
      </c>
      <c r="AG37" s="40"/>
      <c r="AH37" s="60"/>
      <c r="AI37" s="46"/>
      <c r="AJ37" s="10"/>
    </row>
    <row r="38" spans="2:37">
      <c r="B38" s="56">
        <f>MAX(B$13:B37)+1</f>
        <v>14</v>
      </c>
      <c r="D38" s="4" t="s">
        <v>65</v>
      </c>
      <c r="F38" s="19">
        <v>53</v>
      </c>
      <c r="G38" s="19"/>
      <c r="H38" s="38">
        <v>272.33333333333337</v>
      </c>
      <c r="I38" s="38">
        <f>'Billing Determinants'!C1168/12</f>
        <v>217.08333333333334</v>
      </c>
      <c r="K38" s="38">
        <v>4499.9316487570059</v>
      </c>
      <c r="L38" s="38">
        <f>'Billing Determinants'!C1172/1000</f>
        <v>4161.9537848388163</v>
      </c>
      <c r="N38" s="38">
        <v>278.83306975907675</v>
      </c>
      <c r="O38" s="39">
        <f>'Billing Determinants'!I1172/1000</f>
        <v>286.22928702344217</v>
      </c>
      <c r="P38" s="40"/>
      <c r="Q38" s="39">
        <f t="shared" si="6"/>
        <v>290.24321543552958</v>
      </c>
      <c r="R38" s="39"/>
      <c r="S38" s="41"/>
      <c r="T38" s="39"/>
      <c r="U38" s="39">
        <f>'Rate Spread GRC'!U38+'Rate Spread Sch 92'!W38</f>
        <v>4.0139284120874317</v>
      </c>
      <c r="V38" s="42">
        <f>U38/O38</f>
        <v>1.4023472069644261E-2</v>
      </c>
      <c r="W38" s="39">
        <f>(AB38/100)*L38</f>
        <v>4.9527250039581912</v>
      </c>
      <c r="X38" s="42">
        <f>W38/O38</f>
        <v>1.7303348149529378E-2</v>
      </c>
      <c r="Y38" s="39">
        <f>U38+W38</f>
        <v>8.9666534160456237</v>
      </c>
      <c r="Z38" s="42">
        <f>Y38/O38</f>
        <v>3.1326820219173643E-2</v>
      </c>
      <c r="AA38" s="40"/>
      <c r="AB38" s="43">
        <f t="shared" si="7"/>
        <v>0.11899999999999999</v>
      </c>
      <c r="AC38" s="40"/>
      <c r="AD38" s="44">
        <f>Q38/L38*100</f>
        <v>6.9737250925954255</v>
      </c>
      <c r="AE38" s="40"/>
      <c r="AF38" s="60">
        <f>(U38/L38)*100</f>
        <v>9.6443368177450403E-2</v>
      </c>
      <c r="AG38" s="40"/>
      <c r="AH38" s="60"/>
      <c r="AI38" s="46"/>
      <c r="AJ38" s="10"/>
      <c r="AK38" s="5" t="s">
        <v>0</v>
      </c>
    </row>
    <row r="39" spans="2:37">
      <c r="B39" s="56">
        <f>MAX(B$13:B38)+1</f>
        <v>15</v>
      </c>
      <c r="D39" s="4" t="s">
        <v>65</v>
      </c>
      <c r="F39" s="19">
        <v>57</v>
      </c>
      <c r="G39" s="19"/>
      <c r="H39" s="38">
        <v>50.666666666666664</v>
      </c>
      <c r="I39" s="38">
        <f>'Billing Determinants'!C1268/12</f>
        <v>33.916666666666664</v>
      </c>
      <c r="K39" s="38">
        <v>2174.0459905922153</v>
      </c>
      <c r="L39" s="38">
        <f>'Billing Determinants'!C1272/1000</f>
        <v>1743.2558167712143</v>
      </c>
      <c r="N39" s="38">
        <v>235.8029580256418</v>
      </c>
      <c r="O39" s="39">
        <f>'Billing Determinants'!I1272/1000</f>
        <v>212.91005677457667</v>
      </c>
      <c r="P39" s="40"/>
      <c r="Q39" s="39">
        <f t="shared" si="6"/>
        <v>215.84986607656413</v>
      </c>
      <c r="R39" s="39"/>
      <c r="S39" s="41"/>
      <c r="T39" s="39"/>
      <c r="U39" s="39">
        <f>'Rate Spread GRC'!U39+'Rate Spread Sch 92'!W39</f>
        <v>2.9398093019874545</v>
      </c>
      <c r="V39" s="42">
        <f>U39/O39</f>
        <v>1.3807752186643039E-2</v>
      </c>
      <c r="W39" s="39">
        <f>(AB39/100)*L39</f>
        <v>3.6957023315549744</v>
      </c>
      <c r="X39" s="42">
        <f>W39/O39</f>
        <v>1.735804493006116E-2</v>
      </c>
      <c r="Y39" s="39">
        <f>U39+W39</f>
        <v>6.6355116335424285</v>
      </c>
      <c r="Z39" s="42">
        <f>Y39/O39</f>
        <v>3.1165797116704197E-2</v>
      </c>
      <c r="AA39" s="40"/>
      <c r="AB39" s="43">
        <f t="shared" si="7"/>
        <v>0.21199999999999999</v>
      </c>
      <c r="AC39" s="40"/>
      <c r="AD39" s="44">
        <f>Q39/L39*100</f>
        <v>12.38199603293751</v>
      </c>
      <c r="AE39" s="40"/>
      <c r="AF39" s="60">
        <f>(U39/L39)*100</f>
        <v>0.16863900717867367</v>
      </c>
      <c r="AG39" s="40"/>
      <c r="AH39" s="60"/>
      <c r="AI39" s="46"/>
      <c r="AJ39" s="10"/>
    </row>
    <row r="40" spans="2:37">
      <c r="B40" s="22"/>
      <c r="H40" s="48"/>
      <c r="I40" s="48"/>
      <c r="K40" s="48"/>
      <c r="L40" s="48"/>
      <c r="N40" s="48"/>
      <c r="O40" s="48"/>
      <c r="P40" s="10"/>
      <c r="Q40" s="49"/>
      <c r="R40" s="10"/>
      <c r="S40" s="49"/>
      <c r="T40" s="10"/>
      <c r="U40" s="48"/>
      <c r="V40" s="51"/>
      <c r="W40" s="48"/>
      <c r="X40" s="51"/>
      <c r="Y40" s="48"/>
      <c r="Z40" s="51"/>
      <c r="AA40" s="10"/>
      <c r="AB40" s="52"/>
      <c r="AC40" s="10"/>
      <c r="AD40" s="49"/>
      <c r="AE40" s="10"/>
      <c r="AF40" s="104"/>
      <c r="AG40" s="10"/>
      <c r="AH40" s="53"/>
      <c r="AI40" s="10"/>
      <c r="AJ40" s="10"/>
    </row>
    <row r="41" spans="2:37">
      <c r="B41" s="22"/>
      <c r="V41" s="54"/>
      <c r="X41" s="54"/>
      <c r="Z41" s="54"/>
      <c r="AB41" s="55"/>
      <c r="AF41" s="105"/>
      <c r="AH41" s="53"/>
      <c r="AI41" s="10"/>
      <c r="AJ41" s="10"/>
    </row>
    <row r="42" spans="2:37">
      <c r="B42" s="56">
        <f>MAX(B$13:B41)+1</f>
        <v>16</v>
      </c>
      <c r="D42" s="36" t="s">
        <v>67</v>
      </c>
      <c r="H42" s="65">
        <f>SUM(H35:H39)</f>
        <v>3359</v>
      </c>
      <c r="I42" s="65">
        <f>SUM(I35:I39)</f>
        <v>2960.9166666666665</v>
      </c>
      <c r="K42" s="65">
        <f>SUM(K35:K39)</f>
        <v>13777.544364445665</v>
      </c>
      <c r="L42" s="65">
        <f>SUM(L35:L39)</f>
        <v>12645.381133648085</v>
      </c>
      <c r="M42" s="57"/>
      <c r="N42" s="66">
        <f>SUM(N35:N39)</f>
        <v>1571.5388067303365</v>
      </c>
      <c r="O42" s="66">
        <f>SUM(O35:O39)</f>
        <v>1622.2665034500001</v>
      </c>
      <c r="P42" s="46"/>
      <c r="Q42" s="66">
        <f>SUM(Q35:Q39)</f>
        <v>1644.8814704122078</v>
      </c>
      <c r="R42" s="67"/>
      <c r="S42" s="66"/>
      <c r="T42" s="67"/>
      <c r="U42" s="66">
        <f>SUM(U35:U39)</f>
        <v>22.614966962207621</v>
      </c>
      <c r="V42" s="68">
        <f>U42/O42</f>
        <v>1.3940352534009303E-2</v>
      </c>
      <c r="W42" s="66">
        <f>SUM(W35:W39)</f>
        <v>28.119928061168693</v>
      </c>
      <c r="X42" s="68">
        <f>W42/O42</f>
        <v>1.7333729076799236E-2</v>
      </c>
      <c r="Y42" s="66">
        <f>U42+W42</f>
        <v>50.734895023376311</v>
      </c>
      <c r="Z42" s="68">
        <f>Y42/O42</f>
        <v>3.1274081610808538E-2</v>
      </c>
      <c r="AA42" s="46"/>
      <c r="AB42" s="43"/>
      <c r="AC42" s="46"/>
      <c r="AD42" s="69">
        <f>Q42/L42*100</f>
        <v>13.007765072697918</v>
      </c>
      <c r="AE42" s="46"/>
      <c r="AF42" s="106">
        <f>(U42/L42)*100</f>
        <v>0.17883974174595238</v>
      </c>
      <c r="AG42" s="46"/>
      <c r="AH42" s="70"/>
      <c r="AI42" s="46"/>
      <c r="AJ42" s="10"/>
    </row>
    <row r="43" spans="2:37">
      <c r="B43" s="22"/>
      <c r="D43" s="36"/>
      <c r="H43" s="71"/>
      <c r="I43" s="71"/>
      <c r="K43" s="71"/>
      <c r="L43" s="71"/>
      <c r="M43" s="57"/>
      <c r="N43" s="67"/>
      <c r="O43" s="67"/>
      <c r="P43" s="67"/>
      <c r="Q43" s="67"/>
      <c r="R43" s="67"/>
      <c r="S43" s="67"/>
      <c r="T43" s="67"/>
      <c r="U43" s="67"/>
      <c r="V43" s="72"/>
      <c r="W43" s="67"/>
      <c r="X43" s="72"/>
      <c r="Y43" s="67"/>
      <c r="Z43" s="73"/>
      <c r="AA43" s="67"/>
      <c r="AB43" s="74"/>
      <c r="AC43" s="67"/>
      <c r="AD43" s="67"/>
      <c r="AE43" s="67"/>
      <c r="AF43" s="107"/>
      <c r="AG43" s="67"/>
      <c r="AH43" s="53"/>
      <c r="AI43" s="67"/>
      <c r="AJ43" s="10"/>
    </row>
    <row r="44" spans="2:37" ht="16.5" thickBot="1">
      <c r="B44" s="56">
        <f>MAX(B$13:B43)+1</f>
        <v>17</v>
      </c>
      <c r="D44" s="75" t="s">
        <v>68</v>
      </c>
      <c r="H44" s="76">
        <f>H42+H32+H19</f>
        <v>128476.41666666667</v>
      </c>
      <c r="I44" s="76">
        <f>I42+I32+I19</f>
        <v>132778.43714676326</v>
      </c>
      <c r="K44" s="76">
        <f>K42+K32+K19</f>
        <v>4880827.1987742558</v>
      </c>
      <c r="L44" s="76">
        <f>L42+L32+L19</f>
        <v>4010161.4332736093</v>
      </c>
      <c r="N44" s="77">
        <f>N42+N32+N19</f>
        <v>275214.43788963149</v>
      </c>
      <c r="O44" s="77">
        <f>O42+O32+O19</f>
        <v>320954.13952952309</v>
      </c>
      <c r="P44" s="46"/>
      <c r="Q44" s="77">
        <f>Q42+Q32+Q19</f>
        <v>330169.2987217583</v>
      </c>
      <c r="R44" s="78"/>
      <c r="S44" s="77"/>
      <c r="T44" s="78"/>
      <c r="U44" s="77">
        <f>U42+U32+U19</f>
        <v>9215.1591922351727</v>
      </c>
      <c r="V44" s="79">
        <f>U44/O44</f>
        <v>2.8711763013069075E-2</v>
      </c>
      <c r="W44" s="77">
        <f>W42+W32+W19</f>
        <v>5648.9713252966267</v>
      </c>
      <c r="X44" s="79">
        <f>W44/O44</f>
        <v>1.7600556059433545E-2</v>
      </c>
      <c r="Y44" s="77">
        <f>U44+W44</f>
        <v>14864.130517531799</v>
      </c>
      <c r="Z44" s="79">
        <f>Y44/O44</f>
        <v>4.631231907250262E-2</v>
      </c>
      <c r="AA44" s="46"/>
      <c r="AB44" s="43">
        <f>ROUND((((Q44/$Q$44)*$W$51)/L44)*100,4)</f>
        <v>0.1409</v>
      </c>
      <c r="AC44" s="46"/>
      <c r="AD44" s="80">
        <f>Q44/L44*100</f>
        <v>8.2333168929868172</v>
      </c>
      <c r="AE44" s="46"/>
      <c r="AF44" s="80">
        <f>(U44/L44)*100</f>
        <v>0.22979521761328633</v>
      </c>
      <c r="AG44" s="46"/>
      <c r="AH44" s="45" t="s">
        <v>0</v>
      </c>
      <c r="AI44" s="46"/>
      <c r="AJ44" s="47" t="s">
        <v>0</v>
      </c>
    </row>
    <row r="45" spans="2:37" ht="16.5" thickTop="1">
      <c r="B45" s="81" t="s">
        <v>0</v>
      </c>
      <c r="C45" s="82"/>
      <c r="D45" s="82"/>
      <c r="H45" s="83"/>
      <c r="I45" s="83"/>
      <c r="K45" s="83"/>
      <c r="L45" s="83"/>
      <c r="N45" s="78"/>
      <c r="O45" s="78"/>
      <c r="P45" s="46"/>
      <c r="Q45" s="78"/>
      <c r="R45" s="78"/>
      <c r="S45" s="78"/>
      <c r="T45" s="78"/>
      <c r="U45" s="78"/>
      <c r="V45" s="54"/>
      <c r="W45" s="78"/>
      <c r="X45" s="54"/>
      <c r="Y45" s="46"/>
      <c r="AA45" s="46"/>
      <c r="AB45" s="46"/>
      <c r="AC45" s="46"/>
      <c r="AD45" s="46"/>
      <c r="AE45" s="46"/>
      <c r="AF45" s="60"/>
      <c r="AG45" s="46"/>
      <c r="AH45" s="60"/>
      <c r="AI45" s="46"/>
      <c r="AJ45" s="10"/>
    </row>
    <row r="46" spans="2:37">
      <c r="B46" s="56">
        <v>18</v>
      </c>
      <c r="D46" s="4" t="s">
        <v>69</v>
      </c>
      <c r="H46" s="83"/>
      <c r="I46" s="83"/>
      <c r="K46" s="83"/>
      <c r="L46" s="83"/>
      <c r="N46" s="78">
        <v>311.00673999999998</v>
      </c>
      <c r="O46" s="41">
        <f>'Billing Determinants'!I1279/1000</f>
        <v>651.51829000000009</v>
      </c>
      <c r="P46" s="84"/>
      <c r="Q46" s="41">
        <f>O46</f>
        <v>651.51829000000009</v>
      </c>
      <c r="R46" s="78"/>
      <c r="S46" s="41"/>
      <c r="T46" s="78"/>
      <c r="U46" s="62"/>
      <c r="V46" s="42"/>
      <c r="W46" s="62"/>
      <c r="X46" s="42"/>
      <c r="Y46" s="46"/>
      <c r="AA46" s="46"/>
      <c r="AB46" s="46"/>
      <c r="AC46" s="46"/>
      <c r="AD46" s="44"/>
      <c r="AE46" s="40"/>
      <c r="AF46" s="60"/>
      <c r="AG46" s="46"/>
      <c r="AH46" s="60"/>
      <c r="AI46" s="46"/>
      <c r="AJ46" s="10"/>
    </row>
    <row r="47" spans="2:37">
      <c r="B47" s="56"/>
      <c r="H47" s="83"/>
      <c r="I47" s="83"/>
      <c r="K47" s="83"/>
      <c r="L47" s="83"/>
      <c r="N47" s="78"/>
      <c r="O47" s="78"/>
      <c r="P47" s="84"/>
      <c r="Q47" s="41"/>
      <c r="R47" s="78"/>
      <c r="S47" s="41"/>
      <c r="T47" s="78"/>
      <c r="U47" s="62"/>
      <c r="V47" s="42"/>
      <c r="W47" s="62"/>
      <c r="X47" s="42"/>
      <c r="Y47" s="46"/>
      <c r="AA47" s="46"/>
      <c r="AB47" s="46"/>
      <c r="AC47" s="46"/>
      <c r="AD47" s="44"/>
      <c r="AE47" s="40"/>
      <c r="AF47" s="60"/>
      <c r="AG47" s="46"/>
      <c r="AH47" s="60"/>
      <c r="AI47" s="46"/>
      <c r="AJ47" s="10"/>
    </row>
    <row r="48" spans="2:37" ht="16.5" thickBot="1">
      <c r="B48" s="56">
        <v>19</v>
      </c>
      <c r="D48" s="85" t="s">
        <v>70</v>
      </c>
      <c r="H48" s="86">
        <f>SUM(H44:H46)</f>
        <v>128476.41666666667</v>
      </c>
      <c r="I48" s="86">
        <f>SUM(I44:I46)</f>
        <v>132778.43714676326</v>
      </c>
      <c r="K48" s="86">
        <f>SUM(K44:K46)</f>
        <v>4880827.1987742558</v>
      </c>
      <c r="L48" s="86">
        <f>SUM(L44:L46)</f>
        <v>4010161.4332736093</v>
      </c>
      <c r="N48" s="77">
        <f>SUM(N44:N46)</f>
        <v>275525.44462963147</v>
      </c>
      <c r="O48" s="77">
        <f>SUM(O44:O46)</f>
        <v>321605.65781952307</v>
      </c>
      <c r="Q48" s="87">
        <f>SUM(Q44:Q46)</f>
        <v>330820.81701175828</v>
      </c>
      <c r="R48" s="78"/>
      <c r="S48" s="87"/>
      <c r="T48" s="78"/>
      <c r="U48" s="77">
        <f>SUM(U44:U46)</f>
        <v>9215.1591922351727</v>
      </c>
      <c r="V48" s="79">
        <f>U48/O48</f>
        <v>2.8653597871112348E-2</v>
      </c>
      <c r="W48" s="77">
        <f>SUM(W44:W46)</f>
        <v>5648.9713252966267</v>
      </c>
      <c r="X48" s="79">
        <f>W48/O48</f>
        <v>1.7564900330412365E-2</v>
      </c>
      <c r="AD48" s="80">
        <f>Q48/L48*100</f>
        <v>8.2495635778358132</v>
      </c>
      <c r="AE48" s="40"/>
      <c r="AF48" s="80">
        <f>(U48/L48)*100</f>
        <v>0.22979521761328633</v>
      </c>
      <c r="AH48" s="10"/>
      <c r="AI48" s="10"/>
      <c r="AJ48" s="10"/>
    </row>
    <row r="49" spans="10:35" ht="18.75" customHeight="1" thickTop="1">
      <c r="J49" s="5"/>
      <c r="U49" s="39" t="s">
        <v>0</v>
      </c>
      <c r="V49" s="108" t="s">
        <v>0</v>
      </c>
      <c r="X49" s="88" t="s">
        <v>0</v>
      </c>
    </row>
    <row r="50" spans="10:35" ht="18.75" customHeight="1">
      <c r="U50" s="89" t="s">
        <v>0</v>
      </c>
      <c r="V50" s="90" t="s">
        <v>0</v>
      </c>
      <c r="X50" s="88"/>
    </row>
    <row r="51" spans="10:35">
      <c r="N51" s="91"/>
      <c r="O51" s="91"/>
      <c r="P51" s="10"/>
      <c r="S51" s="62"/>
      <c r="U51" s="62"/>
      <c r="V51" s="92"/>
      <c r="W51" s="62">
        <v>5649.1189999999997</v>
      </c>
      <c r="X51" s="92"/>
      <c r="Y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0:35">
      <c r="P52" s="10"/>
      <c r="U52" s="93"/>
      <c r="Y52" s="10"/>
      <c r="Z52" s="10"/>
      <c r="AA52" s="10"/>
      <c r="AB52" s="10"/>
      <c r="AC52" s="10"/>
      <c r="AD52" s="78"/>
      <c r="AE52" s="10"/>
      <c r="AF52" s="10"/>
      <c r="AG52" s="10"/>
      <c r="AH52" s="10"/>
      <c r="AI52" s="10"/>
    </row>
    <row r="53" spans="10:35">
      <c r="Q53" s="45"/>
      <c r="U53" s="94"/>
      <c r="V53" s="95"/>
      <c r="W53" s="94"/>
    </row>
    <row r="54" spans="10:35">
      <c r="Q54" s="10"/>
      <c r="U54" s="96"/>
      <c r="V54" s="97"/>
      <c r="W54" s="96"/>
    </row>
    <row r="55" spans="10:35">
      <c r="Q55" s="35"/>
      <c r="U55" s="98"/>
      <c r="V55" s="99"/>
      <c r="W55" s="98"/>
    </row>
    <row r="56" spans="10:35">
      <c r="Q56" s="100"/>
      <c r="V56" s="54"/>
    </row>
    <row r="57" spans="10:35">
      <c r="Q57" s="5"/>
      <c r="V57" s="101"/>
    </row>
    <row r="59" spans="10:35">
      <c r="Q59" s="35"/>
      <c r="X59" s="63"/>
    </row>
  </sheetData>
  <mergeCells count="9">
    <mergeCell ref="W10:Z10"/>
    <mergeCell ref="U11:V11"/>
    <mergeCell ref="B45:D45"/>
    <mergeCell ref="B2:V2"/>
    <mergeCell ref="B3:V3"/>
    <mergeCell ref="B4:V4"/>
    <mergeCell ref="B5:V5"/>
    <mergeCell ref="B6:V6"/>
    <mergeCell ref="B7:V7"/>
  </mergeCells>
  <printOptions horizontalCentered="1"/>
  <pageMargins left="0.25" right="0.25" top="0.5" bottom="0.5" header="0.5" footer="0.25"/>
  <pageSetup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BB1293"/>
  <sheetViews>
    <sheetView view="pageBreakPreview" zoomScale="80" zoomScaleNormal="75" zoomScaleSheetLayoutView="80" workbookViewId="0">
      <pane ySplit="10" topLeftCell="A11" activePane="bottomLeft" state="frozen"/>
      <selection activeCell="AJ42" sqref="AJ42"/>
      <selection pane="bottomLeft" activeCell="AJ42" sqref="AJ42"/>
    </sheetView>
  </sheetViews>
  <sheetFormatPr defaultColWidth="10.25" defaultRowHeight="15.75"/>
  <cols>
    <col min="1" max="1" width="21.625" style="111" customWidth="1"/>
    <col min="2" max="2" width="5.875" style="111" customWidth="1"/>
    <col min="3" max="3" width="14.875" style="111" customWidth="1"/>
    <col min="4" max="4" width="14.875" style="111" hidden="1" customWidth="1"/>
    <col min="5" max="5" width="2.125" style="111" hidden="1" customWidth="1"/>
    <col min="6" max="6" width="16.875" style="111" hidden="1" customWidth="1"/>
    <col min="7" max="7" width="9.625" style="111" bestFit="1" customWidth="1"/>
    <col min="8" max="8" width="2.625" style="111" customWidth="1"/>
    <col min="9" max="9" width="14.375" style="111" bestFit="1" customWidth="1"/>
    <col min="10" max="10" width="9.625" style="111" bestFit="1" customWidth="1"/>
    <col min="11" max="11" width="2.125" style="111" bestFit="1" customWidth="1"/>
    <col min="12" max="12" width="14.375" style="111" bestFit="1" customWidth="1"/>
    <col min="13" max="13" width="1.625" style="111" customWidth="1"/>
    <col min="14" max="14" width="12" style="111" hidden="1" customWidth="1"/>
    <col min="15" max="15" width="2.125" style="111" hidden="1" customWidth="1"/>
    <col min="16" max="16" width="15.125" style="111" hidden="1" customWidth="1"/>
    <col min="17" max="17" width="2.875" style="111" hidden="1" customWidth="1"/>
    <col min="18" max="18" width="12" style="111" hidden="1" customWidth="1"/>
    <col min="19" max="19" width="2.125" style="111" hidden="1" customWidth="1"/>
    <col min="20" max="20" width="13.5" style="111" hidden="1" customWidth="1"/>
    <col min="21" max="21" width="2.875" style="111" hidden="1" customWidth="1"/>
    <col min="22" max="22" width="9.625" style="111" hidden="1" customWidth="1"/>
    <col min="23" max="23" width="2.125" style="111" hidden="1" customWidth="1"/>
    <col min="24" max="24" width="14.125" style="111" hidden="1" customWidth="1"/>
    <col min="25" max="25" width="13.625" style="111" customWidth="1"/>
    <col min="26" max="26" width="15.125" style="117" bestFit="1" customWidth="1"/>
    <col min="27" max="27" width="17" style="117" bestFit="1" customWidth="1"/>
    <col min="28" max="28" width="8.125" style="117" bestFit="1" customWidth="1"/>
    <col min="29" max="29" width="13" style="111" customWidth="1"/>
    <col min="30" max="30" width="17" style="111" customWidth="1"/>
    <col min="31" max="31" width="13" style="111" customWidth="1"/>
    <col min="32" max="32" width="14.125" style="111" bestFit="1" customWidth="1"/>
    <col min="33" max="33" width="14.75" style="111" customWidth="1"/>
    <col min="34" max="34" width="13.25" style="111" bestFit="1" customWidth="1"/>
    <col min="35" max="35" width="13" style="111" bestFit="1" customWidth="1"/>
    <col min="36" max="36" width="12.25" style="111" bestFit="1" customWidth="1"/>
    <col min="37" max="37" width="5.5" style="111" bestFit="1" customWidth="1"/>
    <col min="38" max="38" width="18" style="111" customWidth="1"/>
    <col min="39" max="39" width="10.25" style="111" customWidth="1"/>
    <col min="40" max="40" width="12.125" style="111" customWidth="1"/>
    <col min="41" max="16384" width="10.25" style="111"/>
  </cols>
  <sheetData>
    <row r="1" spans="1:47" ht="18">
      <c r="A1" s="109" t="s">
        <v>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53"/>
      <c r="Z1" s="110"/>
      <c r="AA1" s="110"/>
      <c r="AB1" s="110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47" ht="18">
      <c r="A2" s="109" t="s">
        <v>84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53"/>
      <c r="Z2" s="110"/>
      <c r="AA2" s="110"/>
      <c r="AB2" s="110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</row>
    <row r="3" spans="1:47">
      <c r="A3" s="112" t="s">
        <v>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53"/>
      <c r="Z3" s="110"/>
      <c r="AA3" s="110"/>
      <c r="AB3" s="110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</row>
    <row r="4" spans="1:47">
      <c r="A4" s="113" t="s">
        <v>85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53"/>
      <c r="Z4" s="110"/>
      <c r="AA4" s="110"/>
      <c r="AB4" s="110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</row>
    <row r="5" spans="1:47">
      <c r="A5" s="114"/>
      <c r="B5" s="115"/>
      <c r="C5" s="115"/>
      <c r="D5" s="116"/>
      <c r="E5" s="116"/>
      <c r="F5" s="115"/>
      <c r="G5" s="116"/>
      <c r="H5" s="116"/>
      <c r="I5" s="115"/>
      <c r="J5" s="116"/>
      <c r="K5" s="115"/>
      <c r="L5" s="115"/>
      <c r="M5" s="115"/>
      <c r="N5" s="116"/>
      <c r="O5" s="115"/>
      <c r="P5" s="115"/>
      <c r="Q5" s="115"/>
      <c r="R5" s="116"/>
      <c r="S5" s="115"/>
      <c r="T5" s="115"/>
      <c r="U5" s="115"/>
      <c r="V5" s="116"/>
      <c r="W5" s="115"/>
      <c r="X5" s="115"/>
      <c r="Y5" s="53"/>
      <c r="Z5" s="110"/>
      <c r="AA5" s="110"/>
      <c r="AB5" s="110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</row>
    <row r="6" spans="1:47" hidden="1">
      <c r="A6" s="114"/>
      <c r="B6" s="115"/>
      <c r="C6" s="115"/>
      <c r="D6" s="116"/>
      <c r="E6" s="116"/>
      <c r="F6" s="115"/>
      <c r="G6" s="116"/>
      <c r="H6" s="116"/>
      <c r="I6" s="115"/>
      <c r="J6" s="116"/>
      <c r="K6" s="115"/>
      <c r="L6" s="115"/>
      <c r="M6" s="115"/>
      <c r="N6" s="116"/>
      <c r="O6" s="115"/>
      <c r="P6" s="115"/>
      <c r="Q6" s="115"/>
      <c r="R6" s="116"/>
      <c r="S6" s="115"/>
      <c r="T6" s="115"/>
      <c r="U6" s="115"/>
      <c r="V6" s="116"/>
      <c r="W6" s="115"/>
      <c r="X6" s="115"/>
      <c r="Y6" s="53"/>
      <c r="Z6" s="110"/>
      <c r="AA6" s="110"/>
      <c r="AB6" s="110"/>
      <c r="AC6" s="110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</row>
    <row r="7" spans="1:47" hidden="1">
      <c r="A7" s="115"/>
      <c r="B7" s="115"/>
      <c r="C7" s="115"/>
      <c r="D7" s="116"/>
      <c r="E7" s="116"/>
      <c r="F7" s="115"/>
      <c r="G7" s="116"/>
      <c r="H7" s="116"/>
      <c r="I7" s="115"/>
      <c r="J7" s="116"/>
      <c r="K7" s="115"/>
      <c r="L7" s="115"/>
      <c r="M7" s="115"/>
      <c r="N7" s="116"/>
      <c r="O7" s="115"/>
      <c r="P7" s="115"/>
      <c r="Q7" s="115"/>
      <c r="R7" s="116"/>
      <c r="S7" s="115"/>
      <c r="T7" s="115"/>
      <c r="U7" s="115"/>
      <c r="V7" s="116"/>
      <c r="W7" s="115"/>
      <c r="X7" s="115"/>
      <c r="Y7" s="53"/>
      <c r="Z7" s="110"/>
      <c r="AA7" s="110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</row>
    <row r="8" spans="1:47">
      <c r="A8" s="118"/>
      <c r="B8" s="118"/>
      <c r="C8" s="119"/>
      <c r="D8" s="120"/>
      <c r="E8" s="120"/>
      <c r="F8" s="121" t="s">
        <v>86</v>
      </c>
      <c r="G8" s="120"/>
      <c r="H8" s="120"/>
      <c r="I8" s="122" t="s">
        <v>9</v>
      </c>
      <c r="J8" s="120"/>
      <c r="K8" s="121"/>
      <c r="L8" s="121"/>
      <c r="M8" s="121"/>
      <c r="N8" s="120"/>
      <c r="O8" s="121"/>
      <c r="P8" s="121"/>
      <c r="Q8" s="121"/>
      <c r="R8" s="120"/>
      <c r="S8" s="121"/>
      <c r="T8" s="121"/>
      <c r="U8" s="121"/>
      <c r="V8" s="120"/>
      <c r="W8" s="121"/>
      <c r="X8" s="121"/>
      <c r="Y8" s="53"/>
      <c r="Z8" s="110"/>
      <c r="AA8" s="110"/>
      <c r="AB8" s="110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</row>
    <row r="9" spans="1:47">
      <c r="A9" s="118"/>
      <c r="B9" s="118"/>
      <c r="C9" s="119" t="s">
        <v>87</v>
      </c>
      <c r="D9" s="121" t="s">
        <v>88</v>
      </c>
      <c r="E9" s="120"/>
      <c r="F9" s="123" t="s">
        <v>89</v>
      </c>
      <c r="G9" s="121" t="s">
        <v>9</v>
      </c>
      <c r="H9" s="121"/>
      <c r="I9" s="122" t="s">
        <v>89</v>
      </c>
      <c r="J9" s="121" t="s">
        <v>10</v>
      </c>
      <c r="K9" s="119"/>
      <c r="L9" s="121" t="s">
        <v>10</v>
      </c>
      <c r="M9" s="121"/>
      <c r="N9" s="121" t="s">
        <v>90</v>
      </c>
      <c r="O9" s="119"/>
      <c r="P9" s="121" t="s">
        <v>91</v>
      </c>
      <c r="Q9" s="121"/>
      <c r="R9" s="121" t="s">
        <v>92</v>
      </c>
      <c r="S9" s="119"/>
      <c r="T9" s="121" t="s">
        <v>92</v>
      </c>
      <c r="U9" s="121"/>
      <c r="V9" s="121" t="s">
        <v>93</v>
      </c>
      <c r="W9" s="119"/>
      <c r="X9" s="121" t="s">
        <v>93</v>
      </c>
      <c r="Y9" s="53"/>
      <c r="Z9" s="110"/>
      <c r="AA9" s="110"/>
      <c r="AB9" s="110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</row>
    <row r="10" spans="1:47">
      <c r="A10" s="118"/>
      <c r="B10" s="118"/>
      <c r="C10" s="124" t="s">
        <v>8</v>
      </c>
      <c r="D10" s="125" t="s">
        <v>94</v>
      </c>
      <c r="E10" s="126"/>
      <c r="F10" s="125" t="s">
        <v>8</v>
      </c>
      <c r="G10" s="125" t="s">
        <v>94</v>
      </c>
      <c r="H10" s="123"/>
      <c r="I10" s="121" t="s">
        <v>8</v>
      </c>
      <c r="J10" s="125" t="s">
        <v>94</v>
      </c>
      <c r="K10" s="125"/>
      <c r="L10" s="125" t="s">
        <v>89</v>
      </c>
      <c r="M10" s="125"/>
      <c r="N10" s="125" t="s">
        <v>94</v>
      </c>
      <c r="O10" s="125"/>
      <c r="P10" s="125" t="s">
        <v>89</v>
      </c>
      <c r="Q10" s="125"/>
      <c r="R10" s="125" t="s">
        <v>94</v>
      </c>
      <c r="S10" s="125"/>
      <c r="T10" s="125" t="s">
        <v>89</v>
      </c>
      <c r="U10" s="125"/>
      <c r="V10" s="125" t="s">
        <v>94</v>
      </c>
      <c r="W10" s="125"/>
      <c r="X10" s="125" t="s">
        <v>89</v>
      </c>
      <c r="Y10" s="53"/>
      <c r="Z10" s="110"/>
      <c r="AA10" s="110"/>
      <c r="AB10" s="110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</row>
    <row r="11" spans="1:47">
      <c r="A11" s="127" t="s">
        <v>95</v>
      </c>
      <c r="F11" s="128"/>
      <c r="I11" s="128"/>
      <c r="Y11" s="53"/>
      <c r="Z11" s="110"/>
      <c r="AA11" s="110"/>
      <c r="AB11" s="110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</row>
    <row r="12" spans="1:47">
      <c r="A12" s="111" t="s">
        <v>96</v>
      </c>
      <c r="F12" s="128"/>
      <c r="I12" s="128"/>
      <c r="Y12" s="53"/>
      <c r="Z12" s="110"/>
      <c r="AA12" s="110"/>
      <c r="AB12" s="110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</row>
    <row r="13" spans="1:47">
      <c r="F13" s="128"/>
      <c r="I13" s="128"/>
      <c r="Y13" s="53"/>
      <c r="Z13" s="110"/>
      <c r="AA13" s="110"/>
      <c r="AB13" s="110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</row>
    <row r="14" spans="1:47">
      <c r="A14" s="111" t="s">
        <v>97</v>
      </c>
      <c r="F14" s="128"/>
      <c r="I14" s="128"/>
      <c r="Y14" s="53"/>
      <c r="Z14" s="110"/>
      <c r="AA14" s="110"/>
      <c r="AB14" s="110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</row>
    <row r="15" spans="1:47">
      <c r="A15" s="111" t="s">
        <v>98</v>
      </c>
      <c r="C15" s="129">
        <f>C36+C54+C72</f>
        <v>27329.113579563436</v>
      </c>
      <c r="D15" s="130">
        <v>10.63</v>
      </c>
      <c r="F15" s="131">
        <f>F36+F54+F72</f>
        <v>290509</v>
      </c>
      <c r="G15" s="130">
        <v>10.63</v>
      </c>
      <c r="I15" s="131">
        <f>I36+I54+I72</f>
        <v>290508.47735075932</v>
      </c>
      <c r="J15" s="130">
        <v>10.79</v>
      </c>
      <c r="L15" s="131">
        <f>L36+L54+L72</f>
        <v>294881.13552348944</v>
      </c>
      <c r="M15" s="131"/>
      <c r="N15" s="130">
        <v>6.31</v>
      </c>
      <c r="P15" s="131">
        <v>172414.44460659506</v>
      </c>
      <c r="Q15" s="131"/>
      <c r="R15" s="130">
        <v>0.89</v>
      </c>
      <c r="T15" s="131">
        <v>24203.789471075994</v>
      </c>
      <c r="U15" s="131"/>
      <c r="V15" s="130">
        <v>3.5900000000000003</v>
      </c>
      <c r="X15" s="131">
        <v>98262.901445818396</v>
      </c>
      <c r="Z15" s="132" t="s">
        <v>0</v>
      </c>
      <c r="AA15" s="133"/>
      <c r="AB15" s="133"/>
      <c r="AC15" s="133"/>
      <c r="AD15" s="133"/>
      <c r="AE15" s="134"/>
      <c r="AF15" s="134"/>
      <c r="AG15" s="134"/>
      <c r="AH15" s="134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U15" s="135"/>
    </row>
    <row r="16" spans="1:47">
      <c r="A16" s="111" t="s">
        <v>99</v>
      </c>
      <c r="C16" s="129">
        <f>C37+C55+C73</f>
        <v>4371.0778217830093</v>
      </c>
      <c r="D16" s="130">
        <v>20.23</v>
      </c>
      <c r="F16" s="131">
        <f>F37+F55+F73</f>
        <v>88427</v>
      </c>
      <c r="G16" s="130">
        <v>20.23</v>
      </c>
      <c r="I16" s="131">
        <f>I37+I55+I73</f>
        <v>88426.904334670282</v>
      </c>
      <c r="J16" s="130">
        <v>20.53</v>
      </c>
      <c r="L16" s="131">
        <f>L37+L55+L73</f>
        <v>89738.227681205186</v>
      </c>
      <c r="M16" s="131"/>
      <c r="N16" s="130">
        <v>12</v>
      </c>
      <c r="P16" s="131">
        <v>52469.164085956567</v>
      </c>
      <c r="Q16" s="131"/>
      <c r="R16" s="130">
        <v>1.69</v>
      </c>
      <c r="T16" s="131">
        <v>7365.6972544123901</v>
      </c>
      <c r="U16" s="131"/>
      <c r="V16" s="130">
        <v>6.84</v>
      </c>
      <c r="X16" s="131">
        <v>29903.366340836215</v>
      </c>
      <c r="Z16" s="132"/>
      <c r="AA16" s="133"/>
      <c r="AB16" s="133"/>
      <c r="AC16" s="133"/>
      <c r="AD16" s="133"/>
      <c r="AE16" s="134"/>
      <c r="AF16" s="134"/>
      <c r="AG16" s="134"/>
      <c r="AH16" s="134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U16" s="135"/>
    </row>
    <row r="17" spans="1:47">
      <c r="A17" s="111" t="s">
        <v>100</v>
      </c>
      <c r="C17" s="129">
        <f>C38+C56+C74</f>
        <v>540.36618394469588</v>
      </c>
      <c r="D17" s="130">
        <v>41.86</v>
      </c>
      <c r="F17" s="131">
        <f>F38+F56+F74</f>
        <v>22619</v>
      </c>
      <c r="G17" s="130">
        <v>41.86</v>
      </c>
      <c r="I17" s="131">
        <f>I38+I56+I74</f>
        <v>22619.728459924969</v>
      </c>
      <c r="J17" s="130">
        <v>42.48</v>
      </c>
      <c r="L17" s="131">
        <f>L38+L56+L74</f>
        <v>22954.755493970682</v>
      </c>
      <c r="M17" s="131"/>
      <c r="N17" s="130">
        <v>24.84</v>
      </c>
      <c r="P17" s="131">
        <v>13421.446619659668</v>
      </c>
      <c r="Q17" s="131"/>
      <c r="R17" s="130">
        <v>3.49</v>
      </c>
      <c r="T17" s="131">
        <v>1884.1221170346262</v>
      </c>
      <c r="U17" s="131"/>
      <c r="V17" s="130">
        <v>14.16</v>
      </c>
      <c r="X17" s="131">
        <v>7649.1867572763886</v>
      </c>
      <c r="Z17" s="132"/>
      <c r="AA17" s="133"/>
      <c r="AB17" s="133"/>
      <c r="AC17" s="133"/>
      <c r="AD17" s="133"/>
      <c r="AE17" s="134"/>
      <c r="AF17" s="134"/>
      <c r="AG17" s="134"/>
      <c r="AH17" s="134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U17" s="135"/>
    </row>
    <row r="18" spans="1:47">
      <c r="A18" s="111" t="s">
        <v>101</v>
      </c>
      <c r="C18" s="129"/>
      <c r="D18" s="136"/>
      <c r="F18" s="131"/>
      <c r="G18" s="136"/>
      <c r="I18" s="131"/>
      <c r="J18" s="136"/>
      <c r="L18" s="131"/>
      <c r="M18" s="131"/>
      <c r="N18" s="136"/>
      <c r="P18" s="131"/>
      <c r="Q18" s="131"/>
      <c r="R18" s="136"/>
      <c r="T18" s="131"/>
      <c r="U18" s="131"/>
      <c r="V18" s="136"/>
      <c r="X18" s="131"/>
      <c r="Z18" s="111"/>
      <c r="AA18" s="133"/>
      <c r="AB18" s="133"/>
      <c r="AC18" s="133"/>
      <c r="AD18" s="133"/>
      <c r="AE18" s="137"/>
      <c r="AF18" s="137"/>
      <c r="AG18" s="137"/>
      <c r="AH18" s="137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U18" s="135"/>
    </row>
    <row r="19" spans="1:47">
      <c r="A19" s="111" t="s">
        <v>102</v>
      </c>
      <c r="C19" s="129">
        <f>C40+C58+C76</f>
        <v>1979.2693236079485</v>
      </c>
      <c r="D19" s="130">
        <v>12.09</v>
      </c>
      <c r="F19" s="131">
        <f>F40+F58+F76</f>
        <v>23929</v>
      </c>
      <c r="G19" s="130">
        <v>12.09</v>
      </c>
      <c r="I19" s="131">
        <f>I40+I58+I76</f>
        <v>23929.366122420095</v>
      </c>
      <c r="J19" s="130">
        <v>12.27</v>
      </c>
      <c r="L19" s="131">
        <f>L40+L58+L76</f>
        <v>24285.634600669524</v>
      </c>
      <c r="M19" s="131"/>
      <c r="N19" s="130">
        <v>7.17</v>
      </c>
      <c r="P19" s="131">
        <v>14199.600100426236</v>
      </c>
      <c r="Q19" s="131"/>
      <c r="R19" s="130">
        <v>1.01</v>
      </c>
      <c r="T19" s="131">
        <v>1993.3604297968423</v>
      </c>
      <c r="U19" s="131"/>
      <c r="V19" s="130">
        <v>4.09</v>
      </c>
      <c r="X19" s="131">
        <v>8092.6740704464428</v>
      </c>
      <c r="Z19" s="132"/>
      <c r="AA19" s="133"/>
      <c r="AB19" s="133"/>
      <c r="AC19" s="133"/>
      <c r="AD19" s="133"/>
      <c r="AE19" s="134"/>
      <c r="AF19" s="134"/>
      <c r="AG19" s="134"/>
      <c r="AH19" s="134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U19" s="135"/>
    </row>
    <row r="20" spans="1:47">
      <c r="A20" s="111" t="s">
        <v>103</v>
      </c>
      <c r="C20" s="129">
        <f>C41+C59+C77</f>
        <v>1668.307786429365</v>
      </c>
      <c r="D20" s="130">
        <v>17.760000000000002</v>
      </c>
      <c r="F20" s="131">
        <f>F41+F59+F77</f>
        <v>29630</v>
      </c>
      <c r="G20" s="130">
        <v>17.760000000000002</v>
      </c>
      <c r="I20" s="131">
        <f>I41+I59+I77</f>
        <v>29629.146286985524</v>
      </c>
      <c r="J20" s="130">
        <v>18.02</v>
      </c>
      <c r="L20" s="131">
        <f>L41+L59+L77</f>
        <v>30062.906311457158</v>
      </c>
      <c r="M20" s="131"/>
      <c r="N20" s="130">
        <v>10.54</v>
      </c>
      <c r="P20" s="131">
        <v>17577.520805962511</v>
      </c>
      <c r="Q20" s="131"/>
      <c r="R20" s="130">
        <v>1.48</v>
      </c>
      <c r="T20" s="131">
        <v>2467.5578312578396</v>
      </c>
      <c r="U20" s="131"/>
      <c r="V20" s="130">
        <v>6</v>
      </c>
      <c r="X20" s="131">
        <v>10017.827674236805</v>
      </c>
      <c r="Z20" s="132"/>
      <c r="AA20" s="133"/>
      <c r="AB20" s="133"/>
      <c r="AC20" s="133"/>
      <c r="AD20" s="133"/>
      <c r="AE20" s="134"/>
      <c r="AF20" s="134"/>
      <c r="AG20" s="134"/>
      <c r="AH20" s="134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U20" s="135"/>
    </row>
    <row r="21" spans="1:47">
      <c r="A21" s="111" t="s">
        <v>104</v>
      </c>
      <c r="C21" s="129">
        <f>C42+C60+C78</f>
        <v>502.23760141089298</v>
      </c>
      <c r="D21" s="130">
        <v>28.64</v>
      </c>
      <c r="F21" s="131">
        <f>F42+F60+F78</f>
        <v>14384</v>
      </c>
      <c r="G21" s="130">
        <v>28.64</v>
      </c>
      <c r="I21" s="131">
        <f>I42+I60+I78</f>
        <v>14384.084904407975</v>
      </c>
      <c r="J21" s="130">
        <v>29.07</v>
      </c>
      <c r="L21" s="131">
        <f>L42+L60+L78</f>
        <v>14600.047073014659</v>
      </c>
      <c r="M21" s="131"/>
      <c r="N21" s="130">
        <v>17</v>
      </c>
      <c r="P21" s="131">
        <v>8536.5210048285644</v>
      </c>
      <c r="Q21" s="131"/>
      <c r="R21" s="130">
        <v>2.39</v>
      </c>
      <c r="T21" s="131">
        <v>1198.3691835549685</v>
      </c>
      <c r="U21" s="131"/>
      <c r="V21" s="130">
        <v>9.69</v>
      </c>
      <c r="X21" s="131">
        <v>4865.1568846311256</v>
      </c>
      <c r="Z21" s="132"/>
      <c r="AA21" s="133"/>
      <c r="AB21" s="133"/>
      <c r="AC21" s="133"/>
      <c r="AD21" s="133"/>
      <c r="AE21" s="134"/>
      <c r="AF21" s="134"/>
      <c r="AG21" s="134"/>
      <c r="AH21" s="134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U21" s="135"/>
    </row>
    <row r="22" spans="1:47">
      <c r="A22" s="111" t="s">
        <v>105</v>
      </c>
      <c r="C22" s="129">
        <f>C43+C61+C79</f>
        <v>609.73372177151964</v>
      </c>
      <c r="D22" s="138">
        <v>1</v>
      </c>
      <c r="E22" s="53"/>
      <c r="F22" s="131">
        <f>F43+F61+F79</f>
        <v>610</v>
      </c>
      <c r="G22" s="138">
        <v>1</v>
      </c>
      <c r="H22" s="53"/>
      <c r="I22" s="131">
        <f>I43+I61+I79</f>
        <v>609.73372177151964</v>
      </c>
      <c r="J22" s="130">
        <v>1</v>
      </c>
      <c r="K22" s="53"/>
      <c r="L22" s="131">
        <f>L43+L61+L79</f>
        <v>609.73372177151964</v>
      </c>
      <c r="M22" s="131"/>
      <c r="N22" s="130">
        <v>1</v>
      </c>
      <c r="O22" s="53"/>
      <c r="P22" s="131">
        <v>609.73372177151964</v>
      </c>
      <c r="Q22" s="131"/>
      <c r="R22" s="130" t="s">
        <v>0</v>
      </c>
      <c r="S22" s="53"/>
      <c r="T22" s="131">
        <v>0</v>
      </c>
      <c r="U22" s="131"/>
      <c r="V22" s="130" t="s">
        <v>0</v>
      </c>
      <c r="W22" s="53"/>
      <c r="X22" s="131">
        <v>0</v>
      </c>
      <c r="Z22" s="132"/>
      <c r="AA22" s="139" t="s">
        <v>0</v>
      </c>
      <c r="AB22" s="111"/>
      <c r="AC22" s="133"/>
      <c r="AD22" s="13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U22" s="135"/>
    </row>
    <row r="23" spans="1:47" s="141" customFormat="1" hidden="1">
      <c r="A23" s="140" t="s">
        <v>106</v>
      </c>
      <c r="C23" s="142">
        <f t="shared" ref="C23:C26" si="0">C44+C62+C80</f>
        <v>3367563</v>
      </c>
      <c r="D23" s="138"/>
      <c r="E23" s="143"/>
      <c r="F23" s="144"/>
      <c r="G23" s="138"/>
      <c r="H23" s="143"/>
      <c r="I23" s="144"/>
      <c r="J23" s="145">
        <v>0</v>
      </c>
      <c r="K23" s="146" t="s">
        <v>107</v>
      </c>
      <c r="L23" s="144">
        <f>L44+L62+L80</f>
        <v>0</v>
      </c>
      <c r="M23" s="144"/>
      <c r="N23" s="145" t="s">
        <v>0</v>
      </c>
      <c r="O23" s="146" t="s">
        <v>0</v>
      </c>
      <c r="P23" s="131">
        <v>0</v>
      </c>
      <c r="Q23" s="144"/>
      <c r="R23" s="145" t="s">
        <v>0</v>
      </c>
      <c r="S23" s="146" t="s">
        <v>0</v>
      </c>
      <c r="T23" s="131">
        <v>0</v>
      </c>
      <c r="U23" s="144"/>
      <c r="V23" s="145">
        <f>J23</f>
        <v>0</v>
      </c>
      <c r="W23" s="146" t="s">
        <v>107</v>
      </c>
      <c r="X23" s="131">
        <v>0</v>
      </c>
      <c r="Y23" s="147">
        <v>77549.486397420507</v>
      </c>
      <c r="Z23" s="132" t="s">
        <v>108</v>
      </c>
      <c r="AC23" s="148"/>
      <c r="AD23" s="148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U23" s="147"/>
    </row>
    <row r="24" spans="1:47">
      <c r="A24" s="111" t="s">
        <v>109</v>
      </c>
      <c r="C24" s="129">
        <f t="shared" si="0"/>
        <v>30383</v>
      </c>
      <c r="D24" s="130"/>
      <c r="F24" s="131"/>
      <c r="G24" s="130"/>
      <c r="I24" s="131"/>
      <c r="J24" s="130"/>
      <c r="L24" s="131"/>
      <c r="M24" s="131"/>
      <c r="N24" s="130"/>
      <c r="P24" s="131"/>
      <c r="Q24" s="131"/>
      <c r="R24" s="130"/>
      <c r="T24" s="131"/>
      <c r="U24" s="131"/>
      <c r="V24" s="130"/>
      <c r="X24" s="131"/>
      <c r="Z24" s="135"/>
      <c r="AA24" s="111"/>
      <c r="AB24" s="111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U24" s="135"/>
    </row>
    <row r="25" spans="1:47">
      <c r="A25" s="111" t="s">
        <v>110</v>
      </c>
      <c r="C25" s="129">
        <f t="shared" si="0"/>
        <v>3367563</v>
      </c>
      <c r="D25" s="138"/>
      <c r="E25" s="53"/>
      <c r="F25" s="131">
        <f>F46+F64+F82</f>
        <v>470108</v>
      </c>
      <c r="G25" s="138"/>
      <c r="H25" s="53"/>
      <c r="I25" s="131">
        <f>I46+I64+I82</f>
        <v>470107.44118093967</v>
      </c>
      <c r="J25" s="138"/>
      <c r="K25" s="53"/>
      <c r="L25" s="149">
        <f>L46+L64+L82</f>
        <v>477132.44040557818</v>
      </c>
      <c r="M25" s="149"/>
      <c r="N25" s="138"/>
      <c r="O25" s="53"/>
      <c r="P25" s="149">
        <f>SUM(P15:P23)</f>
        <v>279228.43094520009</v>
      </c>
      <c r="Q25" s="149"/>
      <c r="R25" s="138"/>
      <c r="S25" s="53"/>
      <c r="T25" s="149">
        <f>SUM(T15:T23)</f>
        <v>39112.896287132658</v>
      </c>
      <c r="U25" s="149"/>
      <c r="V25" s="138"/>
      <c r="W25" s="53"/>
      <c r="X25" s="149">
        <f>SUM(X15:X23)</f>
        <v>158791.11317324537</v>
      </c>
      <c r="Z25" s="150"/>
      <c r="AA25" s="111"/>
      <c r="AB25" s="111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U25" s="135"/>
    </row>
    <row r="26" spans="1:47">
      <c r="A26" s="111" t="s">
        <v>111</v>
      </c>
      <c r="C26" s="129">
        <f t="shared" si="0"/>
        <v>-12327.931573957167</v>
      </c>
      <c r="D26" s="138"/>
      <c r="E26" s="53"/>
      <c r="F26" s="151">
        <f>F47+F65+F83</f>
        <v>-1473.026073087696</v>
      </c>
      <c r="G26" s="138"/>
      <c r="H26" s="53"/>
      <c r="I26" s="151">
        <f>I47+I65+I83</f>
        <v>-1473.026073087696</v>
      </c>
      <c r="J26" s="138"/>
      <c r="K26" s="53"/>
      <c r="L26" s="151">
        <f>I26</f>
        <v>-1473.026073087696</v>
      </c>
      <c r="M26" s="151"/>
      <c r="N26" s="138"/>
      <c r="O26" s="53"/>
      <c r="P26" s="152">
        <f>$L$26*Y31/($Y$31+$Z$31+$AA$31)</f>
        <v>-862.04735687227515</v>
      </c>
      <c r="Q26" s="153"/>
      <c r="R26" s="154"/>
      <c r="S26" s="154"/>
      <c r="T26" s="152">
        <f>$L$26*Z31/($Y$31+$Z$31+$AA$31)</f>
        <v>-120.75120269740472</v>
      </c>
      <c r="U26" s="153"/>
      <c r="V26" s="154"/>
      <c r="W26" s="154"/>
      <c r="X26" s="152">
        <f>$L$26*AA31/($Y$31+$Z$31+$AA$31)</f>
        <v>-490.22751351801611</v>
      </c>
      <c r="AA26" s="155" t="s">
        <v>0</v>
      </c>
      <c r="AB26" s="155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U26" s="135"/>
    </row>
    <row r="27" spans="1:47" ht="16.5" thickBot="1">
      <c r="A27" s="111" t="s">
        <v>112</v>
      </c>
      <c r="C27" s="156">
        <f>C25+C26</f>
        <v>3355235.0684260428</v>
      </c>
      <c r="D27" s="157"/>
      <c r="E27" s="157"/>
      <c r="F27" s="157">
        <f>F25+F26</f>
        <v>468634.97392691229</v>
      </c>
      <c r="G27" s="158"/>
      <c r="H27" s="157"/>
      <c r="I27" s="157">
        <f>I25+I26</f>
        <v>468634.41510785196</v>
      </c>
      <c r="J27" s="158"/>
      <c r="K27" s="157"/>
      <c r="L27" s="157">
        <f>L25+L26</f>
        <v>475659.41433249047</v>
      </c>
      <c r="M27" s="158"/>
      <c r="N27" s="158"/>
      <c r="O27" s="157"/>
      <c r="P27" s="157">
        <f>P25+P26</f>
        <v>278366.38358832779</v>
      </c>
      <c r="Q27" s="158"/>
      <c r="R27" s="158"/>
      <c r="S27" s="157"/>
      <c r="T27" s="157">
        <f>T25+T26</f>
        <v>38992.145084435251</v>
      </c>
      <c r="U27" s="158"/>
      <c r="V27" s="158"/>
      <c r="W27" s="157"/>
      <c r="X27" s="157">
        <f>X25+X26</f>
        <v>158300.88565972736</v>
      </c>
      <c r="Y27" s="159" t="s">
        <v>113</v>
      </c>
      <c r="Z27" s="160">
        <v>475616.16892227193</v>
      </c>
      <c r="AA27" s="161">
        <v>-0.10110191827714327</v>
      </c>
      <c r="AB27" s="162"/>
      <c r="AC27" s="63"/>
      <c r="AD27" s="6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U27" s="135"/>
    </row>
    <row r="28" spans="1:47" ht="16.5" thickTop="1">
      <c r="A28" s="163" t="s">
        <v>114</v>
      </c>
      <c r="C28" s="164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65"/>
      <c r="Z28" s="166"/>
      <c r="AA28" s="167"/>
      <c r="AB28" s="162"/>
      <c r="AC28" s="63"/>
      <c r="AD28" s="6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U28" s="135"/>
    </row>
    <row r="29" spans="1:47" ht="18" customHeight="1">
      <c r="C29" s="168"/>
      <c r="D29" s="154" t="s">
        <v>0</v>
      </c>
      <c r="E29" s="168"/>
      <c r="F29" s="128"/>
      <c r="G29" s="154" t="s">
        <v>0</v>
      </c>
      <c r="H29" s="168"/>
      <c r="I29" s="128"/>
      <c r="J29" s="169" t="s">
        <v>0</v>
      </c>
      <c r="K29" s="168"/>
      <c r="L29" s="131" t="s">
        <v>0</v>
      </c>
      <c r="M29" s="131"/>
      <c r="N29" s="169" t="s">
        <v>0</v>
      </c>
      <c r="O29" s="168"/>
      <c r="P29" s="131" t="s">
        <v>0</v>
      </c>
      <c r="Q29" s="131"/>
      <c r="R29" s="169" t="s">
        <v>0</v>
      </c>
      <c r="S29" s="168"/>
      <c r="T29" s="131" t="s">
        <v>0</v>
      </c>
      <c r="U29" s="131"/>
      <c r="V29" s="169" t="s">
        <v>0</v>
      </c>
      <c r="W29" s="168"/>
      <c r="X29" s="131" t="s">
        <v>0</v>
      </c>
      <c r="Y29" s="170" t="s">
        <v>115</v>
      </c>
      <c r="Z29" s="171">
        <f>Z27-L27</f>
        <v>-43.245410218543839</v>
      </c>
      <c r="AA29" s="172">
        <v>0</v>
      </c>
      <c r="AB29" s="97"/>
      <c r="AC29" s="63"/>
      <c r="AD29" s="6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U29" s="135"/>
    </row>
    <row r="30" spans="1:47" hidden="1">
      <c r="C30" s="168"/>
      <c r="D30" s="154"/>
      <c r="E30" s="168"/>
      <c r="F30" s="128"/>
      <c r="G30" s="154"/>
      <c r="H30" s="168"/>
      <c r="I30" s="128"/>
      <c r="J30" s="169"/>
      <c r="K30" s="168"/>
      <c r="L30" s="131"/>
      <c r="M30" s="131"/>
      <c r="N30" s="169"/>
      <c r="O30" s="168"/>
      <c r="P30" s="131"/>
      <c r="Q30" s="131"/>
      <c r="R30" s="169"/>
      <c r="S30" s="168"/>
      <c r="T30" s="131"/>
      <c r="U30" s="131"/>
      <c r="V30" s="169"/>
      <c r="W30" s="168"/>
      <c r="X30" s="131">
        <f>X29-L27</f>
        <v>-475659.41433249047</v>
      </c>
      <c r="Y30" s="173">
        <v>0.58522206267896359</v>
      </c>
      <c r="Z30" s="173">
        <v>8.1974925565500054E-2</v>
      </c>
      <c r="AA30" s="173">
        <v>0.33280301175553639</v>
      </c>
      <c r="AB30" s="97"/>
      <c r="AC30" s="63"/>
      <c r="AD30" s="6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U30" s="135"/>
    </row>
    <row r="31" spans="1:47" hidden="1">
      <c r="C31" s="168"/>
      <c r="D31" s="154"/>
      <c r="E31" s="168"/>
      <c r="F31" s="128"/>
      <c r="G31" s="154"/>
      <c r="H31" s="168"/>
      <c r="I31" s="128"/>
      <c r="J31" s="169"/>
      <c r="K31" s="168"/>
      <c r="L31" s="131"/>
      <c r="M31" s="131"/>
      <c r="N31" s="169"/>
      <c r="O31" s="168"/>
      <c r="P31" s="131"/>
      <c r="Q31" s="131"/>
      <c r="R31" s="169"/>
      <c r="S31" s="168"/>
      <c r="T31" s="131"/>
      <c r="U31" s="131"/>
      <c r="V31" s="169"/>
      <c r="W31" s="168"/>
      <c r="X31" s="131"/>
      <c r="Y31" s="166">
        <f>L27*Y30</f>
        <v>278366.38358832785</v>
      </c>
      <c r="Z31" s="166">
        <f>L27*Z30</f>
        <v>38992.145084435258</v>
      </c>
      <c r="AA31" s="166">
        <f>L27*AA30</f>
        <v>158300.88565972738</v>
      </c>
      <c r="AB31" s="97"/>
      <c r="AC31" s="63"/>
      <c r="AD31" s="6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U31" s="135"/>
    </row>
    <row r="32" spans="1:47" hidden="1">
      <c r="A32" s="127" t="s">
        <v>95</v>
      </c>
      <c r="F32" s="128"/>
      <c r="I32" s="128"/>
      <c r="Z32" s="174" t="s">
        <v>0</v>
      </c>
      <c r="AA32" s="111"/>
      <c r="AB32" s="111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U32" s="135"/>
    </row>
    <row r="33" spans="1:47" hidden="1">
      <c r="A33" s="111" t="s">
        <v>116</v>
      </c>
      <c r="F33" s="128"/>
      <c r="I33" s="128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53"/>
      <c r="AP33" s="53"/>
      <c r="AQ33" s="53"/>
      <c r="AR33" s="53"/>
      <c r="AS33" s="53"/>
      <c r="AU33" s="135"/>
    </row>
    <row r="34" spans="1:47" hidden="1">
      <c r="F34" s="128"/>
      <c r="I34" s="128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53"/>
      <c r="AP34" s="53"/>
      <c r="AQ34" s="53"/>
      <c r="AR34" s="53"/>
      <c r="AS34" s="53"/>
      <c r="AU34" s="135"/>
    </row>
    <row r="35" spans="1:47" hidden="1">
      <c r="A35" s="111" t="s">
        <v>97</v>
      </c>
      <c r="F35" s="128"/>
      <c r="I35" s="128"/>
      <c r="Y35" s="175"/>
      <c r="Z35" s="175"/>
      <c r="AA35" s="110"/>
      <c r="AB35" s="110"/>
      <c r="AC35" s="176"/>
      <c r="AD35" s="176"/>
      <c r="AE35" s="177"/>
      <c r="AF35" s="177"/>
      <c r="AG35" s="177"/>
      <c r="AH35" s="177"/>
      <c r="AI35" s="178"/>
      <c r="AJ35" s="179"/>
      <c r="AK35" s="175"/>
      <c r="AL35" s="175"/>
      <c r="AM35" s="175"/>
      <c r="AN35" s="175"/>
      <c r="AO35" s="53"/>
      <c r="AP35" s="53"/>
      <c r="AQ35" s="53"/>
      <c r="AR35" s="53"/>
      <c r="AS35" s="53"/>
      <c r="AU35" s="135"/>
    </row>
    <row r="36" spans="1:47" hidden="1">
      <c r="A36" s="111" t="s">
        <v>98</v>
      </c>
      <c r="C36" s="129">
        <v>12659.61444244743</v>
      </c>
      <c r="D36" s="130">
        <v>10.63</v>
      </c>
      <c r="F36" s="131">
        <f>ROUND(D36*$C36,0)</f>
        <v>134572</v>
      </c>
      <c r="G36" s="130">
        <v>10.63</v>
      </c>
      <c r="I36" s="131">
        <f>G36*C36</f>
        <v>134571.70152321618</v>
      </c>
      <c r="J36" s="130">
        <f>$J$15</f>
        <v>10.79</v>
      </c>
      <c r="L36" s="131">
        <f>(J36*$C36)</f>
        <v>136597.23983400775</v>
      </c>
      <c r="M36" s="131"/>
      <c r="N36" s="130">
        <f>N15</f>
        <v>6.31</v>
      </c>
      <c r="P36" s="131">
        <f>N36*C36</f>
        <v>79882.167131843278</v>
      </c>
      <c r="Q36" s="131"/>
      <c r="R36" s="130">
        <f>R15</f>
        <v>0.89</v>
      </c>
      <c r="T36" s="131">
        <f>R36*C36</f>
        <v>11267.056853778213</v>
      </c>
      <c r="U36" s="131"/>
      <c r="V36" s="130">
        <f>V15</f>
        <v>3.5900000000000003</v>
      </c>
      <c r="X36" s="131">
        <f>V36*C36</f>
        <v>45448.015848386276</v>
      </c>
      <c r="Y36" s="53"/>
      <c r="Z36" s="178"/>
      <c r="AA36" s="110"/>
      <c r="AB36" s="110"/>
      <c r="AC36" s="175"/>
      <c r="AD36" s="175"/>
      <c r="AE36" s="180"/>
      <c r="AF36" s="180"/>
      <c r="AG36" s="180"/>
      <c r="AH36" s="180"/>
      <c r="AI36" s="181"/>
      <c r="AJ36" s="175"/>
      <c r="AK36" s="178"/>
      <c r="AL36" s="178"/>
      <c r="AM36" s="182"/>
      <c r="AN36" s="178"/>
      <c r="AO36" s="53"/>
      <c r="AP36" s="53"/>
      <c r="AQ36" s="53"/>
      <c r="AR36" s="53"/>
      <c r="AS36" s="53"/>
      <c r="AU36" s="135"/>
    </row>
    <row r="37" spans="1:47" hidden="1">
      <c r="A37" s="111" t="s">
        <v>99</v>
      </c>
      <c r="C37" s="129">
        <v>268.30053137836148</v>
      </c>
      <c r="D37" s="130">
        <v>20.23</v>
      </c>
      <c r="F37" s="131">
        <f>ROUND(D37*$C37,0)</f>
        <v>5428</v>
      </c>
      <c r="G37" s="130">
        <v>20.23</v>
      </c>
      <c r="I37" s="131">
        <f t="shared" ref="I37:I38" si="1">G37*C37</f>
        <v>5427.7197497842526</v>
      </c>
      <c r="J37" s="130">
        <f>$J$16</f>
        <v>20.53</v>
      </c>
      <c r="L37" s="131">
        <f>(J37*$C37)</f>
        <v>5508.2099091977616</v>
      </c>
      <c r="M37" s="131"/>
      <c r="N37" s="130">
        <f>N16</f>
        <v>12</v>
      </c>
      <c r="P37" s="131">
        <f t="shared" ref="P37:P43" si="2">N37*C37</f>
        <v>3219.6063765403378</v>
      </c>
      <c r="Q37" s="131"/>
      <c r="R37" s="130">
        <f>R16</f>
        <v>1.69</v>
      </c>
      <c r="T37" s="131">
        <f t="shared" ref="T37:T44" si="3">R37*C37</f>
        <v>453.42789802943088</v>
      </c>
      <c r="U37" s="131"/>
      <c r="V37" s="130">
        <f>V16</f>
        <v>6.84</v>
      </c>
      <c r="X37" s="131">
        <f t="shared" ref="X37:X43" si="4">V37*C37</f>
        <v>1835.1756346279926</v>
      </c>
      <c r="Y37" s="53"/>
      <c r="Z37" s="178"/>
      <c r="AA37" s="110"/>
      <c r="AB37" s="110"/>
      <c r="AC37" s="53"/>
      <c r="AD37" s="53"/>
      <c r="AE37" s="183"/>
      <c r="AF37" s="183"/>
      <c r="AG37" s="183"/>
      <c r="AH37" s="183"/>
      <c r="AI37" s="175"/>
      <c r="AJ37" s="175"/>
      <c r="AK37" s="178"/>
      <c r="AL37" s="178"/>
      <c r="AM37" s="182"/>
      <c r="AN37" s="178"/>
      <c r="AO37" s="53"/>
      <c r="AP37" s="53"/>
      <c r="AQ37" s="53"/>
      <c r="AR37" s="53"/>
      <c r="AS37" s="53"/>
      <c r="AU37" s="135"/>
    </row>
    <row r="38" spans="1:47" hidden="1">
      <c r="A38" s="111" t="s">
        <v>100</v>
      </c>
      <c r="C38" s="129">
        <v>0</v>
      </c>
      <c r="D38" s="130">
        <v>41.86</v>
      </c>
      <c r="F38" s="131">
        <f>ROUND(D38*$C38,0)</f>
        <v>0</v>
      </c>
      <c r="G38" s="130">
        <v>41.86</v>
      </c>
      <c r="I38" s="131">
        <f t="shared" si="1"/>
        <v>0</v>
      </c>
      <c r="J38" s="130">
        <f>$J$17</f>
        <v>42.48</v>
      </c>
      <c r="L38" s="131">
        <f>(J38*$C38)</f>
        <v>0</v>
      </c>
      <c r="M38" s="131"/>
      <c r="N38" s="130">
        <f>N17</f>
        <v>24.84</v>
      </c>
      <c r="P38" s="131">
        <f t="shared" si="2"/>
        <v>0</v>
      </c>
      <c r="Q38" s="131"/>
      <c r="R38" s="130">
        <f>R17</f>
        <v>3.49</v>
      </c>
      <c r="T38" s="131">
        <f t="shared" si="3"/>
        <v>0</v>
      </c>
      <c r="U38" s="131"/>
      <c r="V38" s="130">
        <f>V17</f>
        <v>14.16</v>
      </c>
      <c r="X38" s="131">
        <f t="shared" si="4"/>
        <v>0</v>
      </c>
      <c r="Y38" s="53"/>
      <c r="Z38" s="178"/>
      <c r="AA38" s="110"/>
      <c r="AB38" s="110"/>
      <c r="AC38" s="53"/>
      <c r="AD38" s="53"/>
      <c r="AE38" s="183"/>
      <c r="AF38" s="183"/>
      <c r="AG38" s="183"/>
      <c r="AH38" s="183"/>
      <c r="AI38" s="175"/>
      <c r="AJ38" s="175"/>
      <c r="AK38" s="178"/>
      <c r="AL38" s="178"/>
      <c r="AM38" s="182"/>
      <c r="AN38" s="178"/>
      <c r="AO38" s="53"/>
      <c r="AP38" s="53"/>
      <c r="AQ38" s="53"/>
      <c r="AR38" s="53"/>
      <c r="AS38" s="53"/>
      <c r="AU38" s="135"/>
    </row>
    <row r="39" spans="1:47" hidden="1">
      <c r="A39" s="111" t="s">
        <v>101</v>
      </c>
      <c r="C39" s="129"/>
      <c r="D39" s="130"/>
      <c r="F39" s="131"/>
      <c r="G39" s="130"/>
      <c r="I39" s="131"/>
      <c r="J39" s="130"/>
      <c r="L39" s="131"/>
      <c r="M39" s="131"/>
      <c r="N39" s="130"/>
      <c r="P39" s="131"/>
      <c r="Q39" s="131"/>
      <c r="R39" s="130"/>
      <c r="T39" s="131"/>
      <c r="U39" s="131"/>
      <c r="V39" s="130"/>
      <c r="X39" s="131"/>
      <c r="Y39" s="53"/>
      <c r="Z39" s="178"/>
      <c r="AA39" s="110"/>
      <c r="AB39" s="110"/>
      <c r="AC39" s="53"/>
      <c r="AD39" s="53"/>
      <c r="AE39" s="183"/>
      <c r="AF39" s="183"/>
      <c r="AG39" s="183"/>
      <c r="AH39" s="183"/>
      <c r="AI39" s="175"/>
      <c r="AJ39" s="175"/>
      <c r="AK39" s="178"/>
      <c r="AL39" s="178"/>
      <c r="AM39" s="182"/>
      <c r="AN39" s="178"/>
      <c r="AO39" s="53"/>
      <c r="AP39" s="53"/>
      <c r="AQ39" s="53"/>
      <c r="AR39" s="53"/>
      <c r="AS39" s="53"/>
      <c r="AU39" s="135"/>
    </row>
    <row r="40" spans="1:47" hidden="1">
      <c r="A40" s="111" t="s">
        <v>102</v>
      </c>
      <c r="C40" s="129">
        <v>807.60168615657005</v>
      </c>
      <c r="D40" s="130">
        <v>12.09</v>
      </c>
      <c r="F40" s="131">
        <f>ROUND(D40*$C40,0)</f>
        <v>9764</v>
      </c>
      <c r="G40" s="130">
        <v>12.09</v>
      </c>
      <c r="I40" s="131">
        <f t="shared" ref="I40:I43" si="5">G40*C40</f>
        <v>9763.9043856329317</v>
      </c>
      <c r="J40" s="130">
        <f>$J$19</f>
        <v>12.27</v>
      </c>
      <c r="L40" s="131">
        <f t="shared" ref="L40:L43" si="6">(J40*$C40)</f>
        <v>9909.2726891411148</v>
      </c>
      <c r="M40" s="131"/>
      <c r="N40" s="130">
        <f>N19</f>
        <v>7.17</v>
      </c>
      <c r="P40" s="131">
        <f t="shared" si="2"/>
        <v>5790.504089742607</v>
      </c>
      <c r="Q40" s="131"/>
      <c r="R40" s="130">
        <f>R19</f>
        <v>1.01</v>
      </c>
      <c r="T40" s="131">
        <f t="shared" si="3"/>
        <v>815.67770301813573</v>
      </c>
      <c r="U40" s="131"/>
      <c r="V40" s="130">
        <f>V19</f>
        <v>4.09</v>
      </c>
      <c r="X40" s="131">
        <f t="shared" si="4"/>
        <v>3303.0908963803713</v>
      </c>
      <c r="Y40" s="53"/>
      <c r="Z40" s="178"/>
      <c r="AA40" s="110"/>
      <c r="AB40" s="110"/>
      <c r="AC40" s="53"/>
      <c r="AD40" s="53"/>
      <c r="AE40" s="183"/>
      <c r="AF40" s="183"/>
      <c r="AG40" s="183"/>
      <c r="AH40" s="183"/>
      <c r="AI40" s="175"/>
      <c r="AJ40" s="175"/>
      <c r="AK40" s="178"/>
      <c r="AL40" s="178"/>
      <c r="AM40" s="182"/>
      <c r="AN40" s="178"/>
      <c r="AO40" s="53"/>
      <c r="AP40" s="53"/>
      <c r="AQ40" s="53"/>
      <c r="AR40" s="53"/>
      <c r="AS40" s="53"/>
      <c r="AU40" s="135"/>
    </row>
    <row r="41" spans="1:47" hidden="1">
      <c r="A41" s="111" t="s">
        <v>103</v>
      </c>
      <c r="C41" s="129">
        <v>205.66799715733501</v>
      </c>
      <c r="D41" s="130">
        <v>17.760000000000002</v>
      </c>
      <c r="F41" s="131">
        <f>ROUND(D41*$C41,0)</f>
        <v>3653</v>
      </c>
      <c r="G41" s="130">
        <v>17.760000000000002</v>
      </c>
      <c r="I41" s="131">
        <f t="shared" si="5"/>
        <v>3652.6636295142703</v>
      </c>
      <c r="J41" s="130">
        <f>$J$20</f>
        <v>18.02</v>
      </c>
      <c r="L41" s="131">
        <f t="shared" si="6"/>
        <v>3706.1373087751767</v>
      </c>
      <c r="M41" s="131"/>
      <c r="N41" s="130">
        <f>N20</f>
        <v>10.54</v>
      </c>
      <c r="P41" s="131">
        <f t="shared" si="2"/>
        <v>2167.7406900383107</v>
      </c>
      <c r="Q41" s="131"/>
      <c r="R41" s="130">
        <f>R20</f>
        <v>1.48</v>
      </c>
      <c r="T41" s="131">
        <f t="shared" si="3"/>
        <v>304.38863579285584</v>
      </c>
      <c r="U41" s="131"/>
      <c r="V41" s="130">
        <f>V20</f>
        <v>6</v>
      </c>
      <c r="X41" s="131">
        <f t="shared" si="4"/>
        <v>1234.0079829440101</v>
      </c>
      <c r="Y41" s="53"/>
      <c r="Z41" s="178"/>
      <c r="AA41" s="110"/>
      <c r="AB41" s="110"/>
      <c r="AC41" s="53"/>
      <c r="AD41" s="53"/>
      <c r="AE41" s="183"/>
      <c r="AF41" s="183"/>
      <c r="AG41" s="183"/>
      <c r="AH41" s="183"/>
      <c r="AI41" s="175"/>
      <c r="AJ41" s="175"/>
      <c r="AK41" s="178"/>
      <c r="AL41" s="178"/>
      <c r="AM41" s="182"/>
      <c r="AN41" s="178"/>
      <c r="AO41" s="53"/>
      <c r="AP41" s="53"/>
      <c r="AQ41" s="53"/>
      <c r="AR41" s="53"/>
      <c r="AS41" s="53"/>
      <c r="AU41" s="135"/>
    </row>
    <row r="42" spans="1:47" hidden="1">
      <c r="A42" s="111" t="s">
        <v>104</v>
      </c>
      <c r="C42" s="129">
        <v>12.000000235856399</v>
      </c>
      <c r="D42" s="130">
        <v>28.64</v>
      </c>
      <c r="F42" s="131">
        <f>ROUND(D42*$C42,0)</f>
        <v>344</v>
      </c>
      <c r="G42" s="130">
        <v>28.64</v>
      </c>
      <c r="I42" s="131">
        <f t="shared" si="5"/>
        <v>343.68000675492726</v>
      </c>
      <c r="J42" s="130">
        <f>$J$21</f>
        <v>29.07</v>
      </c>
      <c r="L42" s="131">
        <f t="shared" si="6"/>
        <v>348.84000685634555</v>
      </c>
      <c r="M42" s="131"/>
      <c r="N42" s="130">
        <f>N21</f>
        <v>17</v>
      </c>
      <c r="P42" s="131">
        <f t="shared" si="2"/>
        <v>204.00000400955878</v>
      </c>
      <c r="Q42" s="131"/>
      <c r="R42" s="130">
        <f>R21</f>
        <v>2.39</v>
      </c>
      <c r="T42" s="131">
        <f t="shared" si="3"/>
        <v>28.680000563696797</v>
      </c>
      <c r="U42" s="131"/>
      <c r="V42" s="130">
        <f>V21</f>
        <v>9.69</v>
      </c>
      <c r="X42" s="131">
        <f t="shared" si="4"/>
        <v>116.2800022854485</v>
      </c>
      <c r="Y42" s="53"/>
      <c r="Z42" s="178"/>
      <c r="AA42" s="110"/>
      <c r="AB42" s="110"/>
      <c r="AC42" s="53"/>
      <c r="AD42" s="53"/>
      <c r="AE42" s="183"/>
      <c r="AF42" s="183"/>
      <c r="AG42" s="183"/>
      <c r="AH42" s="183"/>
      <c r="AI42" s="175"/>
      <c r="AJ42" s="175"/>
      <c r="AK42" s="178"/>
      <c r="AL42" s="178"/>
      <c r="AM42" s="182"/>
      <c r="AN42" s="178"/>
      <c r="AO42" s="53"/>
      <c r="AP42" s="53"/>
      <c r="AQ42" s="53"/>
      <c r="AR42" s="53"/>
      <c r="AS42" s="53"/>
      <c r="AU42" s="135"/>
    </row>
    <row r="43" spans="1:47" hidden="1">
      <c r="A43" s="111" t="s">
        <v>105</v>
      </c>
      <c r="C43" s="129">
        <v>126.9668622698855</v>
      </c>
      <c r="D43" s="130">
        <v>1</v>
      </c>
      <c r="E43" s="53"/>
      <c r="F43" s="151">
        <f>ROUND(D43*$C43,0)</f>
        <v>127</v>
      </c>
      <c r="G43" s="130">
        <v>1</v>
      </c>
      <c r="H43" s="53"/>
      <c r="I43" s="131">
        <f t="shared" si="5"/>
        <v>126.9668622698855</v>
      </c>
      <c r="J43" s="138">
        <f>$J$22</f>
        <v>1</v>
      </c>
      <c r="K43" s="53"/>
      <c r="L43" s="131">
        <f t="shared" si="6"/>
        <v>126.9668622698855</v>
      </c>
      <c r="M43" s="131"/>
      <c r="N43" s="130">
        <f>N22</f>
        <v>1</v>
      </c>
      <c r="O43" s="53"/>
      <c r="P43" s="131">
        <f t="shared" si="2"/>
        <v>126.9668622698855</v>
      </c>
      <c r="Q43" s="131"/>
      <c r="R43" s="130" t="str">
        <f>R22</f>
        <v xml:space="preserve"> </v>
      </c>
      <c r="S43" s="53"/>
      <c r="T43" s="131">
        <f t="shared" si="3"/>
        <v>0</v>
      </c>
      <c r="U43" s="131"/>
      <c r="V43" s="130" t="str">
        <f>V22</f>
        <v xml:space="preserve"> </v>
      </c>
      <c r="W43" s="53"/>
      <c r="X43" s="131">
        <f t="shared" si="4"/>
        <v>0</v>
      </c>
      <c r="Y43" s="175"/>
      <c r="Z43" s="178"/>
      <c r="AA43" s="110"/>
      <c r="AB43" s="110"/>
      <c r="AC43" s="53"/>
      <c r="AD43" s="53"/>
      <c r="AE43" s="175"/>
      <c r="AF43" s="175"/>
      <c r="AG43" s="175"/>
      <c r="AH43" s="175"/>
      <c r="AI43" s="175"/>
      <c r="AJ43" s="175"/>
      <c r="AK43" s="178"/>
      <c r="AL43" s="178"/>
      <c r="AM43" s="178"/>
      <c r="AN43" s="178"/>
      <c r="AO43" s="53"/>
      <c r="AP43" s="53"/>
      <c r="AQ43" s="53"/>
      <c r="AR43" s="53"/>
      <c r="AS43" s="53"/>
      <c r="AU43" s="135"/>
    </row>
    <row r="44" spans="1:47" s="141" customFormat="1" hidden="1">
      <c r="A44" s="140" t="s">
        <v>117</v>
      </c>
      <c r="C44" s="142">
        <f>C46</f>
        <v>1061743</v>
      </c>
      <c r="D44" s="138"/>
      <c r="E44" s="143"/>
      <c r="F44" s="144"/>
      <c r="G44" s="138"/>
      <c r="H44" s="143"/>
      <c r="I44" s="144"/>
      <c r="J44" s="145">
        <f>J23</f>
        <v>0</v>
      </c>
      <c r="K44" s="146" t="s">
        <v>107</v>
      </c>
      <c r="L44" s="144">
        <f>J44*C44/100</f>
        <v>0</v>
      </c>
      <c r="M44" s="144"/>
      <c r="N44" s="145" t="str">
        <f>N23</f>
        <v xml:space="preserve"> </v>
      </c>
      <c r="O44" s="146" t="s">
        <v>107</v>
      </c>
      <c r="P44" s="144">
        <f>N44*C44</f>
        <v>0</v>
      </c>
      <c r="Q44" s="144"/>
      <c r="R44" s="145" t="str">
        <f>R23</f>
        <v xml:space="preserve"> </v>
      </c>
      <c r="S44" s="146" t="s">
        <v>107</v>
      </c>
      <c r="T44" s="131">
        <f t="shared" si="3"/>
        <v>0</v>
      </c>
      <c r="U44" s="144"/>
      <c r="V44" s="145">
        <f>V23</f>
        <v>0</v>
      </c>
      <c r="W44" s="146" t="s">
        <v>107</v>
      </c>
      <c r="X44" s="144">
        <f>V44*C44/100</f>
        <v>0</v>
      </c>
      <c r="Z44" s="132"/>
      <c r="AC44" s="148"/>
      <c r="AD44" s="148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U44" s="147"/>
    </row>
    <row r="45" spans="1:47" hidden="1">
      <c r="A45" s="111" t="s">
        <v>109</v>
      </c>
      <c r="C45" s="129">
        <v>13695</v>
      </c>
      <c r="D45" s="130"/>
      <c r="F45" s="131"/>
      <c r="G45" s="130"/>
      <c r="I45" s="131"/>
      <c r="J45" s="130"/>
      <c r="L45" s="131"/>
      <c r="M45" s="131"/>
      <c r="N45" s="130"/>
      <c r="P45" s="131"/>
      <c r="Q45" s="131"/>
      <c r="R45" s="130"/>
      <c r="T45" s="131"/>
      <c r="U45" s="131"/>
      <c r="V45" s="130"/>
      <c r="X45" s="131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84"/>
      <c r="AL45" s="175"/>
      <c r="AM45" s="175"/>
      <c r="AN45" s="175"/>
      <c r="AO45" s="53"/>
      <c r="AP45" s="53"/>
      <c r="AQ45" s="53"/>
      <c r="AR45" s="53"/>
      <c r="AS45" s="53"/>
      <c r="AU45" s="135"/>
    </row>
    <row r="46" spans="1:47" hidden="1">
      <c r="A46" s="111" t="s">
        <v>110</v>
      </c>
      <c r="C46" s="129">
        <v>1061743</v>
      </c>
      <c r="D46" s="138"/>
      <c r="E46" s="53"/>
      <c r="F46" s="151">
        <f>SUM(F36:F43)</f>
        <v>153888</v>
      </c>
      <c r="G46" s="138"/>
      <c r="H46" s="53"/>
      <c r="I46" s="151">
        <f>SUM(I36:I43)</f>
        <v>153886.63615717244</v>
      </c>
      <c r="J46" s="138"/>
      <c r="K46" s="53"/>
      <c r="L46" s="151">
        <f>SUM(L36:L44)</f>
        <v>156196.66661024801</v>
      </c>
      <c r="M46" s="151"/>
      <c r="N46" s="138"/>
      <c r="O46" s="53"/>
      <c r="P46" s="151">
        <f>SUM(P36:P44)</f>
        <v>91390.985154443973</v>
      </c>
      <c r="Q46" s="151"/>
      <c r="R46" s="138"/>
      <c r="S46" s="53"/>
      <c r="T46" s="151">
        <f>SUM(T36:T44)</f>
        <v>12869.231091182332</v>
      </c>
      <c r="U46" s="151"/>
      <c r="V46" s="138"/>
      <c r="W46" s="53"/>
      <c r="X46" s="151">
        <f>SUM(X36:X44)</f>
        <v>51936.570364624102</v>
      </c>
      <c r="Y46" s="175"/>
      <c r="Z46" s="183"/>
      <c r="AA46" s="175"/>
      <c r="AB46" s="175"/>
      <c r="AC46" s="53"/>
      <c r="AD46" s="53"/>
      <c r="AE46" s="53"/>
      <c r="AF46" s="53"/>
      <c r="AG46" s="53"/>
      <c r="AH46" s="53"/>
      <c r="AI46" s="53"/>
      <c r="AJ46" s="175"/>
      <c r="AK46" s="175"/>
      <c r="AL46" s="175"/>
      <c r="AM46" s="175"/>
      <c r="AN46" s="175"/>
      <c r="AO46" s="53"/>
      <c r="AP46" s="53"/>
      <c r="AQ46" s="53"/>
      <c r="AR46" s="53"/>
      <c r="AS46" s="53"/>
      <c r="AU46" s="135"/>
    </row>
    <row r="47" spans="1:47" hidden="1">
      <c r="A47" s="111" t="s">
        <v>111</v>
      </c>
      <c r="C47" s="129">
        <v>-3835.498481682414</v>
      </c>
      <c r="D47" s="138"/>
      <c r="E47" s="53"/>
      <c r="F47" s="151">
        <f>I47</f>
        <v>-314.74006547706313</v>
      </c>
      <c r="G47" s="138"/>
      <c r="H47" s="53"/>
      <c r="I47" s="151">
        <v>-314.74006547706313</v>
      </c>
      <c r="J47" s="138"/>
      <c r="K47" s="53"/>
      <c r="L47" s="151">
        <f>I47</f>
        <v>-314.74006547706313</v>
      </c>
      <c r="M47" s="151"/>
      <c r="N47" s="138"/>
      <c r="O47" s="53"/>
      <c r="P47" s="151">
        <f>P26/L26*L47</f>
        <v>-184.19283032619893</v>
      </c>
      <c r="Q47" s="151"/>
      <c r="R47" s="138"/>
      <c r="S47" s="53"/>
      <c r="T47" s="151">
        <f>T26/L26*L47</f>
        <v>-25.800793439962863</v>
      </c>
      <c r="U47" s="151"/>
      <c r="V47" s="138"/>
      <c r="W47" s="53"/>
      <c r="X47" s="151">
        <f>X26/L26*L47</f>
        <v>-104.74644171090134</v>
      </c>
      <c r="Y47" s="185"/>
      <c r="Z47" s="183"/>
      <c r="AA47" s="175"/>
      <c r="AB47" s="175"/>
      <c r="AC47" s="175"/>
      <c r="AD47" s="175"/>
      <c r="AE47" s="180"/>
      <c r="AF47" s="180"/>
      <c r="AG47" s="180"/>
      <c r="AH47" s="180"/>
      <c r="AI47" s="178"/>
      <c r="AJ47" s="175"/>
      <c r="AK47" s="175"/>
      <c r="AL47" s="175"/>
      <c r="AM47" s="175"/>
      <c r="AN47" s="175"/>
      <c r="AO47" s="53"/>
      <c r="AP47" s="53"/>
      <c r="AQ47" s="53"/>
      <c r="AR47" s="53"/>
      <c r="AS47" s="53"/>
      <c r="AU47" s="135"/>
    </row>
    <row r="48" spans="1:47" ht="16.5" hidden="1" thickBot="1">
      <c r="A48" s="111" t="s">
        <v>112</v>
      </c>
      <c r="C48" s="156">
        <f>C46+C47</f>
        <v>1057907.5015183175</v>
      </c>
      <c r="D48" s="157"/>
      <c r="E48" s="157"/>
      <c r="F48" s="157">
        <f>F46+F47</f>
        <v>153573.25993452294</v>
      </c>
      <c r="G48" s="158"/>
      <c r="H48" s="157"/>
      <c r="I48" s="157">
        <f>I46+I47</f>
        <v>153571.89609169538</v>
      </c>
      <c r="J48" s="158"/>
      <c r="K48" s="157"/>
      <c r="L48" s="157">
        <f>L46+L47</f>
        <v>155881.92654477095</v>
      </c>
      <c r="M48" s="158"/>
      <c r="N48" s="158"/>
      <c r="O48" s="157"/>
      <c r="P48" s="157">
        <f>P46+P47</f>
        <v>91206.792324117778</v>
      </c>
      <c r="Q48" s="158"/>
      <c r="R48" s="158"/>
      <c r="S48" s="157"/>
      <c r="T48" s="157">
        <f>T46+T47</f>
        <v>12843.430297742369</v>
      </c>
      <c r="U48" s="158"/>
      <c r="V48" s="158"/>
      <c r="W48" s="157"/>
      <c r="X48" s="157">
        <f>X46+X47</f>
        <v>51831.823922913201</v>
      </c>
      <c r="Y48" s="186"/>
      <c r="Z48" s="187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53"/>
      <c r="AP48" s="53"/>
      <c r="AQ48" s="53"/>
      <c r="AR48" s="53"/>
      <c r="AS48" s="53"/>
      <c r="AU48" s="135"/>
    </row>
    <row r="49" spans="1:47" hidden="1">
      <c r="C49" s="168"/>
      <c r="D49" s="154" t="s">
        <v>0</v>
      </c>
      <c r="E49" s="168"/>
      <c r="F49" s="128"/>
      <c r="G49" s="154" t="s">
        <v>0</v>
      </c>
      <c r="H49" s="168"/>
      <c r="I49" s="128"/>
      <c r="J49" s="169" t="s">
        <v>0</v>
      </c>
      <c r="K49" s="168"/>
      <c r="L49" s="131" t="s">
        <v>0</v>
      </c>
      <c r="M49" s="131"/>
      <c r="N49" s="169" t="s">
        <v>0</v>
      </c>
      <c r="O49" s="168"/>
      <c r="P49" s="131" t="s">
        <v>0</v>
      </c>
      <c r="Q49" s="131"/>
      <c r="R49" s="169" t="s">
        <v>0</v>
      </c>
      <c r="S49" s="168"/>
      <c r="T49" s="131" t="s">
        <v>0</v>
      </c>
      <c r="U49" s="131"/>
      <c r="V49" s="169" t="s">
        <v>0</v>
      </c>
      <c r="W49" s="168"/>
      <c r="X49" s="131" t="s">
        <v>0</v>
      </c>
      <c r="Y49" s="53"/>
      <c r="Z49" s="110"/>
      <c r="AA49" s="110"/>
      <c r="AB49" s="110"/>
      <c r="AC49" s="53"/>
      <c r="AD49" s="53"/>
      <c r="AE49" s="53"/>
      <c r="AF49" s="53"/>
      <c r="AG49" s="53"/>
      <c r="AH49" s="53"/>
      <c r="AI49" s="53"/>
      <c r="AJ49" s="175"/>
      <c r="AK49" s="175"/>
      <c r="AL49" s="175"/>
      <c r="AM49" s="175"/>
      <c r="AN49" s="175"/>
      <c r="AO49" s="53"/>
      <c r="AP49" s="53"/>
      <c r="AQ49" s="53"/>
      <c r="AR49" s="53"/>
      <c r="AS49" s="53"/>
      <c r="AU49" s="135"/>
    </row>
    <row r="50" spans="1:47" hidden="1">
      <c r="A50" s="127" t="s">
        <v>95</v>
      </c>
      <c r="F50" s="128"/>
      <c r="I50" s="128"/>
      <c r="Y50" s="53"/>
      <c r="Z50" s="110"/>
      <c r="AA50" s="110"/>
      <c r="AB50" s="110"/>
      <c r="AC50" s="53"/>
      <c r="AD50" s="53"/>
      <c r="AE50" s="53"/>
      <c r="AF50" s="53"/>
      <c r="AG50" s="53"/>
      <c r="AH50" s="53"/>
      <c r="AI50" s="53"/>
      <c r="AJ50" s="175"/>
      <c r="AK50" s="175"/>
      <c r="AL50" s="175"/>
      <c r="AM50" s="175"/>
      <c r="AN50" s="175"/>
      <c r="AO50" s="53"/>
      <c r="AP50" s="53"/>
      <c r="AQ50" s="53"/>
      <c r="AR50" s="53"/>
      <c r="AS50" s="53"/>
      <c r="AU50" s="135"/>
    </row>
    <row r="51" spans="1:47" hidden="1">
      <c r="A51" s="111" t="s">
        <v>118</v>
      </c>
      <c r="F51" s="128"/>
      <c r="I51" s="128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53"/>
      <c r="AP51" s="53"/>
      <c r="AQ51" s="53"/>
      <c r="AR51" s="53"/>
      <c r="AS51" s="53"/>
      <c r="AU51" s="135"/>
    </row>
    <row r="52" spans="1:47" hidden="1">
      <c r="F52" s="128"/>
      <c r="I52" s="128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53"/>
      <c r="AP52" s="53"/>
      <c r="AQ52" s="53"/>
      <c r="AR52" s="53"/>
      <c r="AS52" s="53"/>
      <c r="AU52" s="135"/>
    </row>
    <row r="53" spans="1:47" hidden="1">
      <c r="A53" s="111" t="s">
        <v>97</v>
      </c>
      <c r="F53" s="128"/>
      <c r="I53" s="128"/>
      <c r="Y53" s="175"/>
      <c r="Z53" s="175"/>
      <c r="AA53" s="110"/>
      <c r="AB53" s="110"/>
      <c r="AC53" s="176"/>
      <c r="AD53" s="176"/>
      <c r="AE53" s="177"/>
      <c r="AF53" s="177"/>
      <c r="AG53" s="177"/>
      <c r="AH53" s="177"/>
      <c r="AI53" s="178"/>
      <c r="AJ53" s="179"/>
      <c r="AK53" s="175"/>
      <c r="AL53" s="175"/>
      <c r="AM53" s="175"/>
      <c r="AN53" s="175"/>
      <c r="AO53" s="53"/>
      <c r="AP53" s="53"/>
      <c r="AQ53" s="53"/>
      <c r="AR53" s="53"/>
      <c r="AS53" s="53"/>
      <c r="AU53" s="135"/>
    </row>
    <row r="54" spans="1:47" hidden="1">
      <c r="A54" s="111" t="s">
        <v>98</v>
      </c>
      <c r="C54" s="129">
        <v>14057.366751279909</v>
      </c>
      <c r="D54" s="130">
        <v>10.63</v>
      </c>
      <c r="F54" s="131">
        <f>ROUND(D54*$C54,0)</f>
        <v>149430</v>
      </c>
      <c r="G54" s="130">
        <v>10.63</v>
      </c>
      <c r="I54" s="131">
        <f t="shared" ref="I54:I56" si="7">G54*C54</f>
        <v>149429.80856610544</v>
      </c>
      <c r="J54" s="130">
        <f>$J$15</f>
        <v>10.79</v>
      </c>
      <c r="L54" s="131">
        <f t="shared" ref="L54:L56" si="8">(J54*$C54)</f>
        <v>151678.98724631022</v>
      </c>
      <c r="M54" s="131"/>
      <c r="N54" s="130">
        <f>N15</f>
        <v>6.31</v>
      </c>
      <c r="P54" s="131">
        <f t="shared" ref="P54:P56" si="9">(N54*$C54)</f>
        <v>88701.984200576218</v>
      </c>
      <c r="Q54" s="131"/>
      <c r="R54" s="130">
        <f>R15</f>
        <v>0.89</v>
      </c>
      <c r="T54" s="131">
        <f t="shared" ref="T54:T56" si="10">(R54*$C54)</f>
        <v>12511.056408639119</v>
      </c>
      <c r="U54" s="131"/>
      <c r="V54" s="130">
        <f>V15</f>
        <v>3.5900000000000003</v>
      </c>
      <c r="X54" s="131">
        <f t="shared" ref="X54:X56" si="11">(V54*$C54)</f>
        <v>50465.946637094879</v>
      </c>
      <c r="Y54" s="53"/>
      <c r="Z54" s="178"/>
      <c r="AA54" s="110"/>
      <c r="AB54" s="110"/>
      <c r="AC54" s="175"/>
      <c r="AD54" s="175"/>
      <c r="AE54" s="180"/>
      <c r="AF54" s="180"/>
      <c r="AG54" s="180"/>
      <c r="AH54" s="180"/>
      <c r="AI54" s="181"/>
      <c r="AJ54" s="175"/>
      <c r="AK54" s="178"/>
      <c r="AL54" s="178"/>
      <c r="AM54" s="182"/>
      <c r="AN54" s="178"/>
      <c r="AO54" s="53"/>
      <c r="AP54" s="53"/>
      <c r="AQ54" s="53"/>
      <c r="AR54" s="53"/>
      <c r="AS54" s="53"/>
      <c r="AU54" s="135"/>
    </row>
    <row r="55" spans="1:47" hidden="1">
      <c r="A55" s="111" t="s">
        <v>99</v>
      </c>
      <c r="C55" s="129">
        <v>3695.008160269952</v>
      </c>
      <c r="D55" s="130">
        <v>20.23</v>
      </c>
      <c r="F55" s="131">
        <f>ROUND(D55*$C55,0)</f>
        <v>74750</v>
      </c>
      <c r="G55" s="130">
        <v>20.23</v>
      </c>
      <c r="I55" s="131">
        <f t="shared" si="7"/>
        <v>74750.015082261132</v>
      </c>
      <c r="J55" s="130">
        <f>$J$16</f>
        <v>20.53</v>
      </c>
      <c r="L55" s="131">
        <f t="shared" si="8"/>
        <v>75858.517530342113</v>
      </c>
      <c r="M55" s="131"/>
      <c r="N55" s="130">
        <f>N16</f>
        <v>12</v>
      </c>
      <c r="P55" s="131">
        <f t="shared" si="9"/>
        <v>44340.097923239424</v>
      </c>
      <c r="Q55" s="131"/>
      <c r="R55" s="130">
        <f>R16</f>
        <v>1.69</v>
      </c>
      <c r="T55" s="131">
        <f t="shared" si="10"/>
        <v>6244.5637908562185</v>
      </c>
      <c r="U55" s="131"/>
      <c r="V55" s="130">
        <f>V16</f>
        <v>6.84</v>
      </c>
      <c r="X55" s="131">
        <f t="shared" si="11"/>
        <v>25273.855816246472</v>
      </c>
      <c r="Y55" s="53"/>
      <c r="Z55" s="178"/>
      <c r="AA55" s="110"/>
      <c r="AB55" s="110"/>
      <c r="AC55" s="53"/>
      <c r="AD55" s="53"/>
      <c r="AE55" s="183"/>
      <c r="AF55" s="183"/>
      <c r="AG55" s="183"/>
      <c r="AH55" s="183"/>
      <c r="AI55" s="175"/>
      <c r="AJ55" s="175"/>
      <c r="AK55" s="178"/>
      <c r="AL55" s="178"/>
      <c r="AM55" s="182"/>
      <c r="AN55" s="178"/>
      <c r="AO55" s="53"/>
      <c r="AP55" s="53"/>
      <c r="AQ55" s="53"/>
      <c r="AR55" s="53"/>
      <c r="AS55" s="53"/>
      <c r="AU55" s="135"/>
    </row>
    <row r="56" spans="1:47" hidden="1">
      <c r="A56" s="111" t="s">
        <v>100</v>
      </c>
      <c r="C56" s="129">
        <v>492.36661446236099</v>
      </c>
      <c r="D56" s="130">
        <v>41.86</v>
      </c>
      <c r="F56" s="131">
        <f>ROUND(D56*$C56,0)</f>
        <v>20610</v>
      </c>
      <c r="G56" s="130">
        <v>41.86</v>
      </c>
      <c r="I56" s="131">
        <f t="shared" si="7"/>
        <v>20610.466481394429</v>
      </c>
      <c r="J56" s="130">
        <f>$J$17</f>
        <v>42.48</v>
      </c>
      <c r="L56" s="131">
        <f t="shared" si="8"/>
        <v>20915.733782361094</v>
      </c>
      <c r="M56" s="131"/>
      <c r="N56" s="130">
        <f>N17</f>
        <v>24.84</v>
      </c>
      <c r="P56" s="131">
        <f t="shared" si="9"/>
        <v>12230.386703245047</v>
      </c>
      <c r="Q56" s="131"/>
      <c r="R56" s="130">
        <f>R17</f>
        <v>3.49</v>
      </c>
      <c r="T56" s="131">
        <f t="shared" si="10"/>
        <v>1718.3594844736399</v>
      </c>
      <c r="U56" s="131"/>
      <c r="V56" s="130">
        <f>V17</f>
        <v>14.16</v>
      </c>
      <c r="X56" s="131">
        <f t="shared" si="11"/>
        <v>6971.911260787032</v>
      </c>
      <c r="Y56" s="53"/>
      <c r="Z56" s="178"/>
      <c r="AA56" s="110"/>
      <c r="AB56" s="110"/>
      <c r="AC56" s="53"/>
      <c r="AD56" s="53"/>
      <c r="AE56" s="183"/>
      <c r="AF56" s="183"/>
      <c r="AG56" s="183"/>
      <c r="AH56" s="183"/>
      <c r="AI56" s="175"/>
      <c r="AJ56" s="175"/>
      <c r="AK56" s="178"/>
      <c r="AL56" s="178"/>
      <c r="AM56" s="182"/>
      <c r="AN56" s="178"/>
      <c r="AO56" s="53"/>
      <c r="AP56" s="53"/>
      <c r="AQ56" s="53"/>
      <c r="AR56" s="53"/>
      <c r="AS56" s="53"/>
      <c r="AU56" s="135"/>
    </row>
    <row r="57" spans="1:47" hidden="1">
      <c r="A57" s="111" t="s">
        <v>101</v>
      </c>
      <c r="C57" s="129"/>
      <c r="D57" s="130"/>
      <c r="F57" s="131"/>
      <c r="G57" s="130"/>
      <c r="I57" s="131"/>
      <c r="J57" s="130"/>
      <c r="L57" s="131"/>
      <c r="M57" s="131"/>
      <c r="N57" s="130"/>
      <c r="P57" s="131"/>
      <c r="Q57" s="131"/>
      <c r="R57" s="130"/>
      <c r="T57" s="131"/>
      <c r="U57" s="131"/>
      <c r="V57" s="130"/>
      <c r="X57" s="131"/>
      <c r="Y57" s="53"/>
      <c r="Z57" s="178"/>
      <c r="AA57" s="110"/>
      <c r="AB57" s="110"/>
      <c r="AC57" s="53"/>
      <c r="AD57" s="53"/>
      <c r="AE57" s="183"/>
      <c r="AF57" s="183"/>
      <c r="AG57" s="183"/>
      <c r="AH57" s="183"/>
      <c r="AI57" s="175"/>
      <c r="AJ57" s="175"/>
      <c r="AK57" s="178"/>
      <c r="AL57" s="178"/>
      <c r="AM57" s="182"/>
      <c r="AN57" s="178"/>
      <c r="AO57" s="53"/>
      <c r="AP57" s="53"/>
      <c r="AQ57" s="53"/>
      <c r="AR57" s="53"/>
      <c r="AS57" s="53"/>
      <c r="AU57" s="135"/>
    </row>
    <row r="58" spans="1:47" hidden="1">
      <c r="A58" s="111" t="s">
        <v>102</v>
      </c>
      <c r="C58" s="129">
        <v>1159.66773729581</v>
      </c>
      <c r="D58" s="130">
        <v>12.09</v>
      </c>
      <c r="F58" s="131">
        <f>ROUND(D58*$C58,0)</f>
        <v>14020</v>
      </c>
      <c r="G58" s="130">
        <v>12.09</v>
      </c>
      <c r="I58" s="131">
        <f t="shared" ref="I58:I61" si="12">G58*C58</f>
        <v>14020.382943906343</v>
      </c>
      <c r="J58" s="130">
        <f>$J$19</f>
        <v>12.27</v>
      </c>
      <c r="L58" s="131">
        <f t="shared" ref="L58:L61" si="13">(J58*$C58)</f>
        <v>14229.123136619588</v>
      </c>
      <c r="M58" s="131"/>
      <c r="N58" s="130">
        <f>N19</f>
        <v>7.17</v>
      </c>
      <c r="P58" s="131">
        <f t="shared" ref="P58:P61" si="14">(N58*$C58)</f>
        <v>8314.8176764109576</v>
      </c>
      <c r="Q58" s="131"/>
      <c r="R58" s="130">
        <f>R19</f>
        <v>1.01</v>
      </c>
      <c r="T58" s="131">
        <f t="shared" ref="T58:T61" si="15">(R58*$C58)</f>
        <v>1171.264414668768</v>
      </c>
      <c r="U58" s="131"/>
      <c r="V58" s="130">
        <f>V19</f>
        <v>4.09</v>
      </c>
      <c r="X58" s="131">
        <f t="shared" ref="X58:X61" si="16">(V58*$C58)</f>
        <v>4743.0410455398624</v>
      </c>
      <c r="Y58" s="53"/>
      <c r="Z58" s="178"/>
      <c r="AA58" s="110"/>
      <c r="AB58" s="110"/>
      <c r="AC58" s="53"/>
      <c r="AD58" s="53"/>
      <c r="AE58" s="183"/>
      <c r="AF58" s="183"/>
      <c r="AG58" s="183"/>
      <c r="AH58" s="183"/>
      <c r="AI58" s="175"/>
      <c r="AJ58" s="175"/>
      <c r="AK58" s="178"/>
      <c r="AL58" s="178"/>
      <c r="AM58" s="182"/>
      <c r="AN58" s="178"/>
      <c r="AO58" s="53"/>
      <c r="AP58" s="53"/>
      <c r="AQ58" s="53"/>
      <c r="AR58" s="53"/>
      <c r="AS58" s="53"/>
      <c r="AU58" s="135"/>
    </row>
    <row r="59" spans="1:47" hidden="1">
      <c r="A59" s="111" t="s">
        <v>103</v>
      </c>
      <c r="C59" s="129">
        <v>1366.6397787665301</v>
      </c>
      <c r="D59" s="130">
        <v>17.760000000000002</v>
      </c>
      <c r="F59" s="131">
        <f>ROUND(D59*$C59,0)</f>
        <v>24272</v>
      </c>
      <c r="G59" s="130">
        <v>17.760000000000002</v>
      </c>
      <c r="I59" s="131">
        <f t="shared" si="12"/>
        <v>24271.522470893575</v>
      </c>
      <c r="J59" s="130">
        <f>$J$20</f>
        <v>18.02</v>
      </c>
      <c r="L59" s="131">
        <f t="shared" si="13"/>
        <v>24626.848813372872</v>
      </c>
      <c r="M59" s="131"/>
      <c r="N59" s="130">
        <f>N20</f>
        <v>10.54</v>
      </c>
      <c r="P59" s="131">
        <f t="shared" si="14"/>
        <v>14404.383268199226</v>
      </c>
      <c r="Q59" s="131"/>
      <c r="R59" s="130">
        <f>R20</f>
        <v>1.48</v>
      </c>
      <c r="T59" s="131">
        <f t="shared" si="15"/>
        <v>2022.6268725744644</v>
      </c>
      <c r="U59" s="131"/>
      <c r="V59" s="130">
        <f>V20</f>
        <v>6</v>
      </c>
      <c r="X59" s="131">
        <f t="shared" si="16"/>
        <v>8199.8386725991804</v>
      </c>
      <c r="Y59" s="53"/>
      <c r="Z59" s="178"/>
      <c r="AA59" s="110"/>
      <c r="AB59" s="110"/>
      <c r="AC59" s="53"/>
      <c r="AD59" s="53"/>
      <c r="AE59" s="183"/>
      <c r="AF59" s="183"/>
      <c r="AG59" s="183"/>
      <c r="AH59" s="183"/>
      <c r="AI59" s="175"/>
      <c r="AJ59" s="175"/>
      <c r="AK59" s="178"/>
      <c r="AL59" s="178"/>
      <c r="AM59" s="182"/>
      <c r="AN59" s="178"/>
      <c r="AO59" s="53"/>
      <c r="AP59" s="53"/>
      <c r="AQ59" s="53"/>
      <c r="AR59" s="53"/>
      <c r="AS59" s="53"/>
      <c r="AU59" s="135"/>
    </row>
    <row r="60" spans="1:47" hidden="1">
      <c r="A60" s="111" t="s">
        <v>104</v>
      </c>
      <c r="C60" s="129">
        <v>466.23760141089298</v>
      </c>
      <c r="D60" s="130">
        <v>28.64</v>
      </c>
      <c r="F60" s="131">
        <f>ROUND(D60*$C60,0)</f>
        <v>13353</v>
      </c>
      <c r="G60" s="130">
        <v>28.64</v>
      </c>
      <c r="I60" s="131">
        <f t="shared" si="12"/>
        <v>13353.044904407976</v>
      </c>
      <c r="J60" s="130">
        <f>$J$21</f>
        <v>29.07</v>
      </c>
      <c r="L60" s="131">
        <f t="shared" si="13"/>
        <v>13553.527073014659</v>
      </c>
      <c r="M60" s="131"/>
      <c r="N60" s="130">
        <f>N21</f>
        <v>17</v>
      </c>
      <c r="P60" s="131">
        <f t="shared" si="14"/>
        <v>7926.0392239851808</v>
      </c>
      <c r="Q60" s="131"/>
      <c r="R60" s="130">
        <f>R21</f>
        <v>2.39</v>
      </c>
      <c r="T60" s="131">
        <f t="shared" si="15"/>
        <v>1114.3078673720343</v>
      </c>
      <c r="U60" s="131"/>
      <c r="V60" s="130">
        <f>V21</f>
        <v>9.69</v>
      </c>
      <c r="X60" s="131">
        <f t="shared" si="16"/>
        <v>4517.8423576715531</v>
      </c>
      <c r="Y60" s="53"/>
      <c r="Z60" s="178"/>
      <c r="AA60" s="110"/>
      <c r="AB60" s="110"/>
      <c r="AC60" s="53"/>
      <c r="AD60" s="53"/>
      <c r="AE60" s="183"/>
      <c r="AF60" s="183"/>
      <c r="AG60" s="183"/>
      <c r="AH60" s="183"/>
      <c r="AI60" s="175"/>
      <c r="AJ60" s="175"/>
      <c r="AK60" s="178"/>
      <c r="AL60" s="178"/>
      <c r="AM60" s="182"/>
      <c r="AN60" s="178"/>
      <c r="AO60" s="53"/>
      <c r="AP60" s="53"/>
      <c r="AQ60" s="53"/>
      <c r="AR60" s="53"/>
      <c r="AS60" s="53"/>
      <c r="AU60" s="135"/>
    </row>
    <row r="61" spans="1:47" hidden="1">
      <c r="A61" s="111" t="s">
        <v>105</v>
      </c>
      <c r="C61" s="129">
        <v>350.76685864982318</v>
      </c>
      <c r="D61" s="130">
        <v>1</v>
      </c>
      <c r="E61" s="53"/>
      <c r="F61" s="151">
        <f>ROUND(D61*$C61,0)</f>
        <v>351</v>
      </c>
      <c r="G61" s="130">
        <v>1</v>
      </c>
      <c r="H61" s="53"/>
      <c r="I61" s="131">
        <f t="shared" si="12"/>
        <v>350.76685864982318</v>
      </c>
      <c r="J61" s="138">
        <f>$J$22</f>
        <v>1</v>
      </c>
      <c r="K61" s="53"/>
      <c r="L61" s="131">
        <f t="shared" si="13"/>
        <v>350.76685864982318</v>
      </c>
      <c r="M61" s="131"/>
      <c r="N61" s="130">
        <f>N22</f>
        <v>1</v>
      </c>
      <c r="O61" s="53"/>
      <c r="P61" s="131">
        <f t="shared" si="14"/>
        <v>350.76685864982318</v>
      </c>
      <c r="Q61" s="131"/>
      <c r="R61" s="130" t="str">
        <f>R22</f>
        <v xml:space="preserve"> </v>
      </c>
      <c r="S61" s="53"/>
      <c r="T61" s="131">
        <f t="shared" si="15"/>
        <v>0</v>
      </c>
      <c r="U61" s="131"/>
      <c r="V61" s="130" t="str">
        <f>V22</f>
        <v xml:space="preserve"> </v>
      </c>
      <c r="W61" s="53"/>
      <c r="X61" s="131">
        <f t="shared" si="16"/>
        <v>0</v>
      </c>
      <c r="Y61" s="175"/>
      <c r="Z61" s="178"/>
      <c r="AA61" s="110"/>
      <c r="AB61" s="110"/>
      <c r="AC61" s="53"/>
      <c r="AD61" s="53"/>
      <c r="AE61" s="175"/>
      <c r="AF61" s="175"/>
      <c r="AG61" s="175"/>
      <c r="AH61" s="175"/>
      <c r="AI61" s="175"/>
      <c r="AJ61" s="175"/>
      <c r="AK61" s="178"/>
      <c r="AL61" s="178"/>
      <c r="AM61" s="178"/>
      <c r="AN61" s="178"/>
      <c r="AO61" s="53"/>
      <c r="AP61" s="53"/>
      <c r="AQ61" s="53"/>
      <c r="AR61" s="53"/>
      <c r="AS61" s="53"/>
      <c r="AU61" s="135"/>
    </row>
    <row r="62" spans="1:47" s="141" customFormat="1" hidden="1">
      <c r="A62" s="140" t="s">
        <v>117</v>
      </c>
      <c r="C62" s="142">
        <f>C64</f>
        <v>2156448</v>
      </c>
      <c r="D62" s="138"/>
      <c r="E62" s="143"/>
      <c r="F62" s="144"/>
      <c r="G62" s="138"/>
      <c r="H62" s="143"/>
      <c r="I62" s="144"/>
      <c r="J62" s="145">
        <f>J23</f>
        <v>0</v>
      </c>
      <c r="K62" s="146" t="s">
        <v>107</v>
      </c>
      <c r="L62" s="144">
        <f>J62*C62/100</f>
        <v>0</v>
      </c>
      <c r="M62" s="144"/>
      <c r="N62" s="145" t="str">
        <f>N23</f>
        <v xml:space="preserve"> </v>
      </c>
      <c r="O62" s="146" t="s">
        <v>107</v>
      </c>
      <c r="P62" s="144">
        <f>N62*F62/100</f>
        <v>0</v>
      </c>
      <c r="Q62" s="144"/>
      <c r="R62" s="145" t="str">
        <f>R23</f>
        <v xml:space="preserve"> </v>
      </c>
      <c r="S62" s="146" t="s">
        <v>107</v>
      </c>
      <c r="T62" s="144">
        <f>R62*J62/100</f>
        <v>0</v>
      </c>
      <c r="U62" s="144"/>
      <c r="V62" s="145">
        <f>V23</f>
        <v>0</v>
      </c>
      <c r="W62" s="146" t="s">
        <v>107</v>
      </c>
      <c r="X62" s="144">
        <f>V62*C62/100</f>
        <v>0</v>
      </c>
      <c r="Z62" s="132"/>
      <c r="AC62" s="148"/>
      <c r="AD62" s="148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U62" s="147"/>
    </row>
    <row r="63" spans="1:47" hidden="1">
      <c r="A63" s="111" t="s">
        <v>109</v>
      </c>
      <c r="C63" s="129">
        <v>16015</v>
      </c>
      <c r="D63" s="130"/>
      <c r="F63" s="131"/>
      <c r="G63" s="130"/>
      <c r="I63" s="131"/>
      <c r="J63" s="130"/>
      <c r="L63" s="131"/>
      <c r="M63" s="131"/>
      <c r="N63" s="130"/>
      <c r="P63" s="131"/>
      <c r="Q63" s="131"/>
      <c r="R63" s="130"/>
      <c r="T63" s="131"/>
      <c r="U63" s="131"/>
      <c r="V63" s="130"/>
      <c r="X63" s="131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84"/>
      <c r="AL63" s="175"/>
      <c r="AM63" s="175"/>
      <c r="AN63" s="175"/>
      <c r="AO63" s="53"/>
      <c r="AP63" s="53"/>
      <c r="AQ63" s="53"/>
      <c r="AR63" s="53"/>
      <c r="AS63" s="53"/>
      <c r="AU63" s="135"/>
    </row>
    <row r="64" spans="1:47" hidden="1">
      <c r="A64" s="111" t="s">
        <v>110</v>
      </c>
      <c r="C64" s="129">
        <v>2156448</v>
      </c>
      <c r="D64" s="138"/>
      <c r="E64" s="53"/>
      <c r="F64" s="151">
        <f>SUM(F54:F61)</f>
        <v>296786</v>
      </c>
      <c r="G64" s="138"/>
      <c r="H64" s="53"/>
      <c r="I64" s="151">
        <f>SUM(I54:I61)</f>
        <v>296786.00730761874</v>
      </c>
      <c r="J64" s="138"/>
      <c r="K64" s="53"/>
      <c r="L64" s="151">
        <f>SUM(L54:L62)</f>
        <v>301213.50444067037</v>
      </c>
      <c r="M64" s="151"/>
      <c r="N64" s="138"/>
      <c r="O64" s="53"/>
      <c r="P64" s="151">
        <f>SUM(P54:P62)</f>
        <v>176268.47585430587</v>
      </c>
      <c r="Q64" s="151"/>
      <c r="R64" s="138"/>
      <c r="S64" s="53"/>
      <c r="T64" s="151">
        <f>SUM(T54:T62)</f>
        <v>24782.178838584241</v>
      </c>
      <c r="U64" s="151"/>
      <c r="V64" s="138"/>
      <c r="W64" s="53"/>
      <c r="X64" s="151">
        <f>SUM(X54:X62)</f>
        <v>100172.43578993899</v>
      </c>
      <c r="Y64" s="175"/>
      <c r="Z64" s="183"/>
      <c r="AA64" s="175"/>
      <c r="AB64" s="175"/>
      <c r="AC64" s="53"/>
      <c r="AD64" s="53"/>
      <c r="AE64" s="53"/>
      <c r="AF64" s="53"/>
      <c r="AG64" s="53"/>
      <c r="AH64" s="53"/>
      <c r="AI64" s="53"/>
      <c r="AJ64" s="175"/>
      <c r="AK64" s="175"/>
      <c r="AL64" s="175"/>
      <c r="AM64" s="175"/>
      <c r="AN64" s="175"/>
      <c r="AO64" s="53"/>
      <c r="AP64" s="53"/>
      <c r="AQ64" s="53"/>
      <c r="AR64" s="53"/>
      <c r="AS64" s="53"/>
      <c r="AU64" s="135"/>
    </row>
    <row r="65" spans="1:47" hidden="1">
      <c r="A65" s="111" t="s">
        <v>111</v>
      </c>
      <c r="C65" s="129">
        <v>-6099.8611148977507</v>
      </c>
      <c r="D65" s="138"/>
      <c r="E65" s="53"/>
      <c r="F65" s="151">
        <f>I65</f>
        <v>-734.38073140861252</v>
      </c>
      <c r="G65" s="138"/>
      <c r="H65" s="53"/>
      <c r="I65" s="151">
        <v>-734.38073140861252</v>
      </c>
      <c r="J65" s="138"/>
      <c r="K65" s="53"/>
      <c r="L65" s="151">
        <f>I65</f>
        <v>-734.38073140861252</v>
      </c>
      <c r="M65" s="151"/>
      <c r="N65" s="138"/>
      <c r="O65" s="53"/>
      <c r="P65" s="151">
        <f>P26/L26*L65</f>
        <v>-429.77580642663418</v>
      </c>
      <c r="Q65" s="151"/>
      <c r="R65" s="138"/>
      <c r="S65" s="53"/>
      <c r="T65" s="151">
        <f>T26/L26*L65</f>
        <v>-60.200805793958502</v>
      </c>
      <c r="U65" s="151"/>
      <c r="V65" s="138"/>
      <c r="W65" s="53"/>
      <c r="X65" s="151">
        <f>X26/L26*L65</f>
        <v>-244.40411918801988</v>
      </c>
      <c r="Y65" s="185"/>
      <c r="Z65" s="183"/>
      <c r="AA65" s="175"/>
      <c r="AB65" s="175"/>
      <c r="AC65" s="175"/>
      <c r="AD65" s="175"/>
      <c r="AE65" s="180"/>
      <c r="AF65" s="180"/>
      <c r="AG65" s="180"/>
      <c r="AH65" s="180"/>
      <c r="AI65" s="178"/>
      <c r="AJ65" s="175"/>
      <c r="AK65" s="175"/>
      <c r="AL65" s="175"/>
      <c r="AM65" s="175"/>
      <c r="AN65" s="175"/>
      <c r="AO65" s="53"/>
      <c r="AP65" s="53"/>
      <c r="AQ65" s="53"/>
      <c r="AR65" s="53"/>
      <c r="AS65" s="53"/>
      <c r="AU65" s="135"/>
    </row>
    <row r="66" spans="1:47" ht="16.5" hidden="1" thickBot="1">
      <c r="A66" s="111" t="s">
        <v>112</v>
      </c>
      <c r="C66" s="156">
        <f>C64+C65</f>
        <v>2150348.1388851022</v>
      </c>
      <c r="D66" s="157"/>
      <c r="E66" s="157"/>
      <c r="F66" s="157">
        <f>F64+F65</f>
        <v>296051.6192685914</v>
      </c>
      <c r="G66" s="158"/>
      <c r="H66" s="157"/>
      <c r="I66" s="157">
        <f>I64+I65</f>
        <v>296051.62657621014</v>
      </c>
      <c r="J66" s="158"/>
      <c r="K66" s="157"/>
      <c r="L66" s="157">
        <f>L64+L65</f>
        <v>300479.12370926177</v>
      </c>
      <c r="M66" s="158"/>
      <c r="N66" s="158"/>
      <c r="O66" s="157"/>
      <c r="P66" s="157">
        <f>P64+P65</f>
        <v>175838.70004787925</v>
      </c>
      <c r="Q66" s="158"/>
      <c r="R66" s="158"/>
      <c r="S66" s="157"/>
      <c r="T66" s="157">
        <f>T64+T65</f>
        <v>24721.978032790281</v>
      </c>
      <c r="U66" s="158"/>
      <c r="V66" s="158"/>
      <c r="W66" s="157"/>
      <c r="X66" s="157">
        <f>X64+X65</f>
        <v>99928.031670750963</v>
      </c>
      <c r="Y66" s="186"/>
      <c r="Z66" s="187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  <c r="AO66" s="53"/>
      <c r="AP66" s="53"/>
      <c r="AQ66" s="53"/>
      <c r="AR66" s="53"/>
      <c r="AS66" s="53"/>
      <c r="AU66" s="135"/>
    </row>
    <row r="67" spans="1:47" hidden="1">
      <c r="C67" s="168"/>
      <c r="D67" s="154" t="s">
        <v>0</v>
      </c>
      <c r="E67" s="168"/>
      <c r="F67" s="128"/>
      <c r="G67" s="154" t="s">
        <v>0</v>
      </c>
      <c r="H67" s="168"/>
      <c r="I67" s="128"/>
      <c r="J67" s="169" t="s">
        <v>0</v>
      </c>
      <c r="K67" s="168"/>
      <c r="L67" s="131" t="s">
        <v>0</v>
      </c>
      <c r="M67" s="131"/>
      <c r="N67" s="169" t="s">
        <v>0</v>
      </c>
      <c r="O67" s="168"/>
      <c r="P67" s="131" t="s">
        <v>0</v>
      </c>
      <c r="Q67" s="131"/>
      <c r="R67" s="169" t="s">
        <v>0</v>
      </c>
      <c r="S67" s="168"/>
      <c r="T67" s="131" t="s">
        <v>0</v>
      </c>
      <c r="U67" s="131"/>
      <c r="V67" s="169" t="s">
        <v>0</v>
      </c>
      <c r="W67" s="168"/>
      <c r="X67" s="131" t="s">
        <v>0</v>
      </c>
      <c r="Y67" s="53"/>
      <c r="Z67" s="110"/>
      <c r="AA67" s="110"/>
      <c r="AB67" s="110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U67" s="135"/>
    </row>
    <row r="68" spans="1:47" hidden="1">
      <c r="A68" s="127" t="s">
        <v>95</v>
      </c>
      <c r="F68" s="128"/>
      <c r="I68" s="128"/>
      <c r="Y68" s="53"/>
      <c r="Z68" s="110"/>
      <c r="AA68" s="110"/>
      <c r="AB68" s="110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U68" s="135"/>
    </row>
    <row r="69" spans="1:47" hidden="1">
      <c r="A69" s="111" t="s">
        <v>119</v>
      </c>
      <c r="F69" s="128"/>
      <c r="I69" s="128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  <c r="AL69" s="175"/>
      <c r="AM69" s="175"/>
      <c r="AN69" s="175"/>
      <c r="AO69" s="53"/>
      <c r="AP69" s="53"/>
      <c r="AQ69" s="53"/>
      <c r="AR69" s="53"/>
      <c r="AS69" s="53"/>
      <c r="AU69" s="135"/>
    </row>
    <row r="70" spans="1:47" hidden="1">
      <c r="F70" s="128"/>
      <c r="I70" s="128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5"/>
      <c r="AK70" s="175"/>
      <c r="AL70" s="175"/>
      <c r="AM70" s="175"/>
      <c r="AN70" s="175"/>
      <c r="AO70" s="53"/>
      <c r="AP70" s="53"/>
      <c r="AQ70" s="53"/>
      <c r="AR70" s="53"/>
      <c r="AS70" s="53"/>
      <c r="AU70" s="135"/>
    </row>
    <row r="71" spans="1:47" hidden="1">
      <c r="A71" s="111" t="s">
        <v>97</v>
      </c>
      <c r="F71" s="128"/>
      <c r="I71" s="128"/>
      <c r="Y71" s="175"/>
      <c r="Z71" s="175"/>
      <c r="AA71" s="110"/>
      <c r="AB71" s="110"/>
      <c r="AC71" s="176"/>
      <c r="AD71" s="176"/>
      <c r="AE71" s="177"/>
      <c r="AF71" s="177"/>
      <c r="AG71" s="177"/>
      <c r="AH71" s="177"/>
      <c r="AI71" s="178"/>
      <c r="AJ71" s="179"/>
      <c r="AK71" s="175"/>
      <c r="AL71" s="175"/>
      <c r="AM71" s="175"/>
      <c r="AN71" s="175"/>
      <c r="AO71" s="53"/>
      <c r="AP71" s="53"/>
      <c r="AQ71" s="53"/>
      <c r="AR71" s="53"/>
      <c r="AS71" s="53"/>
      <c r="AU71" s="135"/>
    </row>
    <row r="72" spans="1:47" hidden="1">
      <c r="A72" s="111" t="s">
        <v>98</v>
      </c>
      <c r="C72" s="129">
        <v>612.13238583609495</v>
      </c>
      <c r="D72" s="130">
        <v>10.63</v>
      </c>
      <c r="F72" s="131">
        <f>ROUND(D72*$C72,0)</f>
        <v>6507</v>
      </c>
      <c r="G72" s="130">
        <v>10.63</v>
      </c>
      <c r="I72" s="131">
        <f t="shared" ref="I72:I74" si="17">G72*C72</f>
        <v>6506.9672614376896</v>
      </c>
      <c r="J72" s="130">
        <f>$J$15</f>
        <v>10.79</v>
      </c>
      <c r="L72" s="131">
        <f t="shared" ref="L72:L74" si="18">(J72*$C72)</f>
        <v>6604.9084431714637</v>
      </c>
      <c r="M72" s="131"/>
      <c r="N72" s="130">
        <f>N15</f>
        <v>6.31</v>
      </c>
      <c r="P72" s="131">
        <f t="shared" ref="P72:P74" si="19">(N72*$C72)</f>
        <v>3862.5553546257588</v>
      </c>
      <c r="Q72" s="131"/>
      <c r="R72" s="130">
        <f>R15</f>
        <v>0.89</v>
      </c>
      <c r="T72" s="131">
        <f t="shared" ref="T72:T74" si="20">(R72*$C72)</f>
        <v>544.79782339412452</v>
      </c>
      <c r="U72" s="131"/>
      <c r="V72" s="130">
        <f>V15</f>
        <v>3.5900000000000003</v>
      </c>
      <c r="X72" s="131">
        <f t="shared" ref="X72:X74" si="21">(V72*$C72)</f>
        <v>2197.5552651515809</v>
      </c>
      <c r="Y72" s="53"/>
      <c r="Z72" s="178"/>
      <c r="AA72" s="110"/>
      <c r="AB72" s="110"/>
      <c r="AC72" s="175"/>
      <c r="AD72" s="175"/>
      <c r="AE72" s="180"/>
      <c r="AF72" s="180"/>
      <c r="AG72" s="180"/>
      <c r="AH72" s="180"/>
      <c r="AI72" s="181"/>
      <c r="AJ72" s="175"/>
      <c r="AK72" s="178"/>
      <c r="AL72" s="178"/>
      <c r="AM72" s="182"/>
      <c r="AN72" s="178"/>
      <c r="AO72" s="53"/>
      <c r="AP72" s="53"/>
      <c r="AQ72" s="53"/>
      <c r="AR72" s="53"/>
      <c r="AS72" s="53"/>
      <c r="AU72" s="135"/>
    </row>
    <row r="73" spans="1:47" hidden="1">
      <c r="A73" s="111" t="s">
        <v>99</v>
      </c>
      <c r="C73" s="129">
        <v>407.76913013469601</v>
      </c>
      <c r="D73" s="130">
        <v>20.23</v>
      </c>
      <c r="F73" s="131">
        <f>ROUND(D73*$C73,0)</f>
        <v>8249</v>
      </c>
      <c r="G73" s="130">
        <v>20.23</v>
      </c>
      <c r="I73" s="131">
        <f t="shared" si="17"/>
        <v>8249.1695026248999</v>
      </c>
      <c r="J73" s="130">
        <f>$J$16</f>
        <v>20.53</v>
      </c>
      <c r="L73" s="131">
        <f t="shared" si="18"/>
        <v>8371.5002416653097</v>
      </c>
      <c r="M73" s="131"/>
      <c r="N73" s="130">
        <f>N16</f>
        <v>12</v>
      </c>
      <c r="P73" s="131">
        <f t="shared" si="19"/>
        <v>4893.2295616163519</v>
      </c>
      <c r="Q73" s="131"/>
      <c r="R73" s="130">
        <f>R16</f>
        <v>1.69</v>
      </c>
      <c r="T73" s="131">
        <f t="shared" si="20"/>
        <v>689.12982992763625</v>
      </c>
      <c r="U73" s="131"/>
      <c r="V73" s="130">
        <f>V16</f>
        <v>6.84</v>
      </c>
      <c r="X73" s="131">
        <f t="shared" si="21"/>
        <v>2789.1408501213205</v>
      </c>
      <c r="Y73" s="53"/>
      <c r="Z73" s="178"/>
      <c r="AA73" s="110"/>
      <c r="AB73" s="110"/>
      <c r="AC73" s="53"/>
      <c r="AD73" s="53"/>
      <c r="AE73" s="183"/>
      <c r="AF73" s="183"/>
      <c r="AG73" s="183"/>
      <c r="AH73" s="183"/>
      <c r="AI73" s="175"/>
      <c r="AJ73" s="175"/>
      <c r="AK73" s="178"/>
      <c r="AL73" s="178"/>
      <c r="AM73" s="182"/>
      <c r="AN73" s="178"/>
      <c r="AO73" s="53"/>
      <c r="AP73" s="53"/>
      <c r="AQ73" s="53"/>
      <c r="AR73" s="53"/>
      <c r="AS73" s="53"/>
      <c r="AU73" s="135"/>
    </row>
    <row r="74" spans="1:47" hidden="1">
      <c r="A74" s="111" t="s">
        <v>100</v>
      </c>
      <c r="C74" s="129">
        <v>47.999569482334898</v>
      </c>
      <c r="D74" s="130">
        <v>41.86</v>
      </c>
      <c r="F74" s="131">
        <f>ROUND(D74*$C74,0)</f>
        <v>2009</v>
      </c>
      <c r="G74" s="130">
        <v>41.86</v>
      </c>
      <c r="I74" s="131">
        <f t="shared" si="17"/>
        <v>2009.2619785305387</v>
      </c>
      <c r="J74" s="130">
        <f>$J$17</f>
        <v>42.48</v>
      </c>
      <c r="L74" s="131">
        <f t="shared" si="18"/>
        <v>2039.0217116095864</v>
      </c>
      <c r="M74" s="131"/>
      <c r="N74" s="130">
        <f>N17</f>
        <v>24.84</v>
      </c>
      <c r="P74" s="131">
        <f t="shared" si="19"/>
        <v>1192.3093059411988</v>
      </c>
      <c r="Q74" s="131"/>
      <c r="R74" s="130">
        <f>R17</f>
        <v>3.49</v>
      </c>
      <c r="T74" s="131">
        <f t="shared" si="20"/>
        <v>167.5184974933488</v>
      </c>
      <c r="U74" s="131"/>
      <c r="V74" s="130">
        <f>V17</f>
        <v>14.16</v>
      </c>
      <c r="X74" s="131">
        <f t="shared" si="21"/>
        <v>679.67390386986222</v>
      </c>
      <c r="Y74" s="53"/>
      <c r="Z74" s="178"/>
      <c r="AA74" s="110"/>
      <c r="AB74" s="110"/>
      <c r="AC74" s="53"/>
      <c r="AD74" s="53"/>
      <c r="AE74" s="183"/>
      <c r="AF74" s="183"/>
      <c r="AG74" s="183"/>
      <c r="AH74" s="183"/>
      <c r="AI74" s="175"/>
      <c r="AJ74" s="175"/>
      <c r="AK74" s="178"/>
      <c r="AL74" s="178"/>
      <c r="AM74" s="182"/>
      <c r="AN74" s="178"/>
      <c r="AO74" s="53"/>
      <c r="AP74" s="53"/>
      <c r="AQ74" s="53"/>
      <c r="AR74" s="53"/>
      <c r="AS74" s="53"/>
      <c r="AU74" s="135"/>
    </row>
    <row r="75" spans="1:47" hidden="1">
      <c r="A75" s="111" t="s">
        <v>101</v>
      </c>
      <c r="C75" s="129"/>
      <c r="D75" s="130"/>
      <c r="F75" s="131"/>
      <c r="G75" s="130"/>
      <c r="I75" s="131"/>
      <c r="J75" s="130"/>
      <c r="L75" s="131"/>
      <c r="M75" s="131"/>
      <c r="N75" s="130"/>
      <c r="P75" s="131"/>
      <c r="Q75" s="131"/>
      <c r="R75" s="130"/>
      <c r="T75" s="131"/>
      <c r="U75" s="131"/>
      <c r="V75" s="130"/>
      <c r="X75" s="131"/>
      <c r="Y75" s="53"/>
      <c r="Z75" s="178"/>
      <c r="AA75" s="110"/>
      <c r="AB75" s="110"/>
      <c r="AC75" s="53"/>
      <c r="AD75" s="53"/>
      <c r="AE75" s="183"/>
      <c r="AF75" s="183"/>
      <c r="AG75" s="183"/>
      <c r="AH75" s="183"/>
      <c r="AI75" s="175"/>
      <c r="AJ75" s="175"/>
      <c r="AK75" s="178"/>
      <c r="AL75" s="178"/>
      <c r="AM75" s="182"/>
      <c r="AN75" s="178"/>
      <c r="AO75" s="53"/>
      <c r="AP75" s="53"/>
      <c r="AQ75" s="53"/>
      <c r="AR75" s="53"/>
      <c r="AS75" s="53"/>
      <c r="AU75" s="135"/>
    </row>
    <row r="76" spans="1:47" hidden="1">
      <c r="A76" s="111" t="s">
        <v>102</v>
      </c>
      <c r="C76" s="129">
        <v>11.999900155568399</v>
      </c>
      <c r="D76" s="130">
        <v>12.09</v>
      </c>
      <c r="F76" s="131">
        <f>ROUND(D76*$C76,0)</f>
        <v>145</v>
      </c>
      <c r="G76" s="130">
        <v>12.09</v>
      </c>
      <c r="I76" s="131">
        <f t="shared" ref="I76:I79" si="22">G76*C76</f>
        <v>145.07879288082194</v>
      </c>
      <c r="J76" s="130">
        <f>$J$19</f>
        <v>12.27</v>
      </c>
      <c r="L76" s="131">
        <f t="shared" ref="L76:L79" si="23">(J76*$C76)</f>
        <v>147.23877490882424</v>
      </c>
      <c r="M76" s="131"/>
      <c r="N76" s="130">
        <f>N19</f>
        <v>7.17</v>
      </c>
      <c r="P76" s="131">
        <f t="shared" ref="P76:P79" si="24">(N76*$C76)</f>
        <v>86.039284115425417</v>
      </c>
      <c r="Q76" s="131"/>
      <c r="R76" s="130">
        <f>R19</f>
        <v>1.01</v>
      </c>
      <c r="T76" s="131">
        <f t="shared" ref="T76:T79" si="25">(R76*$C76)</f>
        <v>12.119899157124083</v>
      </c>
      <c r="U76" s="131"/>
      <c r="V76" s="130">
        <f>V19</f>
        <v>4.09</v>
      </c>
      <c r="X76" s="131">
        <f t="shared" ref="X76:X79" si="26">(V76*$C76)</f>
        <v>49.079591636274749</v>
      </c>
      <c r="Y76" s="53"/>
      <c r="Z76" s="178"/>
      <c r="AA76" s="110"/>
      <c r="AB76" s="110"/>
      <c r="AC76" s="53"/>
      <c r="AD76" s="53"/>
      <c r="AE76" s="183"/>
      <c r="AF76" s="183"/>
      <c r="AG76" s="183"/>
      <c r="AH76" s="183"/>
      <c r="AI76" s="175"/>
      <c r="AJ76" s="175"/>
      <c r="AK76" s="178"/>
      <c r="AL76" s="178"/>
      <c r="AM76" s="182"/>
      <c r="AN76" s="178"/>
      <c r="AO76" s="53"/>
      <c r="AP76" s="53"/>
      <c r="AQ76" s="53"/>
      <c r="AR76" s="53"/>
      <c r="AS76" s="53"/>
      <c r="AU76" s="135"/>
    </row>
    <row r="77" spans="1:47" hidden="1">
      <c r="A77" s="111" t="s">
        <v>103</v>
      </c>
      <c r="C77" s="129">
        <v>96.000010505499901</v>
      </c>
      <c r="D77" s="130">
        <v>17.760000000000002</v>
      </c>
      <c r="F77" s="131">
        <f>ROUND(D77*$C77,0)</f>
        <v>1705</v>
      </c>
      <c r="G77" s="130">
        <v>17.760000000000002</v>
      </c>
      <c r="I77" s="131">
        <f t="shared" si="22"/>
        <v>1704.9601865776783</v>
      </c>
      <c r="J77" s="130">
        <f>$J$20</f>
        <v>18.02</v>
      </c>
      <c r="L77" s="131">
        <f t="shared" si="23"/>
        <v>1729.9201893091081</v>
      </c>
      <c r="M77" s="131"/>
      <c r="N77" s="130">
        <f>N20</f>
        <v>10.54</v>
      </c>
      <c r="P77" s="131">
        <f t="shared" si="24"/>
        <v>1011.8401107279689</v>
      </c>
      <c r="Q77" s="131"/>
      <c r="R77" s="130">
        <f>R20</f>
        <v>1.48</v>
      </c>
      <c r="T77" s="131">
        <f t="shared" si="25"/>
        <v>142.08001554813984</v>
      </c>
      <c r="U77" s="131"/>
      <c r="V77" s="130">
        <f>V20</f>
        <v>6</v>
      </c>
      <c r="X77" s="131">
        <f t="shared" si="26"/>
        <v>576.00006303299938</v>
      </c>
      <c r="Y77" s="53"/>
      <c r="Z77" s="178"/>
      <c r="AA77" s="110"/>
      <c r="AB77" s="110"/>
      <c r="AC77" s="53"/>
      <c r="AD77" s="53"/>
      <c r="AE77" s="183"/>
      <c r="AF77" s="183"/>
      <c r="AG77" s="183"/>
      <c r="AH77" s="183"/>
      <c r="AI77" s="175"/>
      <c r="AJ77" s="175"/>
      <c r="AK77" s="178"/>
      <c r="AL77" s="178"/>
      <c r="AM77" s="182"/>
      <c r="AN77" s="178"/>
      <c r="AO77" s="53"/>
      <c r="AP77" s="53"/>
      <c r="AQ77" s="53"/>
      <c r="AR77" s="53"/>
      <c r="AS77" s="53"/>
      <c r="AU77" s="135"/>
    </row>
    <row r="78" spans="1:47" hidden="1">
      <c r="A78" s="111" t="s">
        <v>104</v>
      </c>
      <c r="C78" s="129">
        <v>23.999999764143599</v>
      </c>
      <c r="D78" s="130">
        <v>28.64</v>
      </c>
      <c r="F78" s="131">
        <f>ROUND(D78*$C78,0)</f>
        <v>687</v>
      </c>
      <c r="G78" s="130">
        <v>28.64</v>
      </c>
      <c r="I78" s="131">
        <f t="shared" si="22"/>
        <v>687.3599932450727</v>
      </c>
      <c r="J78" s="130">
        <f>$J$21</f>
        <v>29.07</v>
      </c>
      <c r="L78" s="131">
        <f t="shared" si="23"/>
        <v>697.67999314365443</v>
      </c>
      <c r="M78" s="131"/>
      <c r="N78" s="130">
        <f>N21</f>
        <v>17</v>
      </c>
      <c r="P78" s="131">
        <f t="shared" si="24"/>
        <v>407.99999599044116</v>
      </c>
      <c r="Q78" s="131"/>
      <c r="R78" s="130">
        <f>R21</f>
        <v>2.39</v>
      </c>
      <c r="T78" s="131">
        <f t="shared" si="25"/>
        <v>57.359999436303205</v>
      </c>
      <c r="U78" s="131"/>
      <c r="V78" s="130">
        <f>V21</f>
        <v>9.69</v>
      </c>
      <c r="X78" s="131">
        <f t="shared" si="26"/>
        <v>232.55999771455146</v>
      </c>
      <c r="Y78" s="53"/>
      <c r="Z78" s="178"/>
      <c r="AA78" s="110"/>
      <c r="AB78" s="110"/>
      <c r="AC78" s="53"/>
      <c r="AD78" s="53"/>
      <c r="AE78" s="183"/>
      <c r="AF78" s="183"/>
      <c r="AG78" s="183"/>
      <c r="AH78" s="183"/>
      <c r="AI78" s="175"/>
      <c r="AJ78" s="175"/>
      <c r="AK78" s="178"/>
      <c r="AL78" s="178"/>
      <c r="AM78" s="182"/>
      <c r="AN78" s="178"/>
      <c r="AO78" s="53"/>
      <c r="AP78" s="53"/>
      <c r="AQ78" s="53"/>
      <c r="AR78" s="53"/>
      <c r="AS78" s="53"/>
      <c r="AU78" s="135"/>
    </row>
    <row r="79" spans="1:47" hidden="1">
      <c r="A79" s="111" t="s">
        <v>105</v>
      </c>
      <c r="C79" s="129">
        <v>132.000000851811</v>
      </c>
      <c r="D79" s="130">
        <v>1</v>
      </c>
      <c r="E79" s="53"/>
      <c r="F79" s="151">
        <f>ROUND(D79*$C79,0)</f>
        <v>132</v>
      </c>
      <c r="G79" s="130">
        <v>1</v>
      </c>
      <c r="H79" s="53"/>
      <c r="I79" s="131">
        <f t="shared" si="22"/>
        <v>132.000000851811</v>
      </c>
      <c r="J79" s="138">
        <f>$J$22</f>
        <v>1</v>
      </c>
      <c r="K79" s="53"/>
      <c r="L79" s="131">
        <f t="shared" si="23"/>
        <v>132.000000851811</v>
      </c>
      <c r="M79" s="131"/>
      <c r="N79" s="130">
        <f>N22</f>
        <v>1</v>
      </c>
      <c r="O79" s="53"/>
      <c r="P79" s="131">
        <f t="shared" si="24"/>
        <v>132.000000851811</v>
      </c>
      <c r="Q79" s="131"/>
      <c r="R79" s="130" t="str">
        <f>R22</f>
        <v xml:space="preserve"> </v>
      </c>
      <c r="S79" s="53"/>
      <c r="T79" s="131">
        <f t="shared" si="25"/>
        <v>0</v>
      </c>
      <c r="U79" s="131"/>
      <c r="V79" s="130" t="str">
        <f>V22</f>
        <v xml:space="preserve"> </v>
      </c>
      <c r="W79" s="53"/>
      <c r="X79" s="131">
        <f t="shared" si="26"/>
        <v>0</v>
      </c>
      <c r="Y79" s="175"/>
      <c r="Z79" s="178"/>
      <c r="AA79" s="110"/>
      <c r="AB79" s="110"/>
      <c r="AC79" s="53"/>
      <c r="AD79" s="53"/>
      <c r="AE79" s="175"/>
      <c r="AF79" s="175"/>
      <c r="AG79" s="175"/>
      <c r="AH79" s="175"/>
      <c r="AI79" s="175"/>
      <c r="AJ79" s="175"/>
      <c r="AK79" s="178"/>
      <c r="AL79" s="178"/>
      <c r="AM79" s="178"/>
      <c r="AN79" s="178"/>
      <c r="AO79" s="53"/>
      <c r="AP79" s="53"/>
      <c r="AQ79" s="53"/>
      <c r="AR79" s="53"/>
      <c r="AS79" s="53"/>
      <c r="AU79" s="135"/>
    </row>
    <row r="80" spans="1:47" s="141" customFormat="1" hidden="1">
      <c r="A80" s="140" t="s">
        <v>117</v>
      </c>
      <c r="C80" s="142">
        <f>C82</f>
        <v>149372</v>
      </c>
      <c r="D80" s="138"/>
      <c r="E80" s="143"/>
      <c r="F80" s="144"/>
      <c r="G80" s="138"/>
      <c r="H80" s="143"/>
      <c r="I80" s="144"/>
      <c r="J80" s="145">
        <f>J23</f>
        <v>0</v>
      </c>
      <c r="K80" s="146" t="s">
        <v>107</v>
      </c>
      <c r="L80" s="144">
        <f>J80*C80/100</f>
        <v>0</v>
      </c>
      <c r="M80" s="144"/>
      <c r="N80" s="145" t="str">
        <f>N23</f>
        <v xml:space="preserve"> </v>
      </c>
      <c r="O80" s="146" t="s">
        <v>107</v>
      </c>
      <c r="P80" s="144">
        <f>N80*F80/100</f>
        <v>0</v>
      </c>
      <c r="Q80" s="144"/>
      <c r="R80" s="145" t="str">
        <f>R23</f>
        <v xml:space="preserve"> </v>
      </c>
      <c r="S80" s="146" t="s">
        <v>107</v>
      </c>
      <c r="T80" s="144">
        <f>R80*J80/100</f>
        <v>0</v>
      </c>
      <c r="U80" s="144"/>
      <c r="V80" s="145">
        <f>V23</f>
        <v>0</v>
      </c>
      <c r="W80" s="146" t="s">
        <v>107</v>
      </c>
      <c r="X80" s="144">
        <f>V80*C80/100</f>
        <v>0</v>
      </c>
      <c r="Z80" s="132"/>
      <c r="AC80" s="148"/>
      <c r="AD80" s="148"/>
      <c r="AI80" s="143"/>
      <c r="AJ80" s="143"/>
      <c r="AK80" s="143"/>
      <c r="AL80" s="143"/>
      <c r="AM80" s="143"/>
      <c r="AN80" s="143"/>
      <c r="AO80" s="143"/>
      <c r="AP80" s="143"/>
      <c r="AQ80" s="143"/>
      <c r="AR80" s="143"/>
      <c r="AS80" s="143"/>
      <c r="AU80" s="147"/>
    </row>
    <row r="81" spans="1:47" hidden="1">
      <c r="A81" s="111" t="s">
        <v>109</v>
      </c>
      <c r="C81" s="129">
        <v>673</v>
      </c>
      <c r="D81" s="130"/>
      <c r="F81" s="131"/>
      <c r="G81" s="130"/>
      <c r="I81" s="131"/>
      <c r="J81" s="130"/>
      <c r="L81" s="131"/>
      <c r="M81" s="131"/>
      <c r="N81" s="130"/>
      <c r="P81" s="131"/>
      <c r="Q81" s="131"/>
      <c r="R81" s="130"/>
      <c r="T81" s="131"/>
      <c r="U81" s="131"/>
      <c r="V81" s="130"/>
      <c r="X81" s="131"/>
      <c r="Y81" s="175"/>
      <c r="Z81" s="175"/>
      <c r="AA81" s="175"/>
      <c r="AB81" s="175"/>
      <c r="AC81" s="175"/>
      <c r="AD81" s="175"/>
      <c r="AE81" s="175"/>
      <c r="AF81" s="175"/>
      <c r="AG81" s="175"/>
      <c r="AH81" s="175"/>
      <c r="AI81" s="175"/>
      <c r="AJ81" s="175"/>
      <c r="AK81" s="184"/>
      <c r="AL81" s="175"/>
      <c r="AM81" s="175"/>
      <c r="AN81" s="175"/>
      <c r="AO81" s="53"/>
      <c r="AP81" s="53"/>
      <c r="AQ81" s="53"/>
      <c r="AR81" s="53"/>
      <c r="AS81" s="53"/>
      <c r="AU81" s="135"/>
    </row>
    <row r="82" spans="1:47" hidden="1">
      <c r="A82" s="111" t="s">
        <v>110</v>
      </c>
      <c r="C82" s="129">
        <v>149372</v>
      </c>
      <c r="D82" s="138"/>
      <c r="E82" s="53"/>
      <c r="F82" s="151">
        <f>SUM(F72:F79)</f>
        <v>19434</v>
      </c>
      <c r="G82" s="138"/>
      <c r="H82" s="53"/>
      <c r="I82" s="151">
        <f>SUM(I72:I79)</f>
        <v>19434.797716148514</v>
      </c>
      <c r="J82" s="138"/>
      <c r="K82" s="53"/>
      <c r="L82" s="151">
        <f>SUM(L72:L80)</f>
        <v>19722.269354659758</v>
      </c>
      <c r="M82" s="151"/>
      <c r="N82" s="138"/>
      <c r="O82" s="53"/>
      <c r="P82" s="151">
        <f>SUM(P72:P80)</f>
        <v>11585.973613868959</v>
      </c>
      <c r="Q82" s="151"/>
      <c r="R82" s="138"/>
      <c r="S82" s="53"/>
      <c r="T82" s="151">
        <f>SUM(T72:T80)</f>
        <v>1613.0060649566769</v>
      </c>
      <c r="U82" s="151"/>
      <c r="V82" s="138"/>
      <c r="W82" s="53"/>
      <c r="X82" s="151">
        <f>SUM(X72:X80)</f>
        <v>6524.00967152659</v>
      </c>
      <c r="Y82" s="175"/>
      <c r="Z82" s="183"/>
      <c r="AA82" s="175"/>
      <c r="AB82" s="175"/>
      <c r="AC82" s="53"/>
      <c r="AD82" s="53"/>
      <c r="AE82" s="53"/>
      <c r="AF82" s="53"/>
      <c r="AG82" s="53"/>
      <c r="AH82" s="53"/>
      <c r="AI82" s="53"/>
      <c r="AJ82" s="175"/>
      <c r="AK82" s="175"/>
      <c r="AL82" s="175"/>
      <c r="AM82" s="175"/>
      <c r="AN82" s="175"/>
      <c r="AO82" s="53"/>
      <c r="AP82" s="53"/>
      <c r="AQ82" s="53"/>
      <c r="AR82" s="53"/>
      <c r="AS82" s="53"/>
      <c r="AU82" s="135"/>
    </row>
    <row r="83" spans="1:47" hidden="1">
      <c r="A83" s="111" t="s">
        <v>111</v>
      </c>
      <c r="C83" s="129">
        <v>-2392.5719773770011</v>
      </c>
      <c r="D83" s="138"/>
      <c r="E83" s="53"/>
      <c r="F83" s="151">
        <f>I83</f>
        <v>-423.90527620202027</v>
      </c>
      <c r="G83" s="138"/>
      <c r="H83" s="53"/>
      <c r="I83" s="151">
        <v>-423.90527620202027</v>
      </c>
      <c r="J83" s="138"/>
      <c r="K83" s="53"/>
      <c r="L83" s="151">
        <f>I83</f>
        <v>-423.90527620202027</v>
      </c>
      <c r="M83" s="151"/>
      <c r="N83" s="138"/>
      <c r="O83" s="53"/>
      <c r="P83" s="151">
        <f>P26/L26*L83</f>
        <v>-248.0787201194421</v>
      </c>
      <c r="Q83" s="151"/>
      <c r="R83" s="138"/>
      <c r="S83" s="53"/>
      <c r="T83" s="151">
        <f>T26/L26*L83</f>
        <v>-34.749603463483353</v>
      </c>
      <c r="U83" s="151"/>
      <c r="V83" s="138"/>
      <c r="W83" s="53"/>
      <c r="X83" s="151">
        <f>X26/L26*L83</f>
        <v>-141.07695261909487</v>
      </c>
      <c r="Y83" s="185"/>
      <c r="Z83" s="183"/>
      <c r="AA83" s="175"/>
      <c r="AB83" s="175"/>
      <c r="AC83" s="175"/>
      <c r="AD83" s="175"/>
      <c r="AE83" s="180"/>
      <c r="AF83" s="180"/>
      <c r="AG83" s="180"/>
      <c r="AH83" s="180"/>
      <c r="AI83" s="178"/>
      <c r="AJ83" s="175"/>
      <c r="AK83" s="175"/>
      <c r="AL83" s="175"/>
      <c r="AM83" s="175"/>
      <c r="AN83" s="175"/>
      <c r="AO83" s="53"/>
      <c r="AP83" s="53"/>
      <c r="AQ83" s="53"/>
      <c r="AR83" s="53"/>
      <c r="AS83" s="53"/>
      <c r="AU83" s="135"/>
    </row>
    <row r="84" spans="1:47" ht="16.5" hidden="1" thickBot="1">
      <c r="A84" s="111" t="s">
        <v>112</v>
      </c>
      <c r="C84" s="156">
        <f>C82+C83</f>
        <v>146979.428022623</v>
      </c>
      <c r="D84" s="157"/>
      <c r="E84" s="157"/>
      <c r="F84" s="157">
        <f>F82+F83</f>
        <v>19010.094723797978</v>
      </c>
      <c r="G84" s="158"/>
      <c r="H84" s="157"/>
      <c r="I84" s="157">
        <f>I82+I83</f>
        <v>19010.892439946492</v>
      </c>
      <c r="J84" s="158"/>
      <c r="K84" s="157"/>
      <c r="L84" s="157">
        <f>L82+L83</f>
        <v>19298.364078457736</v>
      </c>
      <c r="M84" s="158"/>
      <c r="N84" s="158"/>
      <c r="O84" s="157"/>
      <c r="P84" s="157">
        <f>P82+P83</f>
        <v>11337.894893749517</v>
      </c>
      <c r="Q84" s="158"/>
      <c r="R84" s="158"/>
      <c r="S84" s="157"/>
      <c r="T84" s="157">
        <f>T82+T83</f>
        <v>1578.2564614931937</v>
      </c>
      <c r="U84" s="158"/>
      <c r="V84" s="158"/>
      <c r="W84" s="157"/>
      <c r="X84" s="157">
        <f>X82+X83</f>
        <v>6382.9327189074947</v>
      </c>
      <c r="Y84" s="186"/>
      <c r="Z84" s="187"/>
      <c r="AA84" s="175"/>
      <c r="AB84" s="175"/>
      <c r="AC84" s="175"/>
      <c r="AD84" s="175"/>
      <c r="AE84" s="175"/>
      <c r="AF84" s="175"/>
      <c r="AG84" s="175"/>
      <c r="AH84" s="175"/>
      <c r="AI84" s="175"/>
      <c r="AJ84" s="175"/>
      <c r="AK84" s="175"/>
      <c r="AL84" s="175"/>
      <c r="AM84" s="175"/>
      <c r="AN84" s="175"/>
      <c r="AO84" s="53"/>
      <c r="AP84" s="53"/>
      <c r="AQ84" s="53"/>
      <c r="AR84" s="53"/>
      <c r="AS84" s="53"/>
      <c r="AU84" s="135"/>
    </row>
    <row r="85" spans="1:47" hidden="1">
      <c r="C85" s="168"/>
      <c r="D85" s="154" t="s">
        <v>0</v>
      </c>
      <c r="E85" s="168"/>
      <c r="F85" s="128"/>
      <c r="G85" s="154" t="s">
        <v>0</v>
      </c>
      <c r="H85" s="168"/>
      <c r="I85" s="128"/>
      <c r="J85" s="169" t="s">
        <v>0</v>
      </c>
      <c r="K85" s="168"/>
      <c r="L85" s="131" t="s">
        <v>0</v>
      </c>
      <c r="M85" s="131"/>
      <c r="N85" s="169" t="s">
        <v>0</v>
      </c>
      <c r="O85" s="168"/>
      <c r="P85" s="131" t="s">
        <v>0</v>
      </c>
      <c r="Q85" s="131"/>
      <c r="R85" s="169" t="s">
        <v>0</v>
      </c>
      <c r="S85" s="168"/>
      <c r="T85" s="131" t="s">
        <v>0</v>
      </c>
      <c r="U85" s="131"/>
      <c r="V85" s="169" t="s">
        <v>0</v>
      </c>
      <c r="W85" s="168"/>
      <c r="X85" s="131" t="s">
        <v>0</v>
      </c>
      <c r="Y85" s="53"/>
      <c r="Z85" s="110"/>
      <c r="AA85" s="110"/>
      <c r="AB85" s="110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U85" s="135"/>
    </row>
    <row r="86" spans="1:47">
      <c r="A86" s="188" t="s">
        <v>120</v>
      </c>
      <c r="B86" s="169"/>
      <c r="C86" s="169"/>
      <c r="D86" s="189"/>
      <c r="E86" s="189"/>
      <c r="F86" s="169"/>
      <c r="G86" s="189"/>
      <c r="H86" s="169"/>
      <c r="I86" s="169"/>
      <c r="J86" s="189"/>
      <c r="K86" s="169"/>
      <c r="L86" s="169"/>
      <c r="M86" s="169"/>
      <c r="N86" s="189"/>
      <c r="O86" s="169"/>
      <c r="P86" s="169"/>
      <c r="Q86" s="169"/>
      <c r="R86" s="189"/>
      <c r="S86" s="169"/>
      <c r="T86" s="169"/>
      <c r="U86" s="169"/>
      <c r="V86" s="189"/>
      <c r="W86" s="169"/>
      <c r="X86" s="169"/>
      <c r="Y86" s="53"/>
      <c r="Z86" s="110"/>
      <c r="AA86" s="110"/>
      <c r="AB86" s="110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U86" s="135"/>
    </row>
    <row r="87" spans="1:47">
      <c r="A87" s="169" t="s">
        <v>121</v>
      </c>
      <c r="B87" s="169"/>
      <c r="C87" s="169"/>
      <c r="D87" s="189"/>
      <c r="E87" s="189"/>
      <c r="F87" s="169"/>
      <c r="G87" s="189"/>
      <c r="H87" s="169"/>
      <c r="I87" s="169"/>
      <c r="J87" s="189"/>
      <c r="K87" s="169"/>
      <c r="L87" s="169"/>
      <c r="M87" s="169"/>
      <c r="N87" s="189"/>
      <c r="O87" s="169"/>
      <c r="P87" s="169"/>
      <c r="Q87" s="169"/>
      <c r="R87" s="189"/>
      <c r="S87" s="169"/>
      <c r="T87" s="169"/>
      <c r="U87" s="169"/>
      <c r="V87" s="189"/>
      <c r="W87" s="169"/>
      <c r="X87" s="169"/>
      <c r="Y87" s="190"/>
      <c r="Z87" s="110"/>
      <c r="AA87" s="110"/>
      <c r="AB87" s="110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U87" s="135"/>
    </row>
    <row r="88" spans="1:47">
      <c r="A88" s="191"/>
      <c r="B88" s="169"/>
      <c r="C88" s="169"/>
      <c r="D88" s="189"/>
      <c r="E88" s="189"/>
      <c r="F88" s="169"/>
      <c r="G88" s="189"/>
      <c r="H88" s="169"/>
      <c r="I88" s="169"/>
      <c r="J88" s="189"/>
      <c r="K88" s="169"/>
      <c r="L88" s="169"/>
      <c r="M88" s="169"/>
      <c r="N88" s="189"/>
      <c r="O88" s="169"/>
      <c r="P88" s="169"/>
      <c r="Q88" s="169"/>
      <c r="R88" s="189"/>
      <c r="S88" s="169"/>
      <c r="T88" s="169"/>
      <c r="U88" s="169"/>
      <c r="V88" s="189"/>
      <c r="W88" s="169"/>
      <c r="X88" s="169"/>
      <c r="Y88" s="53"/>
      <c r="Z88" s="110"/>
      <c r="AA88" s="192" t="s">
        <v>122</v>
      </c>
      <c r="AB88" s="192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U88" s="135"/>
    </row>
    <row r="89" spans="1:47">
      <c r="A89" s="169" t="s">
        <v>123</v>
      </c>
      <c r="B89" s="169"/>
      <c r="C89" s="189">
        <f>C108+C123+C138+C153</f>
        <v>1255621.1094622968</v>
      </c>
      <c r="D89" s="193">
        <v>6</v>
      </c>
      <c r="E89" s="169"/>
      <c r="F89" s="131">
        <f>F108+F123+F138+F153</f>
        <v>7533726</v>
      </c>
      <c r="G89" s="193">
        <v>7.75</v>
      </c>
      <c r="H89" s="169"/>
      <c r="I89" s="131">
        <f>I108+I123+I138+I153</f>
        <v>9731064</v>
      </c>
      <c r="J89" s="193">
        <v>7.75</v>
      </c>
      <c r="K89" s="169"/>
      <c r="L89" s="131">
        <f>L108+L123+L138+L153</f>
        <v>9731064</v>
      </c>
      <c r="M89" s="131"/>
      <c r="N89" s="193">
        <v>7.75</v>
      </c>
      <c r="O89" s="169"/>
      <c r="P89" s="131">
        <f>P108+P123+P138+P153</f>
        <v>9731063.5983328</v>
      </c>
      <c r="Q89" s="131"/>
      <c r="R89" s="193" t="s">
        <v>0</v>
      </c>
      <c r="S89" s="169"/>
      <c r="T89" s="131">
        <f>R89*C89</f>
        <v>0</v>
      </c>
      <c r="U89" s="131"/>
      <c r="V89" s="193" t="s">
        <v>0</v>
      </c>
      <c r="W89" s="169"/>
      <c r="X89" s="131">
        <f>V89*C89</f>
        <v>0</v>
      </c>
      <c r="AB89" s="63">
        <f t="shared" ref="AB89:AB94" si="27">(J89-G89)/G89</f>
        <v>0</v>
      </c>
      <c r="AC89" s="194" t="s">
        <v>0</v>
      </c>
      <c r="AN89" s="53"/>
      <c r="AO89" s="53"/>
      <c r="AP89" s="53"/>
      <c r="AQ89" s="53"/>
      <c r="AR89" s="53"/>
      <c r="AS89" s="53"/>
      <c r="AU89" s="135"/>
    </row>
    <row r="90" spans="1:47">
      <c r="A90" s="169" t="s">
        <v>124</v>
      </c>
      <c r="B90" s="169"/>
      <c r="C90" s="189">
        <f>C109+C124+C139+C154</f>
        <v>673194199.43478608</v>
      </c>
      <c r="D90" s="195">
        <v>5.9489999999999998</v>
      </c>
      <c r="E90" s="169" t="s">
        <v>107</v>
      </c>
      <c r="F90" s="131">
        <f>F109+F124+F139+F154</f>
        <v>40048323</v>
      </c>
      <c r="G90" s="195">
        <v>6.1989999999999998</v>
      </c>
      <c r="H90" s="169" t="s">
        <v>107</v>
      </c>
      <c r="I90" s="131">
        <f>I109+I124+I139+I154</f>
        <v>41731308</v>
      </c>
      <c r="J90" s="195">
        <v>6.4249999999999998</v>
      </c>
      <c r="K90" s="169" t="s">
        <v>107</v>
      </c>
      <c r="L90" s="131">
        <f>L109+L124+L139+L154</f>
        <v>43252727</v>
      </c>
      <c r="M90" s="131"/>
      <c r="N90" s="195">
        <v>1.268605763197487</v>
      </c>
      <c r="O90" s="169" t="s">
        <v>107</v>
      </c>
      <c r="P90" s="131">
        <f>N90*C90/100</f>
        <v>8540180.4115408808</v>
      </c>
      <c r="Q90" s="169" t="s">
        <v>0</v>
      </c>
      <c r="R90" s="195">
        <v>1.0211615600347985</v>
      </c>
      <c r="S90" s="169" t="s">
        <v>107</v>
      </c>
      <c r="T90" s="131">
        <f>R90*C90/100</f>
        <v>6874400.3890120341</v>
      </c>
      <c r="U90" s="131"/>
      <c r="V90" s="195">
        <v>4.134232630171204</v>
      </c>
      <c r="W90" s="169" t="s">
        <v>107</v>
      </c>
      <c r="X90" s="131">
        <f>(AA104-X89-X92-X93-X94-X95-X96-X100)*L90/(L90+L91)</f>
        <v>27838145.960631009</v>
      </c>
      <c r="Z90" s="196" t="s">
        <v>0</v>
      </c>
      <c r="AA90" s="63" t="s">
        <v>0</v>
      </c>
      <c r="AB90" s="63">
        <f>((J90+J95)-G90)/G90</f>
        <v>3.645749314405549E-2</v>
      </c>
      <c r="AC90" s="93">
        <f>(G91-G90)/G90</f>
        <v>0.58364252298757868</v>
      </c>
      <c r="AD90" s="93"/>
      <c r="AE90" s="93"/>
      <c r="AG90" s="135"/>
      <c r="AH90" s="135"/>
      <c r="AI90" s="93"/>
      <c r="AN90" s="53"/>
      <c r="AO90" s="53"/>
      <c r="AP90" s="53"/>
      <c r="AQ90" s="53"/>
      <c r="AR90" s="53"/>
      <c r="AS90" s="53"/>
      <c r="AU90" s="135"/>
    </row>
    <row r="91" spans="1:47">
      <c r="A91" s="169" t="s">
        <v>125</v>
      </c>
      <c r="B91" s="169"/>
      <c r="C91" s="189">
        <f>C110+C125+C140+C155</f>
        <v>905507102.20482838</v>
      </c>
      <c r="D91" s="195">
        <v>9.4159999999999986</v>
      </c>
      <c r="E91" s="169" t="s">
        <v>107</v>
      </c>
      <c r="F91" s="131">
        <f>F110+F125+F140+F155</f>
        <v>85262549</v>
      </c>
      <c r="G91" s="195">
        <v>9.8170000000000002</v>
      </c>
      <c r="H91" s="169" t="s">
        <v>107</v>
      </c>
      <c r="I91" s="131">
        <f>I110+I125+I140+I155</f>
        <v>88893632</v>
      </c>
      <c r="J91" s="195">
        <v>10.166</v>
      </c>
      <c r="K91" s="169" t="s">
        <v>107</v>
      </c>
      <c r="L91" s="131">
        <f>L110+L125+L140+L155</f>
        <v>92053852</v>
      </c>
      <c r="M91" s="131"/>
      <c r="N91" s="195">
        <v>2.0072601215215515</v>
      </c>
      <c r="O91" s="169" t="s">
        <v>107</v>
      </c>
      <c r="P91" s="131">
        <f>N91*C91/100</f>
        <v>18175882.960102919</v>
      </c>
      <c r="Q91" s="169" t="s">
        <v>0</v>
      </c>
      <c r="R91" s="195">
        <v>1.6157398433397301</v>
      </c>
      <c r="S91" s="169" t="s">
        <v>107</v>
      </c>
      <c r="T91" s="131">
        <f>R91*C91/100</f>
        <v>14630639.034594424</v>
      </c>
      <c r="U91" s="131"/>
      <c r="V91" s="195">
        <v>6.5430000340185881</v>
      </c>
      <c r="W91" s="169" t="s">
        <v>107</v>
      </c>
      <c r="X91" s="131">
        <f>V91*C91/100</f>
        <v>59247330.005302645</v>
      </c>
      <c r="Y91" s="197"/>
      <c r="AA91" s="63" t="s">
        <v>0</v>
      </c>
      <c r="AB91" s="63">
        <f>((J91+J96)-G91)/G91</f>
        <v>3.555057553224001E-2</v>
      </c>
      <c r="AC91" s="93">
        <f>(J91-J90)/J90</f>
        <v>0.58225680933852153</v>
      </c>
      <c r="AD91" s="93">
        <v>0.72450000000000003</v>
      </c>
      <c r="AE91" s="93"/>
      <c r="AG91" s="198"/>
      <c r="AH91" s="198"/>
      <c r="AI91" s="93"/>
      <c r="AN91" s="53"/>
      <c r="AO91" s="53"/>
      <c r="AP91" s="53"/>
      <c r="AQ91" s="53"/>
      <c r="AR91" s="53"/>
      <c r="AS91" s="53"/>
      <c r="AU91" s="135"/>
    </row>
    <row r="92" spans="1:47">
      <c r="A92" s="169" t="s">
        <v>126</v>
      </c>
      <c r="B92" s="169"/>
      <c r="C92" s="189">
        <f>C111+C126+C141+C156</f>
        <v>5446</v>
      </c>
      <c r="D92" s="193">
        <v>1.65</v>
      </c>
      <c r="E92" s="169"/>
      <c r="F92" s="131">
        <f>F111+F126+F141+F156</f>
        <v>8985</v>
      </c>
      <c r="G92" s="193">
        <v>1.65</v>
      </c>
      <c r="H92" s="169"/>
      <c r="I92" s="131">
        <f>I111+I126+I141+I156</f>
        <v>8985</v>
      </c>
      <c r="J92" s="193">
        <v>1.7051426866064399</v>
      </c>
      <c r="K92" s="169"/>
      <c r="L92" s="131">
        <f>L111+L126+L141+L156</f>
        <v>9286</v>
      </c>
      <c r="M92" s="131"/>
      <c r="N92" s="193" t="s">
        <v>0</v>
      </c>
      <c r="O92" s="169"/>
      <c r="P92" s="131">
        <f>N92*C92</f>
        <v>0</v>
      </c>
      <c r="Q92" s="131"/>
      <c r="R92" s="193" t="s">
        <v>0</v>
      </c>
      <c r="S92" s="169"/>
      <c r="T92" s="131">
        <f>R92*C92</f>
        <v>0</v>
      </c>
      <c r="U92" s="131"/>
      <c r="V92" s="195">
        <v>1.7051426866064399</v>
      </c>
      <c r="W92" s="169"/>
      <c r="X92" s="131">
        <f>V92*C92</f>
        <v>9286.2070712586719</v>
      </c>
      <c r="AA92" s="63" t="s">
        <v>0</v>
      </c>
      <c r="AB92" s="63">
        <f t="shared" si="27"/>
        <v>3.3419810064509066E-2</v>
      </c>
      <c r="AC92" s="117"/>
      <c r="AG92" s="135"/>
      <c r="AH92" s="135"/>
      <c r="AI92" s="93"/>
      <c r="AN92" s="53"/>
      <c r="AO92" s="53"/>
      <c r="AP92" s="53"/>
      <c r="AQ92" s="53"/>
      <c r="AR92" s="53"/>
      <c r="AS92" s="53"/>
      <c r="AU92" s="135"/>
    </row>
    <row r="93" spans="1:47">
      <c r="A93" s="199" t="s">
        <v>127</v>
      </c>
      <c r="B93" s="199"/>
      <c r="C93" s="189">
        <f>C112+C127+C142+C157</f>
        <v>723</v>
      </c>
      <c r="D93" s="193">
        <v>3.2</v>
      </c>
      <c r="E93" s="199"/>
      <c r="F93" s="131">
        <f>F112+F127+F142+F157</f>
        <v>2313</v>
      </c>
      <c r="G93" s="193">
        <v>3.2</v>
      </c>
      <c r="H93" s="199"/>
      <c r="I93" s="131">
        <f>I112+I127+I142+I157</f>
        <v>2313</v>
      </c>
      <c r="J93" s="193">
        <v>3.3</v>
      </c>
      <c r="K93" s="199"/>
      <c r="L93" s="131">
        <f>L112+L127+L142+L157</f>
        <v>2386</v>
      </c>
      <c r="M93" s="131"/>
      <c r="N93" s="193" t="s">
        <v>0</v>
      </c>
      <c r="O93" s="199"/>
      <c r="P93" s="131">
        <f t="shared" ref="P93:P94" si="28">N93*C93</f>
        <v>0</v>
      </c>
      <c r="Q93" s="131"/>
      <c r="R93" s="193" t="s">
        <v>0</v>
      </c>
      <c r="S93" s="199"/>
      <c r="T93" s="131">
        <f>R93*C93</f>
        <v>0</v>
      </c>
      <c r="U93" s="131"/>
      <c r="V93" s="193">
        <v>3.3</v>
      </c>
      <c r="W93" s="199"/>
      <c r="X93" s="131">
        <f>V93*C93</f>
        <v>2385.9</v>
      </c>
      <c r="AB93" s="63">
        <f t="shared" si="27"/>
        <v>3.1249999999999889E-2</v>
      </c>
      <c r="AC93" s="117"/>
      <c r="AN93" s="53"/>
      <c r="AO93" s="53"/>
      <c r="AP93" s="53"/>
      <c r="AQ93" s="53"/>
      <c r="AR93" s="53"/>
      <c r="AS93" s="53"/>
      <c r="AU93" s="135"/>
    </row>
    <row r="94" spans="1:47">
      <c r="A94" s="199" t="s">
        <v>128</v>
      </c>
      <c r="B94" s="199"/>
      <c r="C94" s="189">
        <f>C115+C128+C143+C158</f>
        <v>70</v>
      </c>
      <c r="D94" s="200">
        <v>-1.65</v>
      </c>
      <c r="E94" s="199"/>
      <c r="F94" s="131">
        <f>F115+F128+F143+F158</f>
        <v>-116</v>
      </c>
      <c r="G94" s="200">
        <v>-1.65</v>
      </c>
      <c r="H94" s="199"/>
      <c r="I94" s="131">
        <f>I115+I128+I143+I158</f>
        <v>-116</v>
      </c>
      <c r="J94" s="200">
        <f>-J92</f>
        <v>-1.7051426866064399</v>
      </c>
      <c r="K94" s="199"/>
      <c r="L94" s="131">
        <f>L115+L128+L143+L158</f>
        <v>-120</v>
      </c>
      <c r="M94" s="131"/>
      <c r="N94" s="200" t="s">
        <v>0</v>
      </c>
      <c r="O94" s="199"/>
      <c r="P94" s="131">
        <f t="shared" si="28"/>
        <v>0</v>
      </c>
      <c r="Q94" s="131"/>
      <c r="R94" s="200" t="s">
        <v>0</v>
      </c>
      <c r="S94" s="199"/>
      <c r="T94" s="131">
        <f>R94*C94</f>
        <v>0</v>
      </c>
      <c r="U94" s="131"/>
      <c r="V94" s="200">
        <v>-1.7051426866064399</v>
      </c>
      <c r="W94" s="199"/>
      <c r="X94" s="131">
        <f>V94*C94</f>
        <v>-119.3599880624508</v>
      </c>
      <c r="AB94" s="63">
        <f t="shared" si="27"/>
        <v>3.3419810064509066E-2</v>
      </c>
      <c r="AC94" s="117"/>
      <c r="AN94" s="53"/>
      <c r="AO94" s="53"/>
      <c r="AP94" s="53"/>
      <c r="AQ94" s="53"/>
      <c r="AR94" s="53"/>
      <c r="AS94" s="53"/>
      <c r="AU94" s="135"/>
    </row>
    <row r="95" spans="1:47" s="141" customFormat="1" hidden="1">
      <c r="A95" s="140" t="s">
        <v>129</v>
      </c>
      <c r="C95" s="201">
        <f>C90</f>
        <v>673194199.43478608</v>
      </c>
      <c r="D95" s="138"/>
      <c r="E95" s="143"/>
      <c r="F95" s="144"/>
      <c r="G95" s="138"/>
      <c r="H95" s="143"/>
      <c r="I95" s="144"/>
      <c r="J95" s="145">
        <v>0</v>
      </c>
      <c r="K95" s="146" t="s">
        <v>107</v>
      </c>
      <c r="L95" s="144">
        <f>L113+L129+L144+L159</f>
        <v>0</v>
      </c>
      <c r="M95" s="144"/>
      <c r="N95" s="145" t="s">
        <v>0</v>
      </c>
      <c r="O95" s="146" t="s">
        <v>0</v>
      </c>
      <c r="P95" s="131">
        <f>N95*C95/100</f>
        <v>0</v>
      </c>
      <c r="Q95" s="144"/>
      <c r="R95" s="145" t="s">
        <v>0</v>
      </c>
      <c r="S95" s="146" t="s">
        <v>0</v>
      </c>
      <c r="T95" s="131">
        <f>R95*C95/100</f>
        <v>0</v>
      </c>
      <c r="U95" s="144"/>
      <c r="V95" s="195">
        <v>0</v>
      </c>
      <c r="W95" s="146" t="s">
        <v>107</v>
      </c>
      <c r="X95" s="131">
        <f>V95*C95/100</f>
        <v>0</v>
      </c>
      <c r="Y95" s="147">
        <v>58746390.298440829</v>
      </c>
      <c r="Z95" s="132" t="s">
        <v>108</v>
      </c>
      <c r="AC95" s="148"/>
      <c r="AD95" s="148"/>
      <c r="AI95" s="143"/>
      <c r="AJ95" s="143"/>
      <c r="AK95" s="143"/>
      <c r="AL95" s="143"/>
      <c r="AM95" s="143"/>
      <c r="AN95" s="143"/>
      <c r="AO95" s="143"/>
      <c r="AP95" s="143"/>
      <c r="AQ95" s="143"/>
      <c r="AR95" s="143"/>
      <c r="AS95" s="143"/>
      <c r="AU95" s="147"/>
    </row>
    <row r="96" spans="1:47" s="141" customFormat="1" hidden="1">
      <c r="A96" s="140" t="s">
        <v>130</v>
      </c>
      <c r="C96" s="201">
        <f>C91</f>
        <v>905507102.20482838</v>
      </c>
      <c r="D96" s="138"/>
      <c r="E96" s="143"/>
      <c r="F96" s="144"/>
      <c r="G96" s="138"/>
      <c r="H96" s="143"/>
      <c r="I96" s="144"/>
      <c r="J96" s="145">
        <v>0</v>
      </c>
      <c r="K96" s="146" t="s">
        <v>107</v>
      </c>
      <c r="L96" s="144">
        <f>L114+L130+L145+L160</f>
        <v>0</v>
      </c>
      <c r="M96" s="144"/>
      <c r="N96" s="145" t="s">
        <v>0</v>
      </c>
      <c r="O96" s="146" t="s">
        <v>0</v>
      </c>
      <c r="P96" s="131">
        <f>N96*C96/100</f>
        <v>0</v>
      </c>
      <c r="Q96" s="144"/>
      <c r="R96" s="145" t="s">
        <v>0</v>
      </c>
      <c r="S96" s="146" t="s">
        <v>0</v>
      </c>
      <c r="T96" s="131">
        <f>R96*C96/100</f>
        <v>0</v>
      </c>
      <c r="U96" s="144"/>
      <c r="V96" s="195">
        <v>0</v>
      </c>
      <c r="W96" s="146" t="s">
        <v>107</v>
      </c>
      <c r="X96" s="131">
        <f>V96*C96/100</f>
        <v>0</v>
      </c>
      <c r="Y96" s="147"/>
      <c r="Z96" s="132"/>
      <c r="AC96" s="93" t="e">
        <f>(J96-J95)/J95</f>
        <v>#DIV/0!</v>
      </c>
      <c r="AD96" s="148"/>
      <c r="AI96" s="143"/>
      <c r="AJ96" s="143"/>
      <c r="AK96" s="143"/>
      <c r="AL96" s="143"/>
      <c r="AM96" s="143"/>
      <c r="AN96" s="143"/>
      <c r="AO96" s="143"/>
      <c r="AP96" s="143"/>
      <c r="AQ96" s="143"/>
      <c r="AR96" s="143"/>
      <c r="AS96" s="143"/>
      <c r="AU96" s="147"/>
    </row>
    <row r="97" spans="1:47" s="141" customFormat="1" hidden="1">
      <c r="A97" s="202" t="s">
        <v>131</v>
      </c>
      <c r="B97" s="203"/>
      <c r="C97" s="204"/>
      <c r="D97" s="205"/>
      <c r="E97" s="206"/>
      <c r="F97" s="207"/>
      <c r="G97" s="208">
        <f>G90</f>
        <v>6.1989999999999998</v>
      </c>
      <c r="H97" s="209" t="s">
        <v>107</v>
      </c>
      <c r="I97" s="207"/>
      <c r="J97" s="208">
        <f>J90+J95</f>
        <v>6.4249999999999998</v>
      </c>
      <c r="K97" s="209" t="s">
        <v>107</v>
      </c>
      <c r="L97" s="207"/>
      <c r="M97" s="207"/>
      <c r="N97" s="208">
        <f>N90+N95</f>
        <v>1.268605763197487</v>
      </c>
      <c r="O97" s="209" t="s">
        <v>107</v>
      </c>
      <c r="P97" s="207"/>
      <c r="Q97" s="207"/>
      <c r="R97" s="208">
        <f>R90+R95</f>
        <v>1.0211615600347985</v>
      </c>
      <c r="S97" s="209" t="s">
        <v>107</v>
      </c>
      <c r="T97" s="207"/>
      <c r="U97" s="207"/>
      <c r="V97" s="208">
        <f>V90+V95</f>
        <v>4.134232630171204</v>
      </c>
      <c r="W97" s="209" t="s">
        <v>107</v>
      </c>
      <c r="X97" s="207"/>
      <c r="Y97" s="147"/>
      <c r="Z97" s="132"/>
      <c r="AC97" s="148"/>
      <c r="AD97" s="148"/>
      <c r="AI97" s="143"/>
      <c r="AJ97" s="143"/>
      <c r="AK97" s="143"/>
      <c r="AL97" s="143"/>
      <c r="AM97" s="143"/>
      <c r="AN97" s="143"/>
      <c r="AO97" s="143"/>
      <c r="AP97" s="143"/>
      <c r="AQ97" s="143"/>
      <c r="AR97" s="143"/>
      <c r="AS97" s="143"/>
      <c r="AU97" s="147"/>
    </row>
    <row r="98" spans="1:47" s="141" customFormat="1" hidden="1">
      <c r="A98" s="202" t="s">
        <v>132</v>
      </c>
      <c r="B98" s="203"/>
      <c r="C98" s="204"/>
      <c r="D98" s="205"/>
      <c r="E98" s="206"/>
      <c r="F98" s="207"/>
      <c r="G98" s="208">
        <f>G91</f>
        <v>9.8170000000000002</v>
      </c>
      <c r="H98" s="209" t="s">
        <v>107</v>
      </c>
      <c r="I98" s="207"/>
      <c r="J98" s="208">
        <f>J91+J96</f>
        <v>10.166</v>
      </c>
      <c r="K98" s="209" t="s">
        <v>107</v>
      </c>
      <c r="L98" s="207"/>
      <c r="M98" s="207"/>
      <c r="N98" s="208">
        <f>N91+N96</f>
        <v>2.0072601215215515</v>
      </c>
      <c r="O98" s="209" t="s">
        <v>107</v>
      </c>
      <c r="P98" s="207"/>
      <c r="Q98" s="207"/>
      <c r="R98" s="208">
        <f>R91+R96</f>
        <v>1.6157398433397301</v>
      </c>
      <c r="S98" s="209" t="s">
        <v>107</v>
      </c>
      <c r="T98" s="207"/>
      <c r="U98" s="207"/>
      <c r="V98" s="208">
        <f>V91+V96</f>
        <v>6.5430000340185881</v>
      </c>
      <c r="W98" s="209" t="s">
        <v>107</v>
      </c>
      <c r="X98" s="207"/>
      <c r="Y98" s="147"/>
      <c r="Z98" s="132"/>
      <c r="AC98" s="93">
        <f>(J98-J97)/J97</f>
        <v>0.58225680933852153</v>
      </c>
      <c r="AD98" s="148"/>
      <c r="AI98" s="143"/>
      <c r="AJ98" s="143"/>
      <c r="AK98" s="143"/>
      <c r="AL98" s="143"/>
      <c r="AM98" s="143"/>
      <c r="AN98" s="143"/>
      <c r="AO98" s="143"/>
      <c r="AP98" s="143"/>
      <c r="AQ98" s="143"/>
      <c r="AR98" s="143"/>
      <c r="AS98" s="143"/>
      <c r="AU98" s="147"/>
    </row>
    <row r="99" spans="1:47">
      <c r="A99" s="169" t="s">
        <v>133</v>
      </c>
      <c r="B99" s="210"/>
      <c r="C99" s="189">
        <f>C116+C131+C146+C161</f>
        <v>1578701301.6396146</v>
      </c>
      <c r="D99" s="211"/>
      <c r="E99" s="131"/>
      <c r="F99" s="131">
        <f t="shared" ref="F99" si="29">F116+F131+F146+F161</f>
        <v>132855780</v>
      </c>
      <c r="G99" s="211"/>
      <c r="H99" s="131"/>
      <c r="I99" s="131">
        <f>I116+I131+I146+I161</f>
        <v>140367186</v>
      </c>
      <c r="J99" s="131"/>
      <c r="K99" s="131"/>
      <c r="L99" s="131">
        <f t="shared" ref="L99" si="30">L116+L131+L146+L161</f>
        <v>145049195</v>
      </c>
      <c r="M99" s="131"/>
      <c r="N99" s="131"/>
      <c r="O99" s="131"/>
      <c r="P99" s="131">
        <f>SUM(P89:P98)</f>
        <v>36447126.969976604</v>
      </c>
      <c r="Q99" s="131"/>
      <c r="R99" s="131"/>
      <c r="S99" s="131"/>
      <c r="T99" s="131">
        <f>SUM(T89:T98)</f>
        <v>21505039.423606459</v>
      </c>
      <c r="U99" s="131"/>
      <c r="V99" s="131"/>
      <c r="W99" s="131"/>
      <c r="X99" s="131">
        <f>SUM(X89:X98)</f>
        <v>87097028.713016853</v>
      </c>
      <c r="Z99" s="63"/>
      <c r="AN99" s="53"/>
      <c r="AO99" s="53"/>
      <c r="AP99" s="53"/>
      <c r="AQ99" s="53"/>
      <c r="AR99" s="53"/>
      <c r="AS99" s="53"/>
      <c r="AU99" s="135"/>
    </row>
    <row r="100" spans="1:47">
      <c r="A100" s="169" t="s">
        <v>111</v>
      </c>
      <c r="B100" s="212"/>
      <c r="C100" s="213">
        <f>C117+C132+C147+C162</f>
        <v>-5866444.8608882269</v>
      </c>
      <c r="D100" s="154"/>
      <c r="E100" s="154"/>
      <c r="F100" s="152">
        <f>I100</f>
        <v>-279067.18391184526</v>
      </c>
      <c r="G100" s="154"/>
      <c r="H100" s="154"/>
      <c r="I100" s="213">
        <f>I117+I132+I147+I162</f>
        <v>-279067.18391184526</v>
      </c>
      <c r="J100" s="154"/>
      <c r="K100" s="154"/>
      <c r="L100" s="152">
        <f>I100</f>
        <v>-279067.18391184526</v>
      </c>
      <c r="M100" s="153"/>
      <c r="N100" s="154"/>
      <c r="O100" s="154"/>
      <c r="P100" s="152">
        <f>$L$100*Y104/($Y$104+$Z$104+$AA$104)</f>
        <v>-70122.396730853769</v>
      </c>
      <c r="Q100" s="153"/>
      <c r="R100" s="154"/>
      <c r="S100" s="154"/>
      <c r="T100" s="152">
        <f>$L$100*Z104/($Y$104+$Z$104+$AA$104)</f>
        <v>-41374.588751485775</v>
      </c>
      <c r="U100" s="153"/>
      <c r="V100" s="154"/>
      <c r="W100" s="154"/>
      <c r="X100" s="152">
        <f>$L$100*AA104/($Y$104+$Z$104+$AA$104)</f>
        <v>-167570.19842950572</v>
      </c>
      <c r="AN100" s="53"/>
      <c r="AO100" s="53"/>
      <c r="AP100" s="53"/>
      <c r="AQ100" s="53"/>
      <c r="AR100" s="53"/>
      <c r="AS100" s="53"/>
      <c r="AU100" s="135"/>
    </row>
    <row r="101" spans="1:47" ht="16.5" thickBot="1">
      <c r="A101" s="169" t="s">
        <v>134</v>
      </c>
      <c r="B101" s="169"/>
      <c r="C101" s="214">
        <f>C99+C100</f>
        <v>1572834856.7787263</v>
      </c>
      <c r="D101" s="158"/>
      <c r="E101" s="158"/>
      <c r="F101" s="158">
        <f>F99+F100</f>
        <v>132576712.81608815</v>
      </c>
      <c r="G101" s="158"/>
      <c r="H101" s="158"/>
      <c r="I101" s="158">
        <f>I99+I100</f>
        <v>140088118.81608814</v>
      </c>
      <c r="J101" s="158"/>
      <c r="K101" s="158"/>
      <c r="L101" s="158">
        <f>L99+L100</f>
        <v>144770127.81608814</v>
      </c>
      <c r="M101" s="158"/>
      <c r="N101" s="158"/>
      <c r="O101" s="158"/>
      <c r="P101" s="158">
        <f>P99+P100</f>
        <v>36377004.573245749</v>
      </c>
      <c r="Q101" s="158"/>
      <c r="R101" s="158"/>
      <c r="S101" s="158"/>
      <c r="T101" s="158">
        <f>T99+T100</f>
        <v>21463664.834854972</v>
      </c>
      <c r="U101" s="158"/>
      <c r="V101" s="158"/>
      <c r="W101" s="158"/>
      <c r="X101" s="158">
        <f>X99+X100</f>
        <v>86929458.514587343</v>
      </c>
      <c r="Y101" s="159" t="s">
        <v>113</v>
      </c>
      <c r="Z101" s="215">
        <v>144769837.13921618</v>
      </c>
      <c r="AA101" s="161">
        <v>3.3419810064509205E-2</v>
      </c>
      <c r="AB101" s="162"/>
      <c r="AC101" s="139" t="s">
        <v>0</v>
      </c>
      <c r="AD101" s="139" t="s">
        <v>0</v>
      </c>
      <c r="AN101" s="53"/>
      <c r="AO101" s="53"/>
      <c r="AP101" s="53"/>
      <c r="AQ101" s="53"/>
      <c r="AR101" s="53"/>
      <c r="AS101" s="53"/>
      <c r="AU101" s="135"/>
    </row>
    <row r="102" spans="1:47" ht="16.5" thickTop="1">
      <c r="A102" s="169"/>
      <c r="B102" s="169"/>
      <c r="C102" s="164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 t="s">
        <v>0</v>
      </c>
      <c r="Y102" s="170" t="s">
        <v>115</v>
      </c>
      <c r="Z102" s="171">
        <f>Z101-L101</f>
        <v>-290.67687195539474</v>
      </c>
      <c r="AA102" s="172">
        <v>1.6049999999999998E-2</v>
      </c>
      <c r="AB102" s="162"/>
      <c r="AC102" s="139"/>
      <c r="AD102" s="139"/>
      <c r="AN102" s="53"/>
      <c r="AO102" s="53"/>
      <c r="AP102" s="53"/>
      <c r="AQ102" s="53"/>
      <c r="AR102" s="53"/>
      <c r="AS102" s="53"/>
      <c r="AU102" s="135"/>
    </row>
    <row r="103" spans="1:47" hidden="1">
      <c r="A103" s="169"/>
      <c r="B103" s="169"/>
      <c r="C103" s="164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>
        <f>X102-L101</f>
        <v>-144770127.81608814</v>
      </c>
      <c r="Y103" s="216">
        <v>0.25127424782773733</v>
      </c>
      <c r="Z103" s="173">
        <v>0.14826031556815231</v>
      </c>
      <c r="AA103" s="217">
        <v>0.60046543660411034</v>
      </c>
      <c r="AB103" s="162"/>
      <c r="AC103" s="139"/>
      <c r="AD103" s="139"/>
      <c r="AN103" s="53"/>
      <c r="AO103" s="53"/>
      <c r="AP103" s="53"/>
      <c r="AQ103" s="53"/>
      <c r="AR103" s="53"/>
      <c r="AS103" s="53"/>
      <c r="AU103" s="135"/>
    </row>
    <row r="104" spans="1:47" hidden="1">
      <c r="A104" s="169"/>
      <c r="B104" s="218"/>
      <c r="C104" s="189"/>
      <c r="D104" s="169" t="s">
        <v>0</v>
      </c>
      <c r="E104" s="189"/>
      <c r="G104" s="169" t="s">
        <v>0</v>
      </c>
      <c r="H104" s="169"/>
      <c r="J104" s="169" t="s">
        <v>0</v>
      </c>
      <c r="K104" s="169"/>
      <c r="L104" s="131"/>
      <c r="M104" s="131"/>
      <c r="N104" s="169" t="s">
        <v>0</v>
      </c>
      <c r="O104" s="169"/>
      <c r="Y104" s="147">
        <f>Y103*$L$101</f>
        <v>36377004.974912941</v>
      </c>
      <c r="Z104" s="147">
        <f t="shared" ref="Z104:AA104" si="31">Z103*$L$101</f>
        <v>21463664.834854972</v>
      </c>
      <c r="AA104" s="147">
        <f t="shared" si="31"/>
        <v>86929458.006320223</v>
      </c>
      <c r="AB104" s="219"/>
      <c r="AN104" s="53"/>
      <c r="AO104" s="53"/>
      <c r="AP104" s="53"/>
      <c r="AQ104" s="53"/>
      <c r="AR104" s="53"/>
      <c r="AS104" s="53"/>
      <c r="AU104" s="135"/>
    </row>
    <row r="105" spans="1:47">
      <c r="A105" s="188" t="s">
        <v>135</v>
      </c>
      <c r="B105" s="169"/>
      <c r="C105" s="169" t="s">
        <v>0</v>
      </c>
      <c r="D105" s="189"/>
      <c r="E105" s="189"/>
      <c r="F105" s="169"/>
      <c r="G105" s="189"/>
      <c r="H105" s="169"/>
      <c r="I105" s="169"/>
      <c r="J105" s="189"/>
      <c r="K105" s="169"/>
      <c r="L105" s="220" t="s">
        <v>0</v>
      </c>
      <c r="M105" s="169"/>
      <c r="N105" s="189"/>
      <c r="O105" s="169"/>
      <c r="P105" s="169"/>
      <c r="Q105" s="169"/>
      <c r="R105" s="189"/>
      <c r="S105" s="169"/>
      <c r="T105" s="169"/>
      <c r="U105" s="169"/>
      <c r="V105" s="189"/>
      <c r="W105" s="169"/>
      <c r="X105" s="169"/>
      <c r="Y105" s="131"/>
      <c r="Z105" s="131"/>
      <c r="AA105" s="131"/>
      <c r="AB105" s="169"/>
      <c r="AD105" s="131"/>
      <c r="AE105" s="169" t="s">
        <v>0</v>
      </c>
      <c r="AF105" s="169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U105" s="135"/>
    </row>
    <row r="106" spans="1:47">
      <c r="A106" s="169" t="s">
        <v>46</v>
      </c>
      <c r="B106" s="169"/>
      <c r="C106" s="169" t="s">
        <v>0</v>
      </c>
      <c r="D106" s="189"/>
      <c r="E106" s="189"/>
      <c r="F106" s="169"/>
      <c r="G106" s="189"/>
      <c r="H106" s="169"/>
      <c r="I106" s="169"/>
      <c r="J106" s="189"/>
      <c r="K106" s="169"/>
      <c r="L106" s="169"/>
      <c r="M106" s="169"/>
      <c r="N106" s="189"/>
      <c r="O106" s="169"/>
      <c r="P106" s="169" t="s">
        <v>0</v>
      </c>
      <c r="Q106" s="169"/>
      <c r="R106" s="189"/>
      <c r="S106" s="169"/>
      <c r="T106" s="169"/>
      <c r="U106" s="169"/>
      <c r="V106" s="189"/>
      <c r="W106" s="169"/>
      <c r="X106" s="169"/>
      <c r="Y106" s="53"/>
      <c r="Z106" s="110"/>
      <c r="AA106" s="110"/>
      <c r="AB106" s="110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U106" s="135"/>
    </row>
    <row r="107" spans="1:47">
      <c r="A107" s="221" t="s">
        <v>136</v>
      </c>
      <c r="B107" s="169"/>
      <c r="C107" s="169"/>
      <c r="D107" s="189"/>
      <c r="E107" s="189"/>
      <c r="F107" s="169"/>
      <c r="G107" s="189"/>
      <c r="H107" s="169"/>
      <c r="I107" s="169"/>
      <c r="J107" s="189"/>
      <c r="K107" s="169"/>
      <c r="L107" s="169"/>
      <c r="M107" s="169"/>
      <c r="N107" s="189"/>
      <c r="O107" s="169"/>
      <c r="P107" s="169"/>
      <c r="Q107" s="169"/>
      <c r="R107" s="189"/>
      <c r="S107" s="169"/>
      <c r="T107" s="169"/>
      <c r="U107" s="169"/>
      <c r="V107" s="189"/>
      <c r="W107" s="169"/>
      <c r="X107" s="169"/>
      <c r="Y107" s="53"/>
      <c r="Z107" s="110"/>
      <c r="AA107" s="110"/>
      <c r="AB107" s="110"/>
      <c r="AC107" s="222" t="s">
        <v>0</v>
      </c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U107" s="135"/>
    </row>
    <row r="108" spans="1:47">
      <c r="A108" s="169" t="s">
        <v>123</v>
      </c>
      <c r="B108" s="169"/>
      <c r="C108" s="189">
        <v>1203932.9121504687</v>
      </c>
      <c r="D108" s="193">
        <v>6</v>
      </c>
      <c r="E108" s="169"/>
      <c r="F108" s="131">
        <f>ROUND(D108*$C108,0)</f>
        <v>7223597</v>
      </c>
      <c r="G108" s="193">
        <v>7.75</v>
      </c>
      <c r="H108" s="169"/>
      <c r="I108" s="131">
        <f>ROUND(G108*C108,0)</f>
        <v>9330480</v>
      </c>
      <c r="J108" s="193">
        <f>$J$89</f>
        <v>7.75</v>
      </c>
      <c r="K108" s="169"/>
      <c r="L108" s="131">
        <f>ROUND(J108*$C108,0)</f>
        <v>9330480</v>
      </c>
      <c r="M108" s="131"/>
      <c r="N108" s="193">
        <f>N89</f>
        <v>7.75</v>
      </c>
      <c r="O108" s="169"/>
      <c r="P108" s="131">
        <v>9330480.0691661313</v>
      </c>
      <c r="Q108" s="131"/>
      <c r="R108" s="193" t="str">
        <f>$R$89</f>
        <v xml:space="preserve"> </v>
      </c>
      <c r="S108" s="169"/>
      <c r="T108" s="131">
        <v>0</v>
      </c>
      <c r="U108" s="131"/>
      <c r="V108" s="193" t="str">
        <f>$V$89</f>
        <v xml:space="preserve"> </v>
      </c>
      <c r="W108" s="169"/>
      <c r="X108" s="131">
        <v>0</v>
      </c>
      <c r="Y108" s="53"/>
      <c r="Z108" s="110"/>
      <c r="AA108" s="110"/>
      <c r="AB108" s="110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U108" s="135"/>
    </row>
    <row r="109" spans="1:47">
      <c r="A109" s="169" t="s">
        <v>124</v>
      </c>
      <c r="B109" s="169"/>
      <c r="C109" s="189">
        <v>644426915.35797787</v>
      </c>
      <c r="D109" s="195">
        <v>5.9489999999999998</v>
      </c>
      <c r="E109" s="169" t="s">
        <v>107</v>
      </c>
      <c r="F109" s="131">
        <f>ROUND(D109*$C109/100,0)</f>
        <v>38336957</v>
      </c>
      <c r="G109" s="195">
        <v>6.1989999999999998</v>
      </c>
      <c r="H109" s="169" t="s">
        <v>107</v>
      </c>
      <c r="I109" s="131">
        <f>ROUND(C109*G109/100,0)</f>
        <v>39948024</v>
      </c>
      <c r="J109" s="195">
        <f>$J$90</f>
        <v>6.4249999999999998</v>
      </c>
      <c r="K109" s="169" t="s">
        <v>107</v>
      </c>
      <c r="L109" s="131">
        <f>ROUND(J109*$C109/100,0)</f>
        <v>41404429</v>
      </c>
      <c r="M109" s="131"/>
      <c r="N109" s="195">
        <f>N90</f>
        <v>1.268605763197487</v>
      </c>
      <c r="O109" s="169" t="s">
        <v>107</v>
      </c>
      <c r="P109" s="131">
        <v>8175236.987827098</v>
      </c>
      <c r="Q109" s="131"/>
      <c r="R109" s="195">
        <f>R90</f>
        <v>1.0211615600347985</v>
      </c>
      <c r="S109" s="169" t="s">
        <v>107</v>
      </c>
      <c r="T109" s="131">
        <v>6580640</v>
      </c>
      <c r="U109" s="131"/>
      <c r="V109" s="195">
        <f>V90</f>
        <v>4.134232630171204</v>
      </c>
      <c r="W109" s="169" t="s">
        <v>107</v>
      </c>
      <c r="X109" s="131">
        <v>26642108</v>
      </c>
      <c r="Y109" s="53"/>
      <c r="Z109" s="110"/>
      <c r="AA109" s="110"/>
      <c r="AB109" s="110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U109" s="135"/>
    </row>
    <row r="110" spans="1:47">
      <c r="A110" s="169" t="s">
        <v>125</v>
      </c>
      <c r="B110" s="189"/>
      <c r="C110" s="189">
        <v>866994099.18169856</v>
      </c>
      <c r="D110" s="195">
        <v>9.4159999999999986</v>
      </c>
      <c r="E110" s="169" t="s">
        <v>107</v>
      </c>
      <c r="F110" s="131">
        <f>ROUND(D110*$C110/100,0)</f>
        <v>81636164</v>
      </c>
      <c r="G110" s="195">
        <v>9.8170000000000002</v>
      </c>
      <c r="H110" s="169" t="s">
        <v>107</v>
      </c>
      <c r="I110" s="131">
        <f>ROUND(C110*G110/100,0)</f>
        <v>85112811</v>
      </c>
      <c r="J110" s="195">
        <f>$J$91</f>
        <v>10.166</v>
      </c>
      <c r="K110" s="169" t="s">
        <v>107</v>
      </c>
      <c r="L110" s="131">
        <f>ROUND(J110*$C110/100,0)</f>
        <v>88138620</v>
      </c>
      <c r="M110" s="131"/>
      <c r="N110" s="195">
        <f>N91</f>
        <v>2.0072601215215515</v>
      </c>
      <c r="O110" s="169" t="s">
        <v>107</v>
      </c>
      <c r="P110" s="131">
        <v>17402826.808819246</v>
      </c>
      <c r="Q110" s="131"/>
      <c r="R110" s="195">
        <f>R91</f>
        <v>1.6157398433397301</v>
      </c>
      <c r="S110" s="169" t="s">
        <v>107</v>
      </c>
      <c r="T110" s="131">
        <v>14008369</v>
      </c>
      <c r="U110" s="131"/>
      <c r="V110" s="195">
        <f>V91</f>
        <v>6.5430000340185881</v>
      </c>
      <c r="W110" s="169" t="s">
        <v>107</v>
      </c>
      <c r="X110" s="131">
        <v>56727424</v>
      </c>
      <c r="Y110" s="53"/>
      <c r="Z110" s="110"/>
      <c r="AA110" s="110"/>
      <c r="AB110" s="110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U110" s="135"/>
    </row>
    <row r="111" spans="1:47">
      <c r="A111" s="169" t="s">
        <v>126</v>
      </c>
      <c r="B111" s="169"/>
      <c r="C111" s="189">
        <v>0</v>
      </c>
      <c r="D111" s="193">
        <v>1.65</v>
      </c>
      <c r="E111" s="169"/>
      <c r="F111" s="131">
        <f>ROUND(D111*$C111,0)</f>
        <v>0</v>
      </c>
      <c r="G111" s="193">
        <v>1.65</v>
      </c>
      <c r="H111" s="169"/>
      <c r="I111" s="131">
        <v>0</v>
      </c>
      <c r="J111" s="193">
        <f>$J$92</f>
        <v>1.7051426866064399</v>
      </c>
      <c r="K111" s="169"/>
      <c r="L111" s="131">
        <f>ROUND(J111*$C111,0)</f>
        <v>0</v>
      </c>
      <c r="M111" s="131"/>
      <c r="N111" s="193" t="str">
        <f>N92</f>
        <v xml:space="preserve"> </v>
      </c>
      <c r="O111" s="169"/>
      <c r="P111" s="131">
        <v>0</v>
      </c>
      <c r="Q111" s="131"/>
      <c r="R111" s="193" t="str">
        <f>R92</f>
        <v xml:space="preserve"> </v>
      </c>
      <c r="S111" s="169"/>
      <c r="T111" s="131">
        <v>0</v>
      </c>
      <c r="U111" s="131"/>
      <c r="V111" s="193">
        <f>V92</f>
        <v>1.7051426866064399</v>
      </c>
      <c r="W111" s="169"/>
      <c r="X111" s="131">
        <v>0</v>
      </c>
      <c r="Y111" s="53"/>
      <c r="Z111" s="110"/>
      <c r="AA111" s="110"/>
      <c r="AB111" s="110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U111" s="135"/>
    </row>
    <row r="112" spans="1:47">
      <c r="A112" s="199" t="s">
        <v>127</v>
      </c>
      <c r="B112" s="199"/>
      <c r="C112" s="189">
        <v>0</v>
      </c>
      <c r="D112" s="193">
        <v>3.2</v>
      </c>
      <c r="E112" s="199"/>
      <c r="F112" s="131">
        <f>ROUND(D112*$C112,0)</f>
        <v>0</v>
      </c>
      <c r="G112" s="193">
        <v>3.2</v>
      </c>
      <c r="H112" s="199"/>
      <c r="I112" s="131">
        <v>0</v>
      </c>
      <c r="J112" s="193">
        <f>$J$93</f>
        <v>3.3</v>
      </c>
      <c r="K112" s="199"/>
      <c r="L112" s="131">
        <f>ROUND(J112*$C112,0)</f>
        <v>0</v>
      </c>
      <c r="M112" s="131"/>
      <c r="N112" s="193" t="str">
        <f>N93</f>
        <v xml:space="preserve"> </v>
      </c>
      <c r="O112" s="199"/>
      <c r="P112" s="131">
        <v>0</v>
      </c>
      <c r="Q112" s="131"/>
      <c r="R112" s="193" t="str">
        <f t="shared" ref="R112:R115" si="32">R93</f>
        <v xml:space="preserve"> </v>
      </c>
      <c r="S112" s="199"/>
      <c r="T112" s="131">
        <v>0</v>
      </c>
      <c r="U112" s="131"/>
      <c r="V112" s="193">
        <f>V93</f>
        <v>3.3</v>
      </c>
      <c r="W112" s="199"/>
      <c r="X112" s="131">
        <v>0</v>
      </c>
      <c r="Y112" s="53"/>
      <c r="Z112" s="110"/>
      <c r="AA112" s="110"/>
      <c r="AB112" s="110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U112" s="135"/>
    </row>
    <row r="113" spans="1:47" s="141" customFormat="1" hidden="1">
      <c r="A113" s="140" t="s">
        <v>129</v>
      </c>
      <c r="C113" s="142">
        <f>C109</f>
        <v>644426915.35797787</v>
      </c>
      <c r="D113" s="138"/>
      <c r="E113" s="143"/>
      <c r="F113" s="144"/>
      <c r="G113" s="138"/>
      <c r="H113" s="143"/>
      <c r="I113" s="144"/>
      <c r="J113" s="145">
        <f>J95</f>
        <v>0</v>
      </c>
      <c r="K113" s="146" t="s">
        <v>107</v>
      </c>
      <c r="L113" s="144">
        <f t="shared" ref="L113:L114" si="33">J113*C113/100</f>
        <v>0</v>
      </c>
      <c r="M113" s="144"/>
      <c r="N113" s="145" t="str">
        <f>N95</f>
        <v xml:space="preserve"> </v>
      </c>
      <c r="O113" s="146" t="s">
        <v>0</v>
      </c>
      <c r="P113" s="131">
        <v>0</v>
      </c>
      <c r="Q113" s="144"/>
      <c r="R113" s="193" t="str">
        <f t="shared" si="32"/>
        <v xml:space="preserve"> </v>
      </c>
      <c r="S113" s="146" t="s">
        <v>0</v>
      </c>
      <c r="T113" s="131">
        <v>0</v>
      </c>
      <c r="U113" s="144"/>
      <c r="V113" s="145">
        <f>J113</f>
        <v>0</v>
      </c>
      <c r="W113" s="146" t="s">
        <v>107</v>
      </c>
      <c r="X113" s="131">
        <v>0</v>
      </c>
      <c r="Z113" s="132"/>
      <c r="AC113" s="148"/>
      <c r="AD113" s="148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U113" s="147"/>
    </row>
    <row r="114" spans="1:47" s="141" customFormat="1" hidden="1">
      <c r="A114" s="140" t="s">
        <v>130</v>
      </c>
      <c r="C114" s="142">
        <f>C110</f>
        <v>866994099.18169856</v>
      </c>
      <c r="D114" s="138"/>
      <c r="E114" s="143"/>
      <c r="F114" s="144"/>
      <c r="G114" s="138"/>
      <c r="H114" s="143"/>
      <c r="I114" s="144"/>
      <c r="J114" s="145">
        <f>J96</f>
        <v>0</v>
      </c>
      <c r="K114" s="146" t="s">
        <v>107</v>
      </c>
      <c r="L114" s="144">
        <f t="shared" si="33"/>
        <v>0</v>
      </c>
      <c r="M114" s="144"/>
      <c r="N114" s="145" t="str">
        <f>N96</f>
        <v xml:space="preserve"> </v>
      </c>
      <c r="O114" s="146" t="s">
        <v>0</v>
      </c>
      <c r="P114" s="131">
        <v>0</v>
      </c>
      <c r="Q114" s="144"/>
      <c r="R114" s="193" t="str">
        <f t="shared" si="32"/>
        <v xml:space="preserve"> </v>
      </c>
      <c r="S114" s="146" t="s">
        <v>0</v>
      </c>
      <c r="T114" s="131">
        <v>0</v>
      </c>
      <c r="U114" s="144"/>
      <c r="V114" s="145">
        <f>J114</f>
        <v>0</v>
      </c>
      <c r="W114" s="146" t="s">
        <v>107</v>
      </c>
      <c r="X114" s="131">
        <v>0</v>
      </c>
      <c r="Z114" s="132"/>
      <c r="AC114" s="148"/>
      <c r="AD114" s="148"/>
      <c r="AI114" s="143"/>
      <c r="AJ114" s="143"/>
      <c r="AK114" s="143"/>
      <c r="AL114" s="143"/>
      <c r="AM114" s="143"/>
      <c r="AN114" s="143"/>
      <c r="AO114" s="143"/>
      <c r="AP114" s="143"/>
      <c r="AQ114" s="143"/>
      <c r="AR114" s="143"/>
      <c r="AS114" s="143"/>
      <c r="AU114" s="147"/>
    </row>
    <row r="115" spans="1:47">
      <c r="A115" s="199" t="s">
        <v>128</v>
      </c>
      <c r="B115" s="199"/>
      <c r="C115" s="189">
        <v>0</v>
      </c>
      <c r="D115" s="200">
        <v>-1.65</v>
      </c>
      <c r="E115" s="199"/>
      <c r="F115" s="131">
        <f>ROUND(D115*$C115,0)</f>
        <v>0</v>
      </c>
      <c r="G115" s="200">
        <v>-1.65</v>
      </c>
      <c r="H115" s="199"/>
      <c r="I115" s="131">
        <v>0</v>
      </c>
      <c r="J115" s="200">
        <f>-J111</f>
        <v>-1.7051426866064399</v>
      </c>
      <c r="K115" s="199"/>
      <c r="L115" s="131">
        <f>ROUND(J115*$C115,0)</f>
        <v>0</v>
      </c>
      <c r="M115" s="131"/>
      <c r="N115" s="200" t="str">
        <f>N94</f>
        <v xml:space="preserve"> </v>
      </c>
      <c r="O115" s="199"/>
      <c r="P115" s="131">
        <v>0</v>
      </c>
      <c r="Q115" s="131"/>
      <c r="R115" s="193" t="str">
        <f t="shared" si="32"/>
        <v xml:space="preserve"> </v>
      </c>
      <c r="S115" s="199"/>
      <c r="T115" s="131">
        <v>0</v>
      </c>
      <c r="U115" s="131"/>
      <c r="V115" s="200">
        <f>-V111</f>
        <v>-1.7051426866064399</v>
      </c>
      <c r="W115" s="199"/>
      <c r="X115" s="131">
        <v>0</v>
      </c>
      <c r="Y115" s="53"/>
      <c r="Z115" s="110"/>
      <c r="AA115" s="110"/>
      <c r="AB115" s="110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U115" s="135"/>
    </row>
    <row r="116" spans="1:47">
      <c r="A116" s="169" t="s">
        <v>133</v>
      </c>
      <c r="B116" s="210"/>
      <c r="C116" s="189">
        <f>SUM(C109:C110)</f>
        <v>1511421014.5396764</v>
      </c>
      <c r="D116" s="211"/>
      <c r="E116" s="131"/>
      <c r="F116" s="131">
        <f>SUM(F108:F115)</f>
        <v>127196718</v>
      </c>
      <c r="G116" s="211"/>
      <c r="H116" s="131"/>
      <c r="I116" s="131">
        <f>SUM(I108:I115)</f>
        <v>134391315</v>
      </c>
      <c r="J116" s="131"/>
      <c r="K116" s="131"/>
      <c r="L116" s="131">
        <f>SUM(L108:L115)</f>
        <v>138873529</v>
      </c>
      <c r="M116" s="131"/>
      <c r="N116" s="131"/>
      <c r="O116" s="131"/>
      <c r="P116" s="131">
        <f>SUM(P108:P115)</f>
        <v>34908543.86581248</v>
      </c>
      <c r="Q116" s="131"/>
      <c r="R116" s="131"/>
      <c r="S116" s="131"/>
      <c r="T116" s="131">
        <f>SUM(T108:T115)</f>
        <v>20589009</v>
      </c>
      <c r="U116" s="131"/>
      <c r="V116" s="131"/>
      <c r="W116" s="131"/>
      <c r="X116" s="131">
        <f>SUM(X108:X115)</f>
        <v>83369532</v>
      </c>
      <c r="Y116" s="53"/>
      <c r="Z116" s="153"/>
      <c r="AA116" s="110"/>
      <c r="AB116" s="110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U116" s="135"/>
    </row>
    <row r="117" spans="1:47">
      <c r="A117" s="169" t="s">
        <v>111</v>
      </c>
      <c r="B117" s="212"/>
      <c r="C117" s="223">
        <v>-5617739.7424748819</v>
      </c>
      <c r="D117" s="154"/>
      <c r="E117" s="154"/>
      <c r="F117" s="152">
        <f>I117</f>
        <v>-267238.32128544542</v>
      </c>
      <c r="G117" s="154"/>
      <c r="H117" s="154"/>
      <c r="I117" s="213">
        <v>-267238.32128544542</v>
      </c>
      <c r="J117" s="154"/>
      <c r="K117" s="154"/>
      <c r="L117" s="152">
        <f>I117</f>
        <v>-267238.32128544542</v>
      </c>
      <c r="M117" s="153"/>
      <c r="N117" s="154"/>
      <c r="O117" s="154"/>
      <c r="P117" s="152">
        <f>L117/$L$100*$P$100</f>
        <v>-67150.108171747517</v>
      </c>
      <c r="Q117" s="153"/>
      <c r="R117" s="154"/>
      <c r="S117" s="154"/>
      <c r="T117" s="152">
        <f>L117/$L$100*$T$100</f>
        <v>-39620.837845683411</v>
      </c>
      <c r="U117" s="153"/>
      <c r="V117" s="154"/>
      <c r="W117" s="154"/>
      <c r="X117" s="152">
        <f>L117/$L$100*$X$100</f>
        <v>-160467.3752680145</v>
      </c>
      <c r="Y117" s="185"/>
      <c r="Z117" s="183"/>
      <c r="AA117" s="110"/>
      <c r="AB117" s="110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U117" s="135"/>
    </row>
    <row r="118" spans="1:47" ht="16.5" thickBot="1">
      <c r="A118" s="169" t="s">
        <v>134</v>
      </c>
      <c r="B118" s="169"/>
      <c r="C118" s="214">
        <f>C116+C117</f>
        <v>1505803274.7972016</v>
      </c>
      <c r="D118" s="158"/>
      <c r="E118" s="158"/>
      <c r="F118" s="158">
        <f>F116+F117</f>
        <v>126929479.67871456</v>
      </c>
      <c r="G118" s="158"/>
      <c r="H118" s="158"/>
      <c r="I118" s="158">
        <f>SUM(I116:I117)</f>
        <v>134124076.67871456</v>
      </c>
      <c r="J118" s="158"/>
      <c r="K118" s="158"/>
      <c r="L118" s="158">
        <f>L116+L117</f>
        <v>138606290.67871454</v>
      </c>
      <c r="M118" s="158"/>
      <c r="N118" s="158"/>
      <c r="O118" s="158"/>
      <c r="P118" s="158">
        <f>P116+P117</f>
        <v>34841393.757640734</v>
      </c>
      <c r="Q118" s="158"/>
      <c r="R118" s="158"/>
      <c r="S118" s="158"/>
      <c r="T118" s="158">
        <f>T116+T117</f>
        <v>20549388.162154317</v>
      </c>
      <c r="U118" s="158"/>
      <c r="V118" s="158"/>
      <c r="W118" s="158"/>
      <c r="X118" s="158">
        <f>X116+$X$117</f>
        <v>83209064.624731988</v>
      </c>
      <c r="Y118" s="186"/>
      <c r="Z118" s="187"/>
      <c r="AA118" s="110"/>
      <c r="AB118" s="110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U118" s="135"/>
    </row>
    <row r="119" spans="1:47" ht="16.5" thickTop="1">
      <c r="A119" s="169"/>
      <c r="B119" s="218"/>
      <c r="C119" s="189"/>
      <c r="D119" s="169" t="s">
        <v>0</v>
      </c>
      <c r="E119" s="189"/>
      <c r="G119" s="169" t="s">
        <v>0</v>
      </c>
      <c r="H119" s="169"/>
      <c r="I119" s="135" t="s">
        <v>0</v>
      </c>
      <c r="J119" s="169" t="s">
        <v>0</v>
      </c>
      <c r="K119" s="169"/>
      <c r="L119" s="131" t="s">
        <v>0</v>
      </c>
      <c r="M119" s="131"/>
      <c r="N119" s="169" t="s">
        <v>0</v>
      </c>
      <c r="O119" s="169"/>
      <c r="P119" s="131" t="s">
        <v>0</v>
      </c>
      <c r="Q119" s="131"/>
      <c r="R119" s="169" t="s">
        <v>0</v>
      </c>
      <c r="S119" s="169"/>
      <c r="T119" s="131" t="s">
        <v>0</v>
      </c>
      <c r="U119" s="131"/>
      <c r="V119" s="169" t="s">
        <v>0</v>
      </c>
      <c r="W119" s="169"/>
      <c r="X119" s="131" t="s">
        <v>0</v>
      </c>
      <c r="Y119" s="53"/>
      <c r="Z119" s="110"/>
      <c r="AA119" s="110"/>
      <c r="AB119" s="110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U119" s="135"/>
    </row>
    <row r="120" spans="1:47">
      <c r="A120" s="188" t="s">
        <v>137</v>
      </c>
      <c r="B120" s="169"/>
      <c r="C120" s="169" t="s">
        <v>0</v>
      </c>
      <c r="D120" s="189"/>
      <c r="E120" s="189"/>
      <c r="F120" s="169"/>
      <c r="G120" s="189"/>
      <c r="H120" s="169"/>
      <c r="I120" s="169"/>
      <c r="J120" s="189"/>
      <c r="K120" s="169"/>
      <c r="L120" s="169"/>
      <c r="M120" s="169"/>
      <c r="N120" s="189"/>
      <c r="O120" s="169"/>
      <c r="P120" s="169"/>
      <c r="Q120" s="169"/>
      <c r="R120" s="189"/>
      <c r="S120" s="169"/>
      <c r="T120" s="169"/>
      <c r="U120" s="169"/>
      <c r="V120" s="189"/>
      <c r="W120" s="169"/>
      <c r="X120" s="169"/>
      <c r="Y120" s="53"/>
      <c r="Z120" s="110"/>
      <c r="AA120" s="110"/>
      <c r="AB120" s="110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U120" s="135"/>
    </row>
    <row r="121" spans="1:47">
      <c r="A121" s="169" t="s">
        <v>46</v>
      </c>
      <c r="B121" s="169"/>
      <c r="C121" s="169"/>
      <c r="D121" s="189"/>
      <c r="E121" s="189"/>
      <c r="F121" s="169"/>
      <c r="G121" s="189"/>
      <c r="H121" s="169"/>
      <c r="I121" s="169"/>
      <c r="J121" s="189"/>
      <c r="K121" s="169"/>
      <c r="L121" s="169"/>
      <c r="M121" s="169"/>
      <c r="N121" s="189"/>
      <c r="O121" s="169"/>
      <c r="P121" s="169"/>
      <c r="Q121" s="169"/>
      <c r="R121" s="189"/>
      <c r="S121" s="169"/>
      <c r="T121" s="169"/>
      <c r="U121" s="169"/>
      <c r="V121" s="189"/>
      <c r="W121" s="169"/>
      <c r="X121" s="169"/>
      <c r="Y121" s="53"/>
      <c r="Z121" s="110"/>
      <c r="AA121" s="110"/>
      <c r="AB121" s="110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U121" s="135"/>
    </row>
    <row r="122" spans="1:47">
      <c r="A122" s="191"/>
      <c r="B122" s="169"/>
      <c r="C122" s="169"/>
      <c r="D122" s="189"/>
      <c r="E122" s="189"/>
      <c r="F122" s="169"/>
      <c r="G122" s="189"/>
      <c r="H122" s="169"/>
      <c r="I122" s="169"/>
      <c r="J122" s="189"/>
      <c r="K122" s="169"/>
      <c r="L122" s="169"/>
      <c r="M122" s="169"/>
      <c r="N122" s="189"/>
      <c r="O122" s="169"/>
      <c r="P122" s="169"/>
      <c r="Q122" s="169"/>
      <c r="R122" s="189"/>
      <c r="S122" s="169"/>
      <c r="T122" s="169"/>
      <c r="U122" s="169"/>
      <c r="V122" s="189"/>
      <c r="W122" s="169"/>
      <c r="X122" s="169"/>
      <c r="Y122" s="53"/>
      <c r="Z122" s="110"/>
      <c r="AA122" s="110"/>
      <c r="AB122" s="110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U122" s="135"/>
    </row>
    <row r="123" spans="1:47">
      <c r="A123" s="169" t="s">
        <v>123</v>
      </c>
      <c r="B123" s="169"/>
      <c r="C123" s="189">
        <v>50454.485322581</v>
      </c>
      <c r="D123" s="193">
        <v>6</v>
      </c>
      <c r="E123" s="169"/>
      <c r="F123" s="131">
        <f>ROUND(D123*$C123,0)</f>
        <v>302727</v>
      </c>
      <c r="G123" s="193">
        <v>7.75</v>
      </c>
      <c r="H123" s="169"/>
      <c r="I123" s="131">
        <f>ROUND(G123*C123,0)</f>
        <v>391022</v>
      </c>
      <c r="J123" s="193">
        <f>G123</f>
        <v>7.75</v>
      </c>
      <c r="K123" s="169"/>
      <c r="L123" s="131">
        <f>ROUND(J123*$C123,0)</f>
        <v>391022</v>
      </c>
      <c r="M123" s="131"/>
      <c r="N123" s="193">
        <f>J123</f>
        <v>7.75</v>
      </c>
      <c r="O123" s="169"/>
      <c r="P123" s="131">
        <v>391022.26125000278</v>
      </c>
      <c r="Q123" s="131"/>
      <c r="R123" s="193" t="str">
        <f>$R$89</f>
        <v xml:space="preserve"> </v>
      </c>
      <c r="S123" s="169"/>
      <c r="T123" s="131">
        <v>0</v>
      </c>
      <c r="U123" s="131"/>
      <c r="V123" s="193" t="str">
        <f>$V$89</f>
        <v xml:space="preserve"> </v>
      </c>
      <c r="W123" s="169"/>
      <c r="X123" s="131">
        <v>0</v>
      </c>
      <c r="Y123" s="53"/>
      <c r="Z123" s="110"/>
      <c r="AA123" s="110"/>
      <c r="AB123" s="110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U123" s="135"/>
    </row>
    <row r="124" spans="1:47">
      <c r="A124" s="169" t="s">
        <v>124</v>
      </c>
      <c r="B124" s="169"/>
      <c r="C124" s="189">
        <v>28090300.046987683</v>
      </c>
      <c r="D124" s="195">
        <v>5.9489999999999998</v>
      </c>
      <c r="E124" s="169" t="s">
        <v>107</v>
      </c>
      <c r="F124" s="131">
        <f>ROUND(D124*$C124/100,0)</f>
        <v>1671092</v>
      </c>
      <c r="G124" s="195">
        <v>6.1989999999999998</v>
      </c>
      <c r="H124" s="169" t="s">
        <v>107</v>
      </c>
      <c r="I124" s="131">
        <f>ROUND(C124*G124/100,0)</f>
        <v>1741318</v>
      </c>
      <c r="J124" s="195">
        <f>$J$90</f>
        <v>6.4249999999999998</v>
      </c>
      <c r="K124" s="169" t="s">
        <v>107</v>
      </c>
      <c r="L124" s="131">
        <f>ROUND(J124*$C124/100,0)</f>
        <v>1804802</v>
      </c>
      <c r="M124" s="131"/>
      <c r="N124" s="195">
        <f>N90</f>
        <v>1.268605763197487</v>
      </c>
      <c r="O124" s="169" t="s">
        <v>107</v>
      </c>
      <c r="P124" s="131">
        <v>356355.16529555217</v>
      </c>
      <c r="Q124" s="131"/>
      <c r="R124" s="195">
        <f>R90</f>
        <v>1.0211615600347985</v>
      </c>
      <c r="S124" s="169" t="s">
        <v>107</v>
      </c>
      <c r="T124" s="131">
        <v>286847</v>
      </c>
      <c r="U124" s="131"/>
      <c r="V124" s="195">
        <f>V90</f>
        <v>4.134232630171204</v>
      </c>
      <c r="W124" s="169" t="s">
        <v>107</v>
      </c>
      <c r="X124" s="131">
        <v>1161318</v>
      </c>
      <c r="Y124" s="53"/>
      <c r="Z124" s="110"/>
      <c r="AA124" s="110"/>
      <c r="AB124" s="110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U124" s="135"/>
    </row>
    <row r="125" spans="1:47">
      <c r="A125" s="169" t="s">
        <v>125</v>
      </c>
      <c r="B125" s="169"/>
      <c r="C125" s="189">
        <v>36551662.470591322</v>
      </c>
      <c r="D125" s="195">
        <v>9.4159999999999986</v>
      </c>
      <c r="E125" s="169" t="s">
        <v>107</v>
      </c>
      <c r="F125" s="131">
        <f>ROUND(D125*$C125/100,0)</f>
        <v>3441705</v>
      </c>
      <c r="G125" s="195">
        <v>9.8170000000000002</v>
      </c>
      <c r="H125" s="169" t="s">
        <v>107</v>
      </c>
      <c r="I125" s="131">
        <f>ROUND(C125*G125/100,0)</f>
        <v>3588277</v>
      </c>
      <c r="J125" s="195">
        <f>$J$91</f>
        <v>10.166</v>
      </c>
      <c r="K125" s="169" t="s">
        <v>107</v>
      </c>
      <c r="L125" s="131">
        <f>ROUND(J125*$C125/100,0)</f>
        <v>3715842</v>
      </c>
      <c r="M125" s="131"/>
      <c r="N125" s="195">
        <f>N91</f>
        <v>2.0072601215215515</v>
      </c>
      <c r="O125" s="169" t="s">
        <v>107</v>
      </c>
      <c r="P125" s="131">
        <v>733686.94452533871</v>
      </c>
      <c r="Q125" s="131"/>
      <c r="R125" s="195">
        <f>R91</f>
        <v>1.6157398433397301</v>
      </c>
      <c r="S125" s="169" t="s">
        <v>107</v>
      </c>
      <c r="T125" s="131">
        <v>590580</v>
      </c>
      <c r="U125" s="131"/>
      <c r="V125" s="195">
        <f>V91</f>
        <v>6.5430000340185881</v>
      </c>
      <c r="W125" s="169" t="s">
        <v>107</v>
      </c>
      <c r="X125" s="131">
        <v>2391575</v>
      </c>
      <c r="Y125" s="53"/>
      <c r="Z125" s="110"/>
      <c r="AA125" s="110"/>
      <c r="AB125" s="110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U125" s="135"/>
    </row>
    <row r="126" spans="1:47">
      <c r="A126" s="169" t="s">
        <v>126</v>
      </c>
      <c r="B126" s="169"/>
      <c r="C126" s="189">
        <v>0</v>
      </c>
      <c r="D126" s="193">
        <v>1.65</v>
      </c>
      <c r="E126" s="169"/>
      <c r="F126" s="131">
        <f>ROUND(D126*$C126,0)</f>
        <v>0</v>
      </c>
      <c r="G126" s="193">
        <v>1.65</v>
      </c>
      <c r="H126" s="169"/>
      <c r="I126" s="131">
        <v>0</v>
      </c>
      <c r="J126" s="193">
        <f>$J$92</f>
        <v>1.7051426866064399</v>
      </c>
      <c r="K126" s="169"/>
      <c r="L126" s="131">
        <f>ROUND(J126*$C126,0)</f>
        <v>0</v>
      </c>
      <c r="M126" s="131"/>
      <c r="N126" s="193">
        <v>0</v>
      </c>
      <c r="O126" s="169"/>
      <c r="P126" s="131">
        <v>0</v>
      </c>
      <c r="Q126" s="131"/>
      <c r="R126" s="193">
        <v>0</v>
      </c>
      <c r="S126" s="169"/>
      <c r="T126" s="131">
        <v>0</v>
      </c>
      <c r="U126" s="131"/>
      <c r="V126" s="193">
        <f>V92</f>
        <v>1.7051426866064399</v>
      </c>
      <c r="W126" s="169"/>
      <c r="X126" s="131">
        <v>0</v>
      </c>
      <c r="Y126" s="53"/>
      <c r="Z126" s="110"/>
      <c r="AA126" s="110"/>
      <c r="AB126" s="110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U126" s="135"/>
    </row>
    <row r="127" spans="1:47">
      <c r="A127" s="199" t="s">
        <v>127</v>
      </c>
      <c r="B127" s="199"/>
      <c r="C127" s="189">
        <v>0</v>
      </c>
      <c r="D127" s="193">
        <v>3.2</v>
      </c>
      <c r="E127" s="199"/>
      <c r="F127" s="131">
        <f>ROUND(D127*$C127,0)</f>
        <v>0</v>
      </c>
      <c r="G127" s="193">
        <v>3.2</v>
      </c>
      <c r="H127" s="199"/>
      <c r="I127" s="131">
        <v>0</v>
      </c>
      <c r="J127" s="193">
        <f>$J$93</f>
        <v>3.3</v>
      </c>
      <c r="K127" s="199"/>
      <c r="L127" s="131">
        <f>ROUND(J127*$C127,0)</f>
        <v>0</v>
      </c>
      <c r="M127" s="131"/>
      <c r="N127" s="193">
        <v>0</v>
      </c>
      <c r="O127" s="199"/>
      <c r="P127" s="131">
        <v>0</v>
      </c>
      <c r="Q127" s="131"/>
      <c r="R127" s="193">
        <v>0</v>
      </c>
      <c r="S127" s="199"/>
      <c r="T127" s="131">
        <v>0</v>
      </c>
      <c r="U127" s="131"/>
      <c r="V127" s="193">
        <f>V93</f>
        <v>3.3</v>
      </c>
      <c r="W127" s="199"/>
      <c r="X127" s="131">
        <v>0</v>
      </c>
      <c r="Y127" s="53"/>
      <c r="Z127" s="110"/>
      <c r="AA127" s="110"/>
      <c r="AB127" s="110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U127" s="135"/>
    </row>
    <row r="128" spans="1:47">
      <c r="A128" s="199" t="s">
        <v>128</v>
      </c>
      <c r="B128" s="199"/>
      <c r="C128" s="189">
        <v>0</v>
      </c>
      <c r="D128" s="200">
        <v>-1.65</v>
      </c>
      <c r="E128" s="199"/>
      <c r="F128" s="131">
        <f>ROUND(D128*$C128,0)</f>
        <v>0</v>
      </c>
      <c r="G128" s="200">
        <v>-1.65</v>
      </c>
      <c r="H128" s="199"/>
      <c r="I128" s="131">
        <v>0</v>
      </c>
      <c r="J128" s="200">
        <f>-J126</f>
        <v>-1.7051426866064399</v>
      </c>
      <c r="K128" s="199"/>
      <c r="L128" s="131">
        <f>ROUND(J128*$C128,0)</f>
        <v>0</v>
      </c>
      <c r="M128" s="131"/>
      <c r="N128" s="200">
        <f>-N126</f>
        <v>0</v>
      </c>
      <c r="O128" s="199"/>
      <c r="P128" s="131">
        <v>0</v>
      </c>
      <c r="Q128" s="131"/>
      <c r="R128" s="200">
        <f>-R126</f>
        <v>0</v>
      </c>
      <c r="S128" s="199"/>
      <c r="T128" s="131">
        <v>0</v>
      </c>
      <c r="U128" s="131"/>
      <c r="V128" s="200">
        <f>-V126</f>
        <v>-1.7051426866064399</v>
      </c>
      <c r="W128" s="199"/>
      <c r="X128" s="131">
        <v>0</v>
      </c>
      <c r="Y128" s="53"/>
      <c r="Z128" s="110"/>
      <c r="AA128" s="110"/>
      <c r="AB128" s="110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U128" s="135"/>
    </row>
    <row r="129" spans="1:47" s="141" customFormat="1" hidden="1">
      <c r="A129" s="140" t="s">
        <v>129</v>
      </c>
      <c r="C129" s="142">
        <f>C124</f>
        <v>28090300.046987683</v>
      </c>
      <c r="D129" s="138"/>
      <c r="E129" s="143"/>
      <c r="F129" s="144"/>
      <c r="G129" s="138"/>
      <c r="H129" s="143"/>
      <c r="I129" s="144"/>
      <c r="J129" s="145">
        <f>J113</f>
        <v>0</v>
      </c>
      <c r="K129" s="146" t="s">
        <v>107</v>
      </c>
      <c r="L129" s="144">
        <f t="shared" ref="L129:L130" si="34">J129*C129/100</f>
        <v>0</v>
      </c>
      <c r="M129" s="144"/>
      <c r="N129" s="145" t="str">
        <f>N113</f>
        <v xml:space="preserve"> </v>
      </c>
      <c r="O129" s="146" t="s">
        <v>107</v>
      </c>
      <c r="P129" s="131">
        <v>0</v>
      </c>
      <c r="Q129" s="144"/>
      <c r="R129" s="145" t="str">
        <f>R113</f>
        <v xml:space="preserve"> </v>
      </c>
      <c r="S129" s="146" t="s">
        <v>107</v>
      </c>
      <c r="T129" s="131">
        <v>0</v>
      </c>
      <c r="U129" s="144"/>
      <c r="V129" s="145">
        <f>V113</f>
        <v>0</v>
      </c>
      <c r="W129" s="146" t="s">
        <v>107</v>
      </c>
      <c r="X129" s="131">
        <v>0</v>
      </c>
      <c r="Z129" s="132"/>
      <c r="AC129" s="148"/>
      <c r="AD129" s="148"/>
      <c r="AI129" s="143"/>
      <c r="AJ129" s="143"/>
      <c r="AK129" s="143"/>
      <c r="AL129" s="143"/>
      <c r="AM129" s="143"/>
      <c r="AN129" s="143"/>
      <c r="AO129" s="143"/>
      <c r="AP129" s="143"/>
      <c r="AQ129" s="143"/>
      <c r="AR129" s="143"/>
      <c r="AS129" s="143"/>
      <c r="AU129" s="147"/>
    </row>
    <row r="130" spans="1:47" s="141" customFormat="1" hidden="1">
      <c r="A130" s="140" t="s">
        <v>130</v>
      </c>
      <c r="C130" s="142">
        <f>C125</f>
        <v>36551662.470591322</v>
      </c>
      <c r="D130" s="138"/>
      <c r="E130" s="143"/>
      <c r="F130" s="144"/>
      <c r="G130" s="138"/>
      <c r="H130" s="143"/>
      <c r="I130" s="144"/>
      <c r="J130" s="145">
        <f>J114</f>
        <v>0</v>
      </c>
      <c r="K130" s="146" t="s">
        <v>107</v>
      </c>
      <c r="L130" s="144">
        <f t="shared" si="34"/>
        <v>0</v>
      </c>
      <c r="M130" s="144"/>
      <c r="N130" s="145" t="str">
        <f>N114</f>
        <v xml:space="preserve"> </v>
      </c>
      <c r="O130" s="146" t="s">
        <v>107</v>
      </c>
      <c r="P130" s="131">
        <v>0</v>
      </c>
      <c r="Q130" s="144"/>
      <c r="R130" s="145" t="str">
        <f>R114</f>
        <v xml:space="preserve"> </v>
      </c>
      <c r="S130" s="146" t="s">
        <v>107</v>
      </c>
      <c r="T130" s="131">
        <v>0</v>
      </c>
      <c r="U130" s="144"/>
      <c r="V130" s="145">
        <f>V114</f>
        <v>0</v>
      </c>
      <c r="W130" s="146" t="s">
        <v>107</v>
      </c>
      <c r="X130" s="131">
        <v>0</v>
      </c>
      <c r="Z130" s="132"/>
      <c r="AC130" s="148"/>
      <c r="AD130" s="148"/>
      <c r="AI130" s="143"/>
      <c r="AJ130" s="143"/>
      <c r="AK130" s="143"/>
      <c r="AL130" s="143"/>
      <c r="AM130" s="143"/>
      <c r="AN130" s="143"/>
      <c r="AO130" s="143"/>
      <c r="AP130" s="143"/>
      <c r="AQ130" s="143"/>
      <c r="AR130" s="143"/>
      <c r="AS130" s="143"/>
      <c r="AU130" s="147"/>
    </row>
    <row r="131" spans="1:47">
      <c r="A131" s="169" t="s">
        <v>133</v>
      </c>
      <c r="B131" s="169"/>
      <c r="C131" s="189">
        <f>SUM(C124:C125)</f>
        <v>64641962.517579004</v>
      </c>
      <c r="D131" s="211"/>
      <c r="E131" s="131"/>
      <c r="F131" s="131">
        <f>SUM(F123:F128)</f>
        <v>5415524</v>
      </c>
      <c r="G131" s="211"/>
      <c r="H131" s="131"/>
      <c r="I131" s="131">
        <f>SUM(I123:I128)</f>
        <v>5720617</v>
      </c>
      <c r="J131" s="131"/>
      <c r="K131" s="131"/>
      <c r="L131" s="131">
        <f>SUM(L123:L130)</f>
        <v>5911666</v>
      </c>
      <c r="M131" s="131"/>
      <c r="N131" s="131"/>
      <c r="O131" s="131"/>
      <c r="P131" s="131">
        <f>SUM(P123:P130)</f>
        <v>1481064.3710708937</v>
      </c>
      <c r="Q131" s="131"/>
      <c r="R131" s="131"/>
      <c r="S131" s="131"/>
      <c r="T131" s="131">
        <f>SUM(T123:T130)</f>
        <v>877427</v>
      </c>
      <c r="U131" s="131"/>
      <c r="V131" s="131"/>
      <c r="W131" s="131"/>
      <c r="X131" s="131">
        <f>SUM(X123:X130)</f>
        <v>3552893</v>
      </c>
      <c r="Y131" s="53"/>
      <c r="Z131" s="110"/>
      <c r="AA131" s="110"/>
      <c r="AB131" s="110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U131" s="135"/>
    </row>
    <row r="132" spans="1:47">
      <c r="A132" s="169" t="s">
        <v>111</v>
      </c>
      <c r="B132" s="169"/>
      <c r="C132" s="223">
        <v>-238853.93279447255</v>
      </c>
      <c r="D132" s="154"/>
      <c r="E132" s="154"/>
      <c r="F132" s="152">
        <f>I132</f>
        <v>-11315.249854995447</v>
      </c>
      <c r="G132" s="154"/>
      <c r="H132" s="154"/>
      <c r="I132" s="213">
        <v>-11315.249854995447</v>
      </c>
      <c r="J132" s="154"/>
      <c r="K132" s="154"/>
      <c r="L132" s="152">
        <f>I132</f>
        <v>-11315.249854995447</v>
      </c>
      <c r="M132" s="153"/>
      <c r="N132" s="154"/>
      <c r="O132" s="154"/>
      <c r="P132" s="152">
        <f>L132/$L$100*$P$100</f>
        <v>-2843.230896296895</v>
      </c>
      <c r="Q132" s="153"/>
      <c r="R132" s="154"/>
      <c r="S132" s="154"/>
      <c r="T132" s="152">
        <f>L132/$L$100*$T$100</f>
        <v>-1677.6025142341146</v>
      </c>
      <c r="U132" s="153"/>
      <c r="V132" s="154"/>
      <c r="W132" s="154"/>
      <c r="X132" s="152">
        <f>L132/$L$100*$X$100</f>
        <v>-6794.4164444644366</v>
      </c>
      <c r="Y132" s="185"/>
      <c r="Z132" s="183"/>
      <c r="AA132" s="110"/>
      <c r="AB132" s="110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U132" s="135"/>
    </row>
    <row r="133" spans="1:47" ht="16.5" thickBot="1">
      <c r="A133" s="169" t="s">
        <v>134</v>
      </c>
      <c r="B133" s="169"/>
      <c r="C133" s="214">
        <f>C131+C132</f>
        <v>64403108.58478453</v>
      </c>
      <c r="D133" s="158"/>
      <c r="E133" s="158"/>
      <c r="F133" s="158">
        <f>F131+F132</f>
        <v>5404208.7501450041</v>
      </c>
      <c r="G133" s="158"/>
      <c r="H133" s="158"/>
      <c r="I133" s="158">
        <f>SUM(I131:I132)</f>
        <v>5709301.7501450041</v>
      </c>
      <c r="J133" s="158"/>
      <c r="K133" s="158"/>
      <c r="L133" s="158">
        <f>L131+L132</f>
        <v>5900350.7501450041</v>
      </c>
      <c r="M133" s="158"/>
      <c r="N133" s="158"/>
      <c r="O133" s="158"/>
      <c r="P133" s="158">
        <f>P131+P132</f>
        <v>1478221.1401745968</v>
      </c>
      <c r="Q133" s="158"/>
      <c r="R133" s="158"/>
      <c r="S133" s="158"/>
      <c r="T133" s="158">
        <f>T131+T132</f>
        <v>875749.39748576586</v>
      </c>
      <c r="U133" s="158"/>
      <c r="V133" s="158"/>
      <c r="W133" s="158"/>
      <c r="X133" s="158">
        <f>X131+X132</f>
        <v>3546098.5835555354</v>
      </c>
      <c r="Y133" s="186"/>
      <c r="Z133" s="187"/>
      <c r="AA133" s="110"/>
      <c r="AB133" s="110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U133" s="135"/>
    </row>
    <row r="134" spans="1:47" ht="16.5" thickTop="1">
      <c r="A134" s="169"/>
      <c r="B134" s="218"/>
      <c r="C134" s="189"/>
      <c r="D134" s="169" t="s">
        <v>0</v>
      </c>
      <c r="E134" s="189"/>
      <c r="G134" s="169" t="s">
        <v>0</v>
      </c>
      <c r="H134" s="169"/>
      <c r="J134" s="169" t="s">
        <v>0</v>
      </c>
      <c r="K134" s="169"/>
      <c r="L134" s="131" t="s">
        <v>0</v>
      </c>
      <c r="M134" s="131"/>
      <c r="N134" s="169" t="s">
        <v>0</v>
      </c>
      <c r="O134" s="169"/>
      <c r="P134" s="131" t="s">
        <v>0</v>
      </c>
      <c r="Q134" s="131"/>
      <c r="R134" s="169" t="s">
        <v>0</v>
      </c>
      <c r="S134" s="169"/>
      <c r="T134" s="131" t="s">
        <v>0</v>
      </c>
      <c r="U134" s="131"/>
      <c r="V134" s="169" t="s">
        <v>0</v>
      </c>
      <c r="W134" s="169"/>
      <c r="X134" s="131" t="s">
        <v>0</v>
      </c>
      <c r="Y134" s="53"/>
      <c r="Z134" s="110"/>
      <c r="AA134" s="110"/>
      <c r="AB134" s="110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U134" s="135"/>
    </row>
    <row r="135" spans="1:47" hidden="1">
      <c r="A135" s="188" t="s">
        <v>138</v>
      </c>
      <c r="B135" s="169"/>
      <c r="C135" s="169"/>
      <c r="D135" s="189"/>
      <c r="E135" s="189"/>
      <c r="F135" s="169"/>
      <c r="G135" s="189"/>
      <c r="H135" s="169"/>
      <c r="I135" s="169"/>
      <c r="J135" s="189"/>
      <c r="K135" s="169"/>
      <c r="L135" s="169"/>
      <c r="M135" s="169"/>
      <c r="N135" s="189"/>
      <c r="O135" s="169"/>
      <c r="P135" s="169"/>
      <c r="Q135" s="169"/>
      <c r="R135" s="189"/>
      <c r="S135" s="169"/>
      <c r="T135" s="169"/>
      <c r="U135" s="169"/>
      <c r="V135" s="189"/>
      <c r="W135" s="169"/>
      <c r="X135" s="169"/>
      <c r="Y135" s="53"/>
      <c r="Z135" s="110"/>
      <c r="AA135" s="110"/>
      <c r="AB135" s="110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U135" s="135"/>
    </row>
    <row r="136" spans="1:47" hidden="1">
      <c r="A136" s="169" t="s">
        <v>46</v>
      </c>
      <c r="B136" s="169"/>
      <c r="C136" s="169"/>
      <c r="D136" s="189"/>
      <c r="E136" s="189"/>
      <c r="F136" s="169"/>
      <c r="G136" s="189"/>
      <c r="H136" s="169"/>
      <c r="I136" s="169"/>
      <c r="J136" s="189"/>
      <c r="K136" s="169"/>
      <c r="L136" s="169"/>
      <c r="M136" s="169"/>
      <c r="N136" s="189"/>
      <c r="O136" s="169"/>
      <c r="P136" s="169"/>
      <c r="Q136" s="169"/>
      <c r="R136" s="189"/>
      <c r="S136" s="169"/>
      <c r="T136" s="169"/>
      <c r="U136" s="169"/>
      <c r="V136" s="189"/>
      <c r="W136" s="169"/>
      <c r="X136" s="169"/>
      <c r="Y136" s="53"/>
      <c r="Z136" s="110"/>
      <c r="AA136" s="110"/>
      <c r="AB136" s="110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U136" s="135"/>
    </row>
    <row r="137" spans="1:47" hidden="1">
      <c r="A137" s="191"/>
      <c r="B137" s="169"/>
      <c r="C137" s="169"/>
      <c r="D137" s="189"/>
      <c r="E137" s="189"/>
      <c r="F137" s="169"/>
      <c r="G137" s="189"/>
      <c r="H137" s="169"/>
      <c r="I137" s="169"/>
      <c r="J137" s="189"/>
      <c r="K137" s="169"/>
      <c r="L137" s="169"/>
      <c r="M137" s="169"/>
      <c r="N137" s="189"/>
      <c r="O137" s="169"/>
      <c r="P137" s="169"/>
      <c r="Q137" s="169"/>
      <c r="R137" s="189"/>
      <c r="S137" s="169"/>
      <c r="T137" s="169"/>
      <c r="U137" s="169"/>
      <c r="V137" s="189"/>
      <c r="W137" s="169"/>
      <c r="X137" s="169"/>
      <c r="Y137" s="53"/>
      <c r="Z137" s="110"/>
      <c r="AA137" s="110"/>
      <c r="AB137" s="110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U137" s="135"/>
    </row>
    <row r="138" spans="1:47" hidden="1">
      <c r="A138" s="169" t="s">
        <v>123</v>
      </c>
      <c r="B138" s="169"/>
      <c r="C138" s="189">
        <v>1017.7441935483899</v>
      </c>
      <c r="D138" s="193">
        <v>6</v>
      </c>
      <c r="E138" s="169"/>
      <c r="F138" s="131">
        <f>ROUND(D138*$C138,0)</f>
        <v>6106</v>
      </c>
      <c r="G138" s="193">
        <v>7.75</v>
      </c>
      <c r="H138" s="169"/>
      <c r="I138" s="131">
        <f>ROUND(G138*C138,0)</f>
        <v>7888</v>
      </c>
      <c r="J138" s="193">
        <f>$J$89</f>
        <v>7.75</v>
      </c>
      <c r="K138" s="169"/>
      <c r="L138" s="131">
        <f>ROUND(J138*$C138,0)</f>
        <v>7888</v>
      </c>
      <c r="M138" s="131"/>
      <c r="N138" s="193">
        <f>$N$89</f>
        <v>7.75</v>
      </c>
      <c r="O138" s="169"/>
      <c r="P138" s="131">
        <f>N138*$C138</f>
        <v>7887.5175000000218</v>
      </c>
      <c r="Q138" s="131"/>
      <c r="R138" s="193" t="str">
        <f>$R$89</f>
        <v xml:space="preserve"> </v>
      </c>
      <c r="S138" s="169"/>
      <c r="T138" s="131">
        <f>ROUND(R138*$C138,0)</f>
        <v>0</v>
      </c>
      <c r="U138" s="131"/>
      <c r="V138" s="193" t="str">
        <f>$V$89</f>
        <v xml:space="preserve"> </v>
      </c>
      <c r="W138" s="169"/>
      <c r="X138" s="131">
        <f>ROUND(V138*$C138,0)</f>
        <v>0</v>
      </c>
      <c r="Y138" s="53"/>
      <c r="Z138" s="110"/>
      <c r="AA138" s="110"/>
      <c r="AB138" s="110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U138" s="135"/>
    </row>
    <row r="139" spans="1:47" hidden="1">
      <c r="A139" s="169" t="s">
        <v>124</v>
      </c>
      <c r="B139" s="169"/>
      <c r="C139" s="189">
        <v>549805.35240128019</v>
      </c>
      <c r="D139" s="195">
        <v>5.9489999999999998</v>
      </c>
      <c r="E139" s="169" t="s">
        <v>107</v>
      </c>
      <c r="F139" s="131">
        <f>ROUND(D139*$C139/100,0)</f>
        <v>32708</v>
      </c>
      <c r="G139" s="195">
        <v>6.1989999999999998</v>
      </c>
      <c r="H139" s="169" t="s">
        <v>107</v>
      </c>
      <c r="I139" s="131">
        <f>ROUND(C139*G139/100,0)</f>
        <v>34082</v>
      </c>
      <c r="J139" s="195">
        <f>$J$90</f>
        <v>6.4249999999999998</v>
      </c>
      <c r="K139" s="169" t="s">
        <v>107</v>
      </c>
      <c r="L139" s="131">
        <f>ROUND(J139*$C139/100,0)</f>
        <v>35325</v>
      </c>
      <c r="M139" s="131"/>
      <c r="N139" s="195">
        <f>N90</f>
        <v>1.268605763197487</v>
      </c>
      <c r="O139" s="169" t="s">
        <v>107</v>
      </c>
      <c r="P139" s="131">
        <f>N139*$C139/100</f>
        <v>6974.8623869308931</v>
      </c>
      <c r="Q139" s="131"/>
      <c r="R139" s="195">
        <f>R90</f>
        <v>1.0211615600347985</v>
      </c>
      <c r="S139" s="169" t="s">
        <v>107</v>
      </c>
      <c r="T139" s="131">
        <f>ROUND(R139*$C139/100,0)</f>
        <v>5614</v>
      </c>
      <c r="U139" s="131"/>
      <c r="V139" s="195">
        <f>V90</f>
        <v>4.134232630171204</v>
      </c>
      <c r="W139" s="169" t="s">
        <v>107</v>
      </c>
      <c r="X139" s="131">
        <f>ROUND(V139*$C139/100,0)</f>
        <v>22730</v>
      </c>
      <c r="Y139" s="53"/>
      <c r="Z139" s="110"/>
      <c r="AA139" s="110"/>
      <c r="AB139" s="110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U139" s="135"/>
    </row>
    <row r="140" spans="1:47" hidden="1">
      <c r="A140" s="169" t="s">
        <v>125</v>
      </c>
      <c r="B140" s="169"/>
      <c r="C140" s="189">
        <v>1650803.2299577619</v>
      </c>
      <c r="D140" s="195">
        <v>9.4159999999999986</v>
      </c>
      <c r="E140" s="169" t="s">
        <v>107</v>
      </c>
      <c r="F140" s="131">
        <f>ROUND(D140*$C140/100,0)</f>
        <v>155440</v>
      </c>
      <c r="G140" s="195">
        <v>9.8170000000000002</v>
      </c>
      <c r="H140" s="169" t="s">
        <v>107</v>
      </c>
      <c r="I140" s="131">
        <f>ROUND(C140*G140/100,0)</f>
        <v>162059</v>
      </c>
      <c r="J140" s="195">
        <f>$J$91</f>
        <v>10.166</v>
      </c>
      <c r="K140" s="169" t="s">
        <v>107</v>
      </c>
      <c r="L140" s="131">
        <f>ROUND(J140*$C140/100,0)</f>
        <v>167821</v>
      </c>
      <c r="M140" s="131"/>
      <c r="N140" s="195">
        <f>N110</f>
        <v>2.0072601215215515</v>
      </c>
      <c r="O140" s="169" t="s">
        <v>107</v>
      </c>
      <c r="P140" s="131">
        <f>N140*$C140/100</f>
        <v>33135.914919731869</v>
      </c>
      <c r="Q140" s="131"/>
      <c r="R140" s="195">
        <f>R110</f>
        <v>1.6157398433397301</v>
      </c>
      <c r="S140" s="169" t="s">
        <v>107</v>
      </c>
      <c r="T140" s="131">
        <f>ROUND(R140*$C140/100,0)</f>
        <v>26673</v>
      </c>
      <c r="U140" s="131"/>
      <c r="V140" s="195">
        <f>V110</f>
        <v>6.5430000340185881</v>
      </c>
      <c r="W140" s="169" t="s">
        <v>107</v>
      </c>
      <c r="X140" s="131">
        <f>ROUND(V140*$C140/100,0)</f>
        <v>108012</v>
      </c>
      <c r="Y140" s="53"/>
      <c r="Z140" s="110"/>
      <c r="AA140" s="110"/>
      <c r="AB140" s="110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U140" s="135"/>
    </row>
    <row r="141" spans="1:47" hidden="1">
      <c r="A141" s="169" t="s">
        <v>126</v>
      </c>
      <c r="B141" s="169"/>
      <c r="C141" s="189">
        <v>4673</v>
      </c>
      <c r="D141" s="193">
        <v>1.65</v>
      </c>
      <c r="E141" s="169"/>
      <c r="F141" s="131">
        <f>ROUND(D141*$C141,0)</f>
        <v>7710</v>
      </c>
      <c r="G141" s="193">
        <v>1.65</v>
      </c>
      <c r="H141" s="169"/>
      <c r="I141" s="131">
        <f t="shared" ref="I141:I142" si="35">ROUND(G141*C141,0)</f>
        <v>7710</v>
      </c>
      <c r="J141" s="193">
        <f>$J$92</f>
        <v>1.7051426866064399</v>
      </c>
      <c r="K141" s="169"/>
      <c r="L141" s="131">
        <f>ROUND(J141*$C141,0)</f>
        <v>7968</v>
      </c>
      <c r="M141" s="131"/>
      <c r="N141" s="193">
        <v>0</v>
      </c>
      <c r="O141" s="169"/>
      <c r="P141" s="131">
        <f>ROUND(N141*$C141,0)</f>
        <v>0</v>
      </c>
      <c r="Q141" s="131"/>
      <c r="R141" s="193">
        <v>0</v>
      </c>
      <c r="S141" s="169"/>
      <c r="T141" s="131">
        <f>ROUND(R141*$C141,0)</f>
        <v>0</v>
      </c>
      <c r="U141" s="131"/>
      <c r="V141" s="193">
        <f>V92</f>
        <v>1.7051426866064399</v>
      </c>
      <c r="W141" s="169"/>
      <c r="X141" s="131">
        <f>ROUND(V141*$C141,0)</f>
        <v>7968</v>
      </c>
      <c r="Y141" s="53"/>
      <c r="Z141" s="110"/>
      <c r="AA141" s="110"/>
      <c r="AB141" s="110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U141" s="135"/>
    </row>
    <row r="142" spans="1:47" hidden="1">
      <c r="A142" s="199" t="s">
        <v>127</v>
      </c>
      <c r="B142" s="199"/>
      <c r="C142" s="189">
        <v>616</v>
      </c>
      <c r="D142" s="193">
        <v>3.2</v>
      </c>
      <c r="E142" s="199"/>
      <c r="F142" s="131">
        <f>ROUND(D142*$C142,0)</f>
        <v>1971</v>
      </c>
      <c r="G142" s="193">
        <v>3.2</v>
      </c>
      <c r="H142" s="199"/>
      <c r="I142" s="131">
        <f t="shared" si="35"/>
        <v>1971</v>
      </c>
      <c r="J142" s="193">
        <f>$J$93</f>
        <v>3.3</v>
      </c>
      <c r="K142" s="199"/>
      <c r="L142" s="131">
        <f>ROUND(J142*$C142,0)</f>
        <v>2033</v>
      </c>
      <c r="M142" s="131"/>
      <c r="N142" s="193">
        <v>0</v>
      </c>
      <c r="O142" s="199"/>
      <c r="P142" s="131">
        <f>ROUND(N142*$C142,0)</f>
        <v>0</v>
      </c>
      <c r="Q142" s="131"/>
      <c r="R142" s="193">
        <v>0</v>
      </c>
      <c r="S142" s="199"/>
      <c r="T142" s="131">
        <f>ROUND(R142*$C142,0)</f>
        <v>0</v>
      </c>
      <c r="U142" s="131"/>
      <c r="V142" s="193">
        <f>V93</f>
        <v>3.3</v>
      </c>
      <c r="W142" s="199"/>
      <c r="X142" s="131">
        <f>ROUND(V142*$C142,0)</f>
        <v>2033</v>
      </c>
      <c r="Y142" s="53"/>
      <c r="Z142" s="110"/>
      <c r="AA142" s="110"/>
      <c r="AB142" s="110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U142" s="135"/>
    </row>
    <row r="143" spans="1:47" hidden="1">
      <c r="A143" s="199" t="s">
        <v>128</v>
      </c>
      <c r="B143" s="199"/>
      <c r="C143" s="189">
        <v>55</v>
      </c>
      <c r="D143" s="200">
        <v>-1.65</v>
      </c>
      <c r="E143" s="199"/>
      <c r="F143" s="131">
        <f>ROUND(D143*$C143,0)</f>
        <v>-91</v>
      </c>
      <c r="G143" s="200">
        <v>-1.65</v>
      </c>
      <c r="H143" s="199"/>
      <c r="I143" s="131">
        <f>ROUND(G143*C143,0)</f>
        <v>-91</v>
      </c>
      <c r="J143" s="200">
        <f>-J141</f>
        <v>-1.7051426866064399</v>
      </c>
      <c r="K143" s="199"/>
      <c r="L143" s="131">
        <f>ROUND(J143*$C143,0)</f>
        <v>-94</v>
      </c>
      <c r="M143" s="131"/>
      <c r="N143" s="200">
        <f>-N141</f>
        <v>0</v>
      </c>
      <c r="O143" s="199"/>
      <c r="P143" s="131">
        <f>ROUND(N143*$C143,0)</f>
        <v>0</v>
      </c>
      <c r="Q143" s="131"/>
      <c r="R143" s="200">
        <f>-R141</f>
        <v>0</v>
      </c>
      <c r="S143" s="199"/>
      <c r="T143" s="131">
        <f>ROUND(R143*$C143,0)</f>
        <v>0</v>
      </c>
      <c r="U143" s="131"/>
      <c r="V143" s="200">
        <f>-V141</f>
        <v>-1.7051426866064399</v>
      </c>
      <c r="W143" s="199"/>
      <c r="X143" s="131">
        <f>ROUND(V143*$C143,0)</f>
        <v>-94</v>
      </c>
      <c r="Y143" s="53"/>
      <c r="Z143" s="110"/>
      <c r="AA143" s="110"/>
      <c r="AB143" s="110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U143" s="135"/>
    </row>
    <row r="144" spans="1:47" s="141" customFormat="1" hidden="1">
      <c r="A144" s="140" t="s">
        <v>129</v>
      </c>
      <c r="C144" s="142">
        <f>C139</f>
        <v>549805.35240128019</v>
      </c>
      <c r="D144" s="138"/>
      <c r="E144" s="143"/>
      <c r="F144" s="144"/>
      <c r="G144" s="138"/>
      <c r="H144" s="143"/>
      <c r="I144" s="144"/>
      <c r="J144" s="145">
        <f>J129</f>
        <v>0</v>
      </c>
      <c r="K144" s="146" t="s">
        <v>107</v>
      </c>
      <c r="L144" s="144">
        <f t="shared" ref="L144:L145" si="36">J144*C144/100</f>
        <v>0</v>
      </c>
      <c r="M144" s="144"/>
      <c r="N144" s="145" t="str">
        <f>N129</f>
        <v xml:space="preserve"> </v>
      </c>
      <c r="O144" s="146" t="s">
        <v>107</v>
      </c>
      <c r="P144" s="144">
        <f>N144*C144/100</f>
        <v>0</v>
      </c>
      <c r="Q144" s="144"/>
      <c r="R144" s="145" t="str">
        <f>R129</f>
        <v xml:space="preserve"> </v>
      </c>
      <c r="S144" s="146" t="s">
        <v>107</v>
      </c>
      <c r="T144" s="144">
        <f>R144*C144/100</f>
        <v>0</v>
      </c>
      <c r="U144" s="144"/>
      <c r="V144" s="145">
        <f>V129</f>
        <v>0</v>
      </c>
      <c r="W144" s="146" t="s">
        <v>107</v>
      </c>
      <c r="X144" s="144">
        <f>V144*C144/100</f>
        <v>0</v>
      </c>
      <c r="Z144" s="132"/>
      <c r="AC144" s="148"/>
      <c r="AD144" s="148"/>
      <c r="AI144" s="143"/>
      <c r="AJ144" s="143"/>
      <c r="AK144" s="143"/>
      <c r="AL144" s="143"/>
      <c r="AM144" s="143"/>
      <c r="AN144" s="143"/>
      <c r="AO144" s="143"/>
      <c r="AP144" s="143"/>
      <c r="AQ144" s="143"/>
      <c r="AR144" s="143"/>
      <c r="AS144" s="143"/>
      <c r="AU144" s="147"/>
    </row>
    <row r="145" spans="1:47" s="141" customFormat="1" hidden="1">
      <c r="A145" s="140" t="s">
        <v>130</v>
      </c>
      <c r="C145" s="142">
        <f>C140</f>
        <v>1650803.2299577619</v>
      </c>
      <c r="D145" s="138"/>
      <c r="E145" s="143"/>
      <c r="F145" s="144"/>
      <c r="G145" s="138"/>
      <c r="H145" s="143"/>
      <c r="I145" s="144"/>
      <c r="J145" s="145">
        <f>J130</f>
        <v>0</v>
      </c>
      <c r="K145" s="146" t="s">
        <v>107</v>
      </c>
      <c r="L145" s="144">
        <f t="shared" si="36"/>
        <v>0</v>
      </c>
      <c r="M145" s="144"/>
      <c r="N145" s="145" t="str">
        <f>N130</f>
        <v xml:space="preserve"> </v>
      </c>
      <c r="O145" s="146" t="s">
        <v>107</v>
      </c>
      <c r="P145" s="144">
        <f>N145*C145/100</f>
        <v>0</v>
      </c>
      <c r="Q145" s="144"/>
      <c r="R145" s="145" t="str">
        <f>R130</f>
        <v xml:space="preserve"> </v>
      </c>
      <c r="S145" s="146" t="s">
        <v>107</v>
      </c>
      <c r="T145" s="144">
        <f>R145*C145/100</f>
        <v>0</v>
      </c>
      <c r="U145" s="144"/>
      <c r="V145" s="145">
        <f>V130</f>
        <v>0</v>
      </c>
      <c r="W145" s="146" t="s">
        <v>107</v>
      </c>
      <c r="X145" s="144">
        <f>V145*C145/100</f>
        <v>0</v>
      </c>
      <c r="Z145" s="132"/>
      <c r="AC145" s="148"/>
      <c r="AD145" s="148"/>
      <c r="AI145" s="143"/>
      <c r="AJ145" s="143"/>
      <c r="AK145" s="143"/>
      <c r="AL145" s="143"/>
      <c r="AM145" s="143"/>
      <c r="AN145" s="143"/>
      <c r="AO145" s="143"/>
      <c r="AP145" s="143"/>
      <c r="AQ145" s="143"/>
      <c r="AR145" s="143"/>
      <c r="AS145" s="143"/>
      <c r="AU145" s="147"/>
    </row>
    <row r="146" spans="1:47" hidden="1">
      <c r="A146" s="169" t="s">
        <v>133</v>
      </c>
      <c r="B146" s="210"/>
      <c r="C146" s="189">
        <f>SUM(C139:C140)</f>
        <v>2200608.582359042</v>
      </c>
      <c r="D146" s="211"/>
      <c r="E146" s="131"/>
      <c r="F146" s="131">
        <f>SUM(F138:F143)</f>
        <v>203844</v>
      </c>
      <c r="G146" s="211"/>
      <c r="H146" s="131"/>
      <c r="I146" s="131">
        <f>SUM(I138:I143)</f>
        <v>213619</v>
      </c>
      <c r="J146" s="131"/>
      <c r="K146" s="131"/>
      <c r="L146" s="131">
        <f>SUM(L138:L145)</f>
        <v>220941</v>
      </c>
      <c r="M146" s="131"/>
      <c r="N146" s="131"/>
      <c r="O146" s="131"/>
      <c r="P146" s="131">
        <f>SUM(P138:P145)</f>
        <v>47998.294806662787</v>
      </c>
      <c r="Q146" s="131"/>
      <c r="R146" s="131"/>
      <c r="S146" s="131"/>
      <c r="T146" s="131">
        <f>SUM(T138:T145)</f>
        <v>32287</v>
      </c>
      <c r="U146" s="131"/>
      <c r="V146" s="131"/>
      <c r="W146" s="131"/>
      <c r="X146" s="131">
        <f>SUM(X138:X145)</f>
        <v>140649</v>
      </c>
      <c r="Y146" s="53"/>
      <c r="Z146" s="110"/>
      <c r="AA146" s="110"/>
      <c r="AB146" s="110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U146" s="135"/>
    </row>
    <row r="147" spans="1:47" hidden="1">
      <c r="A147" s="169" t="s">
        <v>111</v>
      </c>
      <c r="B147" s="224"/>
      <c r="C147" s="223">
        <v>-8269.9564010600807</v>
      </c>
      <c r="D147" s="154"/>
      <c r="E147" s="154"/>
      <c r="F147" s="152">
        <f>I147</f>
        <v>-432.42577033280719</v>
      </c>
      <c r="G147" s="154"/>
      <c r="H147" s="154"/>
      <c r="I147" s="152">
        <v>-432.42577033280719</v>
      </c>
      <c r="J147" s="154"/>
      <c r="K147" s="154"/>
      <c r="L147" s="152">
        <f>I147</f>
        <v>-432.42577033280719</v>
      </c>
      <c r="M147" s="153"/>
      <c r="N147" s="154"/>
      <c r="O147" s="154"/>
      <c r="P147" s="152">
        <f>L147/$L$100*$P$100</f>
        <v>-108.65746018170603</v>
      </c>
      <c r="Q147" s="153"/>
      <c r="R147" s="154"/>
      <c r="S147" s="154"/>
      <c r="T147" s="152">
        <f>L147/$L$100*$T$100</f>
        <v>-64.111581169343353</v>
      </c>
      <c r="U147" s="153"/>
      <c r="V147" s="154"/>
      <c r="W147" s="154"/>
      <c r="X147" s="152">
        <f>L147/$L$100*$X$100</f>
        <v>-259.65672898175779</v>
      </c>
      <c r="Y147" s="185"/>
      <c r="Z147" s="183"/>
      <c r="AA147" s="110"/>
      <c r="AB147" s="110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U147" s="135"/>
    </row>
    <row r="148" spans="1:47" ht="16.5" hidden="1" thickBot="1">
      <c r="A148" s="169" t="s">
        <v>134</v>
      </c>
      <c r="B148" s="169"/>
      <c r="C148" s="214">
        <f>C146+C147</f>
        <v>2192338.6259579821</v>
      </c>
      <c r="D148" s="158"/>
      <c r="E148" s="158"/>
      <c r="F148" s="158">
        <f>F146+F147</f>
        <v>203411.5742296672</v>
      </c>
      <c r="G148" s="158"/>
      <c r="H148" s="158"/>
      <c r="I148" s="158">
        <f>I146+I147</f>
        <v>213186.5742296672</v>
      </c>
      <c r="J148" s="158"/>
      <c r="K148" s="158"/>
      <c r="L148" s="158">
        <f>L146+L147</f>
        <v>220508.5742296672</v>
      </c>
      <c r="M148" s="158"/>
      <c r="N148" s="158"/>
      <c r="O148" s="158"/>
      <c r="P148" s="158">
        <f>P146+P147</f>
        <v>47889.637346481082</v>
      </c>
      <c r="Q148" s="158"/>
      <c r="R148" s="158"/>
      <c r="S148" s="158"/>
      <c r="T148" s="158">
        <f>T146+T147</f>
        <v>32222.888418830658</v>
      </c>
      <c r="U148" s="158"/>
      <c r="V148" s="158"/>
      <c r="W148" s="158"/>
      <c r="X148" s="158">
        <f>X146+X147</f>
        <v>140389.34327101824</v>
      </c>
      <c r="Y148" s="186"/>
      <c r="Z148" s="187"/>
      <c r="AA148" s="110"/>
      <c r="AB148" s="110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U148" s="135"/>
    </row>
    <row r="149" spans="1:47" hidden="1">
      <c r="A149" s="169"/>
      <c r="B149" s="218"/>
      <c r="C149" s="189"/>
      <c r="D149" s="169" t="s">
        <v>0</v>
      </c>
      <c r="E149" s="189"/>
      <c r="G149" s="169" t="s">
        <v>0</v>
      </c>
      <c r="H149" s="169"/>
      <c r="J149" s="169" t="s">
        <v>0</v>
      </c>
      <c r="K149" s="169"/>
      <c r="L149" s="131" t="s">
        <v>0</v>
      </c>
      <c r="M149" s="131"/>
      <c r="N149" s="169" t="s">
        <v>0</v>
      </c>
      <c r="O149" s="169"/>
      <c r="P149" s="131" t="s">
        <v>0</v>
      </c>
      <c r="Q149" s="131"/>
      <c r="R149" s="169" t="s">
        <v>0</v>
      </c>
      <c r="S149" s="169"/>
      <c r="T149" s="131" t="s">
        <v>0</v>
      </c>
      <c r="U149" s="131"/>
      <c r="V149" s="169" t="s">
        <v>0</v>
      </c>
      <c r="W149" s="169"/>
      <c r="X149" s="131" t="s">
        <v>0</v>
      </c>
      <c r="Y149" s="53"/>
      <c r="Z149" s="110"/>
      <c r="AA149" s="110"/>
      <c r="AB149" s="110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U149" s="135"/>
    </row>
    <row r="150" spans="1:47" hidden="1">
      <c r="A150" s="188" t="s">
        <v>139</v>
      </c>
      <c r="B150" s="169"/>
      <c r="C150" s="169"/>
      <c r="D150" s="189"/>
      <c r="E150" s="189"/>
      <c r="F150" s="169"/>
      <c r="G150" s="189"/>
      <c r="H150" s="169"/>
      <c r="I150" s="169"/>
      <c r="J150" s="189"/>
      <c r="K150" s="169"/>
      <c r="L150" s="169"/>
      <c r="M150" s="169"/>
      <c r="N150" s="189"/>
      <c r="O150" s="169"/>
      <c r="P150" s="169"/>
      <c r="Q150" s="169"/>
      <c r="R150" s="189"/>
      <c r="S150" s="169"/>
      <c r="T150" s="169"/>
      <c r="U150" s="169"/>
      <c r="V150" s="189"/>
      <c r="W150" s="169"/>
      <c r="X150" s="169"/>
      <c r="Y150" s="53"/>
      <c r="Z150" s="110"/>
      <c r="AA150" s="110"/>
      <c r="AB150" s="110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U150" s="135"/>
    </row>
    <row r="151" spans="1:47" hidden="1">
      <c r="A151" s="169" t="s">
        <v>46</v>
      </c>
      <c r="B151" s="169"/>
      <c r="C151" s="169"/>
      <c r="D151" s="189"/>
      <c r="E151" s="189"/>
      <c r="F151" s="169"/>
      <c r="G151" s="189"/>
      <c r="H151" s="169"/>
      <c r="I151" s="169"/>
      <c r="J151" s="189"/>
      <c r="K151" s="169"/>
      <c r="L151" s="169"/>
      <c r="M151" s="169"/>
      <c r="N151" s="189"/>
      <c r="O151" s="169"/>
      <c r="P151" s="169"/>
      <c r="Q151" s="169"/>
      <c r="R151" s="189"/>
      <c r="S151" s="169"/>
      <c r="T151" s="169"/>
      <c r="U151" s="169"/>
      <c r="V151" s="189"/>
      <c r="W151" s="169"/>
      <c r="X151" s="169"/>
      <c r="Y151" s="53"/>
      <c r="Z151" s="110"/>
      <c r="AA151" s="110"/>
      <c r="AB151" s="110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U151" s="135"/>
    </row>
    <row r="152" spans="1:47" hidden="1">
      <c r="A152" s="191"/>
      <c r="B152" s="169"/>
      <c r="C152" s="169"/>
      <c r="D152" s="189"/>
      <c r="E152" s="189"/>
      <c r="F152" s="169"/>
      <c r="G152" s="189"/>
      <c r="H152" s="169"/>
      <c r="I152" s="169"/>
      <c r="J152" s="189"/>
      <c r="K152" s="169"/>
      <c r="L152" s="169"/>
      <c r="M152" s="169"/>
      <c r="N152" s="189"/>
      <c r="O152" s="169"/>
      <c r="P152" s="169"/>
      <c r="Q152" s="169"/>
      <c r="R152" s="189"/>
      <c r="S152" s="169"/>
      <c r="T152" s="169"/>
      <c r="U152" s="169"/>
      <c r="V152" s="189"/>
      <c r="W152" s="169"/>
      <c r="X152" s="169"/>
      <c r="Y152" s="53"/>
      <c r="Z152" s="110"/>
      <c r="AA152" s="110"/>
      <c r="AB152" s="110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U152" s="135"/>
    </row>
    <row r="153" spans="1:47" hidden="1">
      <c r="A153" s="169" t="s">
        <v>123</v>
      </c>
      <c r="B153" s="169"/>
      <c r="C153" s="189">
        <v>215.96779569892499</v>
      </c>
      <c r="D153" s="193">
        <v>6</v>
      </c>
      <c r="E153" s="169"/>
      <c r="F153" s="131">
        <f>ROUND(D153*$C153,0)</f>
        <v>1296</v>
      </c>
      <c r="G153" s="193">
        <v>7.75</v>
      </c>
      <c r="H153" s="169"/>
      <c r="I153" s="131">
        <f>ROUND(G153*C153,0)</f>
        <v>1674</v>
      </c>
      <c r="J153" s="193">
        <f>$J$89</f>
        <v>7.75</v>
      </c>
      <c r="K153" s="169"/>
      <c r="L153" s="131">
        <f>ROUND(J153*$C153,0)</f>
        <v>1674</v>
      </c>
      <c r="M153" s="131"/>
      <c r="N153" s="193">
        <f>$N$89</f>
        <v>7.75</v>
      </c>
      <c r="O153" s="169"/>
      <c r="P153" s="131">
        <f>N153*$C153</f>
        <v>1673.7504166666686</v>
      </c>
      <c r="Q153" s="131"/>
      <c r="R153" s="193" t="str">
        <f>$R$89</f>
        <v xml:space="preserve"> </v>
      </c>
      <c r="S153" s="169"/>
      <c r="T153" s="131">
        <f>ROUND(R153*$C153,0)</f>
        <v>0</v>
      </c>
      <c r="U153" s="131"/>
      <c r="V153" s="193" t="str">
        <f>$V$89</f>
        <v xml:space="preserve"> </v>
      </c>
      <c r="W153" s="169"/>
      <c r="X153" s="131">
        <f>ROUND(V153*$C153,0)</f>
        <v>0</v>
      </c>
      <c r="Y153" s="53"/>
      <c r="Z153" s="110"/>
      <c r="AA153" s="110"/>
      <c r="AB153" s="110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U153" s="135"/>
    </row>
    <row r="154" spans="1:47" hidden="1">
      <c r="A154" s="169" t="s">
        <v>124</v>
      </c>
      <c r="B154" s="169"/>
      <c r="C154" s="189">
        <v>127178.67741935499</v>
      </c>
      <c r="D154" s="195">
        <v>5.9489999999999998</v>
      </c>
      <c r="E154" s="169" t="s">
        <v>107</v>
      </c>
      <c r="F154" s="131">
        <f>ROUND(D154*$C154/100,0)</f>
        <v>7566</v>
      </c>
      <c r="G154" s="195">
        <v>6.1989999999999998</v>
      </c>
      <c r="H154" s="169" t="s">
        <v>107</v>
      </c>
      <c r="I154" s="131">
        <f>ROUND(C154*G154/100,0)</f>
        <v>7884</v>
      </c>
      <c r="J154" s="195">
        <f>$J$90</f>
        <v>6.4249999999999998</v>
      </c>
      <c r="K154" s="169" t="s">
        <v>107</v>
      </c>
      <c r="L154" s="131">
        <f>ROUND(J154*$C154/100,0)</f>
        <v>8171</v>
      </c>
      <c r="M154" s="131"/>
      <c r="N154" s="195">
        <f>N90</f>
        <v>1.268605763197487</v>
      </c>
      <c r="O154" s="169" t="s">
        <v>107</v>
      </c>
      <c r="P154" s="131">
        <f>N154*$C154/100</f>
        <v>1613.3960313002785</v>
      </c>
      <c r="Q154" s="131"/>
      <c r="R154" s="195">
        <f>R90</f>
        <v>1.0211615600347985</v>
      </c>
      <c r="S154" s="169" t="s">
        <v>107</v>
      </c>
      <c r="T154" s="131">
        <f>ROUND(R154*$C154/100,0)</f>
        <v>1299</v>
      </c>
      <c r="U154" s="131"/>
      <c r="V154" s="195">
        <f>V90</f>
        <v>4.134232630171204</v>
      </c>
      <c r="W154" s="169" t="s">
        <v>107</v>
      </c>
      <c r="X154" s="131">
        <f>ROUND(V154*$C154/100,0)</f>
        <v>5258</v>
      </c>
      <c r="Y154" s="53"/>
      <c r="Z154" s="110"/>
      <c r="AA154" s="110"/>
      <c r="AB154" s="110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U154" s="135"/>
    </row>
    <row r="155" spans="1:47" hidden="1">
      <c r="A155" s="169" t="s">
        <v>125</v>
      </c>
      <c r="B155" s="169"/>
      <c r="C155" s="189">
        <v>310537.32258064498</v>
      </c>
      <c r="D155" s="195">
        <v>9.4159999999999986</v>
      </c>
      <c r="E155" s="169" t="s">
        <v>107</v>
      </c>
      <c r="F155" s="131">
        <f>ROUND(D155*$C155/100,0)</f>
        <v>29240</v>
      </c>
      <c r="G155" s="195">
        <v>9.8170000000000002</v>
      </c>
      <c r="H155" s="169" t="s">
        <v>107</v>
      </c>
      <c r="I155" s="131">
        <f>ROUND(C155*G155/100,0)</f>
        <v>30485</v>
      </c>
      <c r="J155" s="195">
        <f>$J$91</f>
        <v>10.166</v>
      </c>
      <c r="K155" s="169" t="s">
        <v>107</v>
      </c>
      <c r="L155" s="131">
        <f>ROUND(J155*$C155/100,0)</f>
        <v>31569</v>
      </c>
      <c r="M155" s="131"/>
      <c r="N155" s="195">
        <f>N91</f>
        <v>2.0072601215215515</v>
      </c>
      <c r="O155" s="169" t="s">
        <v>107</v>
      </c>
      <c r="P155" s="131">
        <f>N155*$C155/100</f>
        <v>6233.2918386020265</v>
      </c>
      <c r="Q155" s="131"/>
      <c r="R155" s="195">
        <f>R91</f>
        <v>1.6157398433397301</v>
      </c>
      <c r="S155" s="169" t="s">
        <v>107</v>
      </c>
      <c r="T155" s="131">
        <f>ROUND(R155*$C155/100,0)</f>
        <v>5017</v>
      </c>
      <c r="U155" s="131"/>
      <c r="V155" s="195">
        <f>V91</f>
        <v>6.5430000340185881</v>
      </c>
      <c r="W155" s="169" t="s">
        <v>107</v>
      </c>
      <c r="X155" s="131">
        <f>ROUND(V155*$C155/100,0)</f>
        <v>20318</v>
      </c>
      <c r="Y155" s="53"/>
      <c r="Z155" s="110"/>
      <c r="AA155" s="110"/>
      <c r="AB155" s="110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U155" s="135"/>
    </row>
    <row r="156" spans="1:47" hidden="1">
      <c r="A156" s="169" t="s">
        <v>126</v>
      </c>
      <c r="B156" s="169"/>
      <c r="C156" s="189">
        <v>773</v>
      </c>
      <c r="D156" s="193">
        <v>1.65</v>
      </c>
      <c r="E156" s="169"/>
      <c r="F156" s="131">
        <f>ROUND(D156*$C156,0)</f>
        <v>1275</v>
      </c>
      <c r="G156" s="193">
        <v>1.65</v>
      </c>
      <c r="H156" s="169"/>
      <c r="I156" s="131">
        <f t="shared" ref="I156:I157" si="37">ROUND(G156*C156,0)</f>
        <v>1275</v>
      </c>
      <c r="J156" s="193">
        <f>$J$92</f>
        <v>1.7051426866064399</v>
      </c>
      <c r="K156" s="169"/>
      <c r="L156" s="131">
        <f>ROUND(J156*$C156,0)</f>
        <v>1318</v>
      </c>
      <c r="M156" s="131"/>
      <c r="N156" s="193">
        <v>0</v>
      </c>
      <c r="O156" s="169"/>
      <c r="P156" s="131">
        <f>ROUND(N156*$C156,0)</f>
        <v>0</v>
      </c>
      <c r="Q156" s="131"/>
      <c r="R156" s="193">
        <v>0</v>
      </c>
      <c r="S156" s="169"/>
      <c r="T156" s="131">
        <f>ROUND(R156*$C156,0)</f>
        <v>0</v>
      </c>
      <c r="U156" s="131"/>
      <c r="V156" s="193">
        <f>V92</f>
        <v>1.7051426866064399</v>
      </c>
      <c r="W156" s="169"/>
      <c r="X156" s="131">
        <f>ROUND(V156*$C156,0)</f>
        <v>1318</v>
      </c>
      <c r="Y156" s="53"/>
      <c r="Z156" s="110"/>
      <c r="AA156" s="110"/>
      <c r="AB156" s="110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U156" s="135"/>
    </row>
    <row r="157" spans="1:47" hidden="1">
      <c r="A157" s="199" t="s">
        <v>127</v>
      </c>
      <c r="B157" s="199"/>
      <c r="C157" s="189">
        <v>107</v>
      </c>
      <c r="D157" s="193">
        <v>3.2</v>
      </c>
      <c r="E157" s="199"/>
      <c r="F157" s="131">
        <f>ROUND(D157*$C157,0)</f>
        <v>342</v>
      </c>
      <c r="G157" s="193">
        <v>3.2</v>
      </c>
      <c r="H157" s="199"/>
      <c r="I157" s="131">
        <f t="shared" si="37"/>
        <v>342</v>
      </c>
      <c r="J157" s="193">
        <f>$J$93</f>
        <v>3.3</v>
      </c>
      <c r="K157" s="199"/>
      <c r="L157" s="131">
        <f>ROUND(J157*$C157,0)</f>
        <v>353</v>
      </c>
      <c r="M157" s="131"/>
      <c r="N157" s="193">
        <v>0</v>
      </c>
      <c r="O157" s="199"/>
      <c r="P157" s="131">
        <f>ROUND(N157*$C157,0)</f>
        <v>0</v>
      </c>
      <c r="Q157" s="131"/>
      <c r="R157" s="193">
        <v>0</v>
      </c>
      <c r="S157" s="199"/>
      <c r="T157" s="131">
        <f>ROUND(R157*$C157,0)</f>
        <v>0</v>
      </c>
      <c r="U157" s="131"/>
      <c r="V157" s="193">
        <f>V93</f>
        <v>3.3</v>
      </c>
      <c r="W157" s="199"/>
      <c r="X157" s="131">
        <f>ROUND(V157*$C157,0)</f>
        <v>353</v>
      </c>
      <c r="Y157" s="53"/>
      <c r="Z157" s="110"/>
      <c r="AA157" s="110"/>
      <c r="AB157" s="110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U157" s="135"/>
    </row>
    <row r="158" spans="1:47" hidden="1">
      <c r="A158" s="199" t="s">
        <v>128</v>
      </c>
      <c r="B158" s="199"/>
      <c r="C158" s="189">
        <v>15</v>
      </c>
      <c r="D158" s="200">
        <v>-1.65</v>
      </c>
      <c r="E158" s="199"/>
      <c r="F158" s="131">
        <f>ROUND(D158*$C158,0)</f>
        <v>-25</v>
      </c>
      <c r="G158" s="200">
        <v>-1.65</v>
      </c>
      <c r="H158" s="199"/>
      <c r="I158" s="131">
        <f>ROUND(G158*C158,0)</f>
        <v>-25</v>
      </c>
      <c r="J158" s="200">
        <f>-J156</f>
        <v>-1.7051426866064399</v>
      </c>
      <c r="K158" s="199"/>
      <c r="L158" s="131">
        <f>ROUND(J158*$C158,0)</f>
        <v>-26</v>
      </c>
      <c r="M158" s="131"/>
      <c r="N158" s="200">
        <f>-N156</f>
        <v>0</v>
      </c>
      <c r="O158" s="199"/>
      <c r="P158" s="131">
        <f>ROUND(N158*$C158,0)</f>
        <v>0</v>
      </c>
      <c r="Q158" s="131"/>
      <c r="R158" s="200">
        <f>-R156</f>
        <v>0</v>
      </c>
      <c r="S158" s="199"/>
      <c r="T158" s="131">
        <f>ROUND(R158*$C158,0)</f>
        <v>0</v>
      </c>
      <c r="U158" s="131"/>
      <c r="V158" s="200">
        <f>-V156</f>
        <v>-1.7051426866064399</v>
      </c>
      <c r="W158" s="199"/>
      <c r="X158" s="131">
        <f>ROUND(V158*$C158,0)</f>
        <v>-26</v>
      </c>
      <c r="Y158" s="53"/>
      <c r="Z158" s="110"/>
      <c r="AA158" s="110"/>
      <c r="AB158" s="110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U158" s="135"/>
    </row>
    <row r="159" spans="1:47" s="141" customFormat="1" hidden="1">
      <c r="A159" s="140" t="s">
        <v>129</v>
      </c>
      <c r="C159" s="142">
        <f>C154</f>
        <v>127178.67741935499</v>
      </c>
      <c r="D159" s="138"/>
      <c r="E159" s="143"/>
      <c r="F159" s="144"/>
      <c r="G159" s="138"/>
      <c r="H159" s="143"/>
      <c r="I159" s="144"/>
      <c r="J159" s="145">
        <f>J144</f>
        <v>0</v>
      </c>
      <c r="K159" s="146" t="s">
        <v>107</v>
      </c>
      <c r="L159" s="144">
        <f t="shared" ref="L159:L160" si="38">J159*C159/100</f>
        <v>0</v>
      </c>
      <c r="M159" s="144"/>
      <c r="N159" s="145" t="str">
        <f>N144</f>
        <v xml:space="preserve"> </v>
      </c>
      <c r="O159" s="146" t="s">
        <v>107</v>
      </c>
      <c r="P159" s="144">
        <f>N159*C159/100</f>
        <v>0</v>
      </c>
      <c r="Q159" s="144"/>
      <c r="R159" s="145" t="str">
        <f>R144</f>
        <v xml:space="preserve"> </v>
      </c>
      <c r="S159" s="146" t="s">
        <v>107</v>
      </c>
      <c r="T159" s="144">
        <f>R159*C159/100</f>
        <v>0</v>
      </c>
      <c r="U159" s="144"/>
      <c r="V159" s="145">
        <f>V144</f>
        <v>0</v>
      </c>
      <c r="W159" s="146" t="s">
        <v>107</v>
      </c>
      <c r="X159" s="144">
        <f>V159*C159/100</f>
        <v>0</v>
      </c>
      <c r="Z159" s="132"/>
      <c r="AC159" s="148"/>
      <c r="AD159" s="148"/>
      <c r="AI159" s="143"/>
      <c r="AJ159" s="143"/>
      <c r="AK159" s="143"/>
      <c r="AL159" s="143"/>
      <c r="AM159" s="143"/>
      <c r="AN159" s="143"/>
      <c r="AO159" s="143"/>
      <c r="AP159" s="143"/>
      <c r="AQ159" s="143"/>
      <c r="AR159" s="143"/>
      <c r="AS159" s="143"/>
      <c r="AU159" s="147"/>
    </row>
    <row r="160" spans="1:47" s="141" customFormat="1" hidden="1">
      <c r="A160" s="140" t="s">
        <v>130</v>
      </c>
      <c r="C160" s="142">
        <f>C155</f>
        <v>310537.32258064498</v>
      </c>
      <c r="D160" s="138"/>
      <c r="E160" s="143"/>
      <c r="F160" s="144"/>
      <c r="G160" s="138"/>
      <c r="H160" s="143"/>
      <c r="I160" s="144"/>
      <c r="J160" s="145">
        <f>J145</f>
        <v>0</v>
      </c>
      <c r="K160" s="146" t="s">
        <v>107</v>
      </c>
      <c r="L160" s="144">
        <f t="shared" si="38"/>
        <v>0</v>
      </c>
      <c r="M160" s="144"/>
      <c r="N160" s="145" t="str">
        <f>N145</f>
        <v xml:space="preserve"> </v>
      </c>
      <c r="O160" s="146" t="s">
        <v>107</v>
      </c>
      <c r="P160" s="144">
        <f>N160*C160/100</f>
        <v>0</v>
      </c>
      <c r="Q160" s="144"/>
      <c r="R160" s="145" t="str">
        <f>R145</f>
        <v xml:space="preserve"> </v>
      </c>
      <c r="S160" s="146" t="s">
        <v>107</v>
      </c>
      <c r="T160" s="144">
        <f>R160*C160/100</f>
        <v>0</v>
      </c>
      <c r="U160" s="144"/>
      <c r="V160" s="145">
        <f>V145</f>
        <v>0</v>
      </c>
      <c r="W160" s="146" t="s">
        <v>107</v>
      </c>
      <c r="X160" s="144">
        <f>V160*C160/100</f>
        <v>0</v>
      </c>
      <c r="Z160" s="132"/>
      <c r="AC160" s="148"/>
      <c r="AD160" s="148"/>
      <c r="AI160" s="143"/>
      <c r="AJ160" s="143"/>
      <c r="AK160" s="143"/>
      <c r="AL160" s="143"/>
      <c r="AM160" s="143"/>
      <c r="AN160" s="143"/>
      <c r="AO160" s="143"/>
      <c r="AP160" s="143"/>
      <c r="AQ160" s="143"/>
      <c r="AR160" s="143"/>
      <c r="AS160" s="143"/>
      <c r="AU160" s="147"/>
    </row>
    <row r="161" spans="1:54" hidden="1">
      <c r="A161" s="169" t="s">
        <v>133</v>
      </c>
      <c r="B161" s="169"/>
      <c r="C161" s="189">
        <f>SUM(C154:C155)</f>
        <v>437716</v>
      </c>
      <c r="D161" s="211"/>
      <c r="E161" s="131"/>
      <c r="F161" s="131">
        <f>SUM(F153:F158)</f>
        <v>39694</v>
      </c>
      <c r="G161" s="211"/>
      <c r="H161" s="131"/>
      <c r="I161" s="131">
        <f>SUM(I153:I158)</f>
        <v>41635</v>
      </c>
      <c r="J161" s="131"/>
      <c r="K161" s="131"/>
      <c r="L161" s="131">
        <f>SUM(L153:L160)</f>
        <v>43059</v>
      </c>
      <c r="M161" s="131"/>
      <c r="N161" s="131"/>
      <c r="O161" s="131"/>
      <c r="P161" s="131">
        <f>SUM(P153:P160)</f>
        <v>9520.4382865689731</v>
      </c>
      <c r="Q161" s="131"/>
      <c r="R161" s="131"/>
      <c r="S161" s="131"/>
      <c r="T161" s="131">
        <f>SUM(T153:T160)</f>
        <v>6316</v>
      </c>
      <c r="U161" s="131"/>
      <c r="V161" s="131"/>
      <c r="W161" s="131"/>
      <c r="X161" s="131">
        <f>SUM(X153:X160)</f>
        <v>27221</v>
      </c>
      <c r="Y161" s="53"/>
      <c r="Z161" s="110"/>
      <c r="AA161" s="110"/>
      <c r="AB161" s="110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U161" s="135"/>
    </row>
    <row r="162" spans="1:54" hidden="1">
      <c r="A162" s="169" t="s">
        <v>111</v>
      </c>
      <c r="B162" s="169"/>
      <c r="C162" s="223">
        <v>-1581.2292178126904</v>
      </c>
      <c r="D162" s="154"/>
      <c r="E162" s="154"/>
      <c r="F162" s="152">
        <f>I162</f>
        <v>-81.187001071598146</v>
      </c>
      <c r="G162" s="154"/>
      <c r="H162" s="154"/>
      <c r="I162" s="152">
        <v>-81.187001071598146</v>
      </c>
      <c r="J162" s="154"/>
      <c r="K162" s="154"/>
      <c r="L162" s="152">
        <f>I162</f>
        <v>-81.187001071598146</v>
      </c>
      <c r="M162" s="153"/>
      <c r="N162" s="154"/>
      <c r="O162" s="154"/>
      <c r="P162" s="152">
        <f>L162/$L$100*$P$100</f>
        <v>-20.400202627655531</v>
      </c>
      <c r="Q162" s="153"/>
      <c r="R162" s="154"/>
      <c r="S162" s="154"/>
      <c r="T162" s="152">
        <f>L162/$L$100*$T$100</f>
        <v>-12.036810398907061</v>
      </c>
      <c r="U162" s="153"/>
      <c r="V162" s="154"/>
      <c r="W162" s="154"/>
      <c r="X162" s="152">
        <f>L162/$L$100*$X$100</f>
        <v>-48.74998804503555</v>
      </c>
      <c r="Y162" s="185"/>
      <c r="Z162" s="183"/>
      <c r="AA162" s="110"/>
      <c r="AB162" s="110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U162" s="135"/>
    </row>
    <row r="163" spans="1:54" ht="16.5" hidden="1" thickBot="1">
      <c r="A163" s="169" t="s">
        <v>134</v>
      </c>
      <c r="B163" s="169"/>
      <c r="C163" s="214">
        <f>C161+C162</f>
        <v>436134.77078218729</v>
      </c>
      <c r="D163" s="158"/>
      <c r="E163" s="158"/>
      <c r="F163" s="158">
        <f>F161+F162</f>
        <v>39612.812998928399</v>
      </c>
      <c r="G163" s="158"/>
      <c r="H163" s="158"/>
      <c r="I163" s="158">
        <f>I161+I162</f>
        <v>41553.812998928399</v>
      </c>
      <c r="J163" s="158"/>
      <c r="K163" s="158"/>
      <c r="L163" s="158">
        <f>L161+L162</f>
        <v>42977.812998928399</v>
      </c>
      <c r="M163" s="158"/>
      <c r="N163" s="158"/>
      <c r="O163" s="158"/>
      <c r="P163" s="158">
        <f>P161+P162</f>
        <v>9500.0380839413174</v>
      </c>
      <c r="Q163" s="158"/>
      <c r="R163" s="158"/>
      <c r="S163" s="158"/>
      <c r="T163" s="158">
        <f>T161+T162</f>
        <v>6303.9631896010933</v>
      </c>
      <c r="U163" s="158"/>
      <c r="V163" s="158"/>
      <c r="W163" s="158"/>
      <c r="X163" s="158">
        <f>X161+X162</f>
        <v>27172.250011954966</v>
      </c>
      <c r="Y163" s="186"/>
      <c r="Z163" s="187"/>
      <c r="AA163" s="110"/>
      <c r="AB163" s="110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U163" s="135"/>
    </row>
    <row r="164" spans="1:54" hidden="1">
      <c r="A164" s="169"/>
      <c r="B164" s="218"/>
      <c r="C164" s="189"/>
      <c r="D164" s="169" t="s">
        <v>0</v>
      </c>
      <c r="E164" s="189"/>
      <c r="G164" s="169" t="s">
        <v>0</v>
      </c>
      <c r="H164" s="169"/>
      <c r="J164" s="169" t="s">
        <v>0</v>
      </c>
      <c r="K164" s="169"/>
      <c r="L164" s="131" t="s">
        <v>0</v>
      </c>
      <c r="M164" s="131"/>
      <c r="N164" s="169" t="s">
        <v>0</v>
      </c>
      <c r="O164" s="169"/>
      <c r="P164" s="131" t="s">
        <v>0</v>
      </c>
      <c r="Q164" s="131"/>
      <c r="R164" s="169" t="s">
        <v>0</v>
      </c>
      <c r="S164" s="169"/>
      <c r="T164" s="131" t="s">
        <v>0</v>
      </c>
      <c r="U164" s="131"/>
      <c r="V164" s="169" t="s">
        <v>0</v>
      </c>
      <c r="W164" s="169"/>
      <c r="X164" s="131" t="s">
        <v>0</v>
      </c>
      <c r="Y164" s="53"/>
      <c r="Z164" s="110"/>
      <c r="AA164" s="110"/>
      <c r="AB164" s="110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U164" s="135"/>
    </row>
    <row r="165" spans="1:54">
      <c r="A165" s="188" t="s">
        <v>140</v>
      </c>
      <c r="B165" s="169"/>
      <c r="C165" s="169" t="s">
        <v>0</v>
      </c>
      <c r="D165" s="131"/>
      <c r="E165" s="131"/>
      <c r="F165" s="169" t="s">
        <v>0</v>
      </c>
      <c r="G165" s="131"/>
      <c r="H165" s="169"/>
      <c r="I165" s="169"/>
      <c r="J165" s="131"/>
      <c r="K165" s="169"/>
      <c r="L165" s="169"/>
      <c r="M165" s="169"/>
      <c r="N165" s="131"/>
      <c r="O165" s="169"/>
      <c r="P165" s="169"/>
      <c r="Q165" s="169"/>
      <c r="R165" s="131"/>
      <c r="S165" s="169"/>
      <c r="T165" s="169"/>
      <c r="U165" s="169"/>
      <c r="V165" s="131"/>
      <c r="W165" s="169"/>
      <c r="X165" s="169"/>
      <c r="Y165" s="53"/>
      <c r="Z165" s="110"/>
      <c r="AA165" s="110"/>
      <c r="AB165" s="110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U165" s="135"/>
    </row>
    <row r="166" spans="1:54">
      <c r="A166" s="169" t="s">
        <v>141</v>
      </c>
      <c r="B166" s="169"/>
      <c r="C166" s="169"/>
      <c r="D166" s="131"/>
      <c r="E166" s="131"/>
      <c r="F166" s="169"/>
      <c r="G166" s="131"/>
      <c r="H166" s="169"/>
      <c r="I166" s="169"/>
      <c r="J166" s="131"/>
      <c r="K166" s="169"/>
      <c r="L166" s="169"/>
      <c r="M166" s="169"/>
      <c r="N166" s="131"/>
      <c r="O166" s="169"/>
      <c r="P166" s="169"/>
      <c r="Q166" s="169"/>
      <c r="R166" s="131"/>
      <c r="S166" s="169"/>
      <c r="T166" s="169"/>
      <c r="U166" s="169"/>
      <c r="V166" s="131"/>
      <c r="W166" s="169"/>
      <c r="X166" s="169"/>
      <c r="Y166" s="53"/>
      <c r="Z166" s="110"/>
      <c r="AA166" s="110"/>
      <c r="AB166" s="110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U166" s="135"/>
    </row>
    <row r="167" spans="1:54">
      <c r="A167" s="169"/>
      <c r="B167" s="169"/>
      <c r="C167" s="169"/>
      <c r="D167" s="131"/>
      <c r="E167" s="131"/>
      <c r="F167" s="169"/>
      <c r="G167" s="131"/>
      <c r="H167" s="169"/>
      <c r="I167" s="169"/>
      <c r="J167" s="131"/>
      <c r="K167" s="169"/>
      <c r="L167" s="169"/>
      <c r="M167" s="169"/>
      <c r="N167" s="131"/>
      <c r="O167" s="169"/>
      <c r="P167" s="169"/>
      <c r="Q167" s="169"/>
      <c r="R167" s="131"/>
      <c r="S167" s="169"/>
      <c r="T167" s="169"/>
      <c r="U167" s="169"/>
      <c r="V167" s="131"/>
      <c r="W167" s="169"/>
      <c r="X167" s="169"/>
      <c r="Y167" s="53"/>
      <c r="AA167" s="110"/>
      <c r="AB167" s="110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U167" s="135"/>
    </row>
    <row r="168" spans="1:54">
      <c r="A168" s="169" t="s">
        <v>142</v>
      </c>
      <c r="B168" s="169"/>
      <c r="C168" s="169"/>
      <c r="D168" s="131"/>
      <c r="E168" s="131"/>
      <c r="F168" s="169"/>
      <c r="G168" s="131"/>
      <c r="H168" s="169"/>
      <c r="I168" s="169"/>
      <c r="J168" s="131"/>
      <c r="K168" s="169"/>
      <c r="L168" s="169"/>
      <c r="M168" s="169"/>
      <c r="N168" s="131"/>
      <c r="O168" s="169"/>
      <c r="P168" s="169"/>
      <c r="Q168" s="169"/>
      <c r="R168" s="131"/>
      <c r="S168" s="169"/>
      <c r="T168" s="169"/>
      <c r="U168" s="169"/>
      <c r="V168" s="131"/>
      <c r="W168" s="169"/>
      <c r="X168" s="169"/>
      <c r="Y168" s="53"/>
      <c r="Z168" s="110"/>
      <c r="AA168" s="192" t="s">
        <v>122</v>
      </c>
      <c r="AB168" s="192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U168" s="135"/>
    </row>
    <row r="169" spans="1:54">
      <c r="A169" s="169" t="s">
        <v>143</v>
      </c>
      <c r="B169" s="169"/>
      <c r="C169" s="189">
        <f>C492</f>
        <v>1</v>
      </c>
      <c r="D169" s="193">
        <v>104.52000000000001</v>
      </c>
      <c r="E169" s="131"/>
      <c r="F169" s="131">
        <f t="shared" ref="F169:I171" si="39">F457</f>
        <v>105</v>
      </c>
      <c r="G169" s="193">
        <v>104.52000000000001</v>
      </c>
      <c r="H169" s="169"/>
      <c r="I169" s="131">
        <f t="shared" si="39"/>
        <v>105</v>
      </c>
      <c r="J169" s="193">
        <v>115.19999999999999</v>
      </c>
      <c r="K169" s="169"/>
      <c r="L169" s="131">
        <f>L457</f>
        <v>115</v>
      </c>
      <c r="M169" s="131"/>
      <c r="N169" s="193">
        <v>115.19999999999999</v>
      </c>
      <c r="O169" s="169"/>
      <c r="P169" s="131">
        <v>115</v>
      </c>
      <c r="Q169" s="131"/>
      <c r="R169" s="193" t="s">
        <v>0</v>
      </c>
      <c r="S169" s="169"/>
      <c r="T169" s="131">
        <f>R169*C169</f>
        <v>0</v>
      </c>
      <c r="U169" s="131"/>
      <c r="V169" s="193" t="s">
        <v>0</v>
      </c>
      <c r="W169" s="169"/>
      <c r="X169" s="131">
        <f>V169*C169</f>
        <v>0</v>
      </c>
      <c r="AA169" s="63">
        <f>(J169-G169)/G169</f>
        <v>0.10218140068886315</v>
      </c>
      <c r="AB169" s="63"/>
      <c r="AE169" s="225"/>
      <c r="AG169" s="225"/>
      <c r="AI169" s="225"/>
      <c r="AJ169" s="225"/>
      <c r="AU169" s="53"/>
      <c r="AV169" s="53"/>
      <c r="AW169" s="53"/>
      <c r="AX169" s="53"/>
      <c r="AY169" s="53"/>
      <c r="AZ169" s="53"/>
      <c r="BB169" s="135"/>
    </row>
    <row r="170" spans="1:54">
      <c r="A170" s="169" t="s">
        <v>144</v>
      </c>
      <c r="B170" s="169"/>
      <c r="C170" s="189">
        <f>C458</f>
        <v>86.216438356164403</v>
      </c>
      <c r="D170" s="193">
        <v>155.76</v>
      </c>
      <c r="E170" s="131"/>
      <c r="F170" s="131">
        <f t="shared" si="39"/>
        <v>13429</v>
      </c>
      <c r="G170" s="193">
        <v>155.76</v>
      </c>
      <c r="H170" s="169"/>
      <c r="I170" s="131">
        <f t="shared" si="39"/>
        <v>13429</v>
      </c>
      <c r="J170" s="193">
        <v>171.60000000000002</v>
      </c>
      <c r="K170" s="169"/>
      <c r="L170" s="131">
        <f>L458</f>
        <v>14795</v>
      </c>
      <c r="M170" s="131"/>
      <c r="N170" s="193">
        <v>171.60000000000002</v>
      </c>
      <c r="O170" s="169"/>
      <c r="P170" s="131">
        <v>14795</v>
      </c>
      <c r="Q170" s="131"/>
      <c r="R170" s="193" t="s">
        <v>0</v>
      </c>
      <c r="S170" s="169"/>
      <c r="T170" s="131">
        <f t="shared" ref="T170:T175" si="40">R170*C170</f>
        <v>0</v>
      </c>
      <c r="U170" s="131"/>
      <c r="V170" s="193" t="s">
        <v>0</v>
      </c>
      <c r="W170" s="169"/>
      <c r="X170" s="131">
        <f t="shared" ref="X170:X175" si="41">V170*C170</f>
        <v>0</v>
      </c>
      <c r="Y170" s="135"/>
      <c r="AA170" s="63">
        <f>(J170-G170)/G170</f>
        <v>0.1016949152542375</v>
      </c>
      <c r="AB170" s="63"/>
      <c r="AD170" s="135"/>
      <c r="AE170" s="226"/>
      <c r="AF170" s="135"/>
      <c r="AG170" s="226"/>
      <c r="AH170" s="135"/>
      <c r="AI170" s="135"/>
      <c r="AJ170" s="226"/>
      <c r="AK170" s="93"/>
      <c r="AL170" s="135"/>
      <c r="AM170" s="135"/>
      <c r="AU170" s="53"/>
      <c r="AV170" s="53"/>
      <c r="AW170" s="53"/>
      <c r="AX170" s="53"/>
      <c r="AY170" s="53"/>
      <c r="AZ170" s="53"/>
      <c r="BB170" s="135"/>
    </row>
    <row r="171" spans="1:54">
      <c r="A171" s="169" t="s">
        <v>145</v>
      </c>
      <c r="B171" s="169"/>
      <c r="C171" s="189">
        <f>C459</f>
        <v>3360.78082191781</v>
      </c>
      <c r="D171" s="193">
        <v>11.040000000000001</v>
      </c>
      <c r="E171" s="131"/>
      <c r="F171" s="131">
        <f t="shared" si="39"/>
        <v>37103</v>
      </c>
      <c r="G171" s="193">
        <v>11.040000000000001</v>
      </c>
      <c r="H171" s="169"/>
      <c r="I171" s="131">
        <f t="shared" si="39"/>
        <v>37103</v>
      </c>
      <c r="J171" s="193">
        <v>12</v>
      </c>
      <c r="K171" s="169"/>
      <c r="L171" s="131">
        <f>L459</f>
        <v>40329</v>
      </c>
      <c r="M171" s="131"/>
      <c r="N171" s="193">
        <v>12</v>
      </c>
      <c r="O171" s="169"/>
      <c r="P171" s="131">
        <v>40329</v>
      </c>
      <c r="Q171" s="131"/>
      <c r="R171" s="193" t="s">
        <v>0</v>
      </c>
      <c r="S171" s="169"/>
      <c r="T171" s="131">
        <f t="shared" si="40"/>
        <v>0</v>
      </c>
      <c r="U171" s="131"/>
      <c r="V171" s="193" t="s">
        <v>0</v>
      </c>
      <c r="W171" s="169"/>
      <c r="X171" s="131">
        <f t="shared" si="41"/>
        <v>0</v>
      </c>
      <c r="AA171" s="63">
        <f>(J171-G171)/G171</f>
        <v>8.6956521739130349E-2</v>
      </c>
      <c r="AB171" s="63"/>
      <c r="AD171" s="135"/>
      <c r="AE171" s="226"/>
      <c r="AF171" s="135"/>
      <c r="AG171" s="226"/>
      <c r="AH171" s="135"/>
      <c r="AI171" s="135"/>
      <c r="AJ171" s="226"/>
      <c r="AK171" s="93"/>
      <c r="AL171" s="135"/>
      <c r="AM171" s="135"/>
      <c r="AU171" s="53"/>
      <c r="AV171" s="53"/>
      <c r="AW171" s="53"/>
      <c r="AX171" s="53"/>
      <c r="AY171" s="53"/>
      <c r="AZ171" s="53"/>
      <c r="BB171" s="135"/>
    </row>
    <row r="172" spans="1:54">
      <c r="A172" s="169" t="s">
        <v>146</v>
      </c>
      <c r="B172" s="169"/>
      <c r="C172" s="227"/>
      <c r="D172" s="131"/>
      <c r="E172" s="131"/>
      <c r="F172" s="169"/>
      <c r="G172" s="131"/>
      <c r="H172" s="169"/>
      <c r="I172" s="169"/>
      <c r="J172" s="131"/>
      <c r="K172" s="169"/>
      <c r="L172" s="169"/>
      <c r="M172" s="169"/>
      <c r="N172" s="131"/>
      <c r="O172" s="169"/>
      <c r="P172" s="169"/>
      <c r="Q172" s="169"/>
      <c r="R172" s="131"/>
      <c r="S172" s="169"/>
      <c r="T172" s="169"/>
      <c r="U172" s="169"/>
      <c r="V172" s="131"/>
      <c r="W172" s="169"/>
      <c r="X172" s="169"/>
      <c r="AA172" s="228"/>
      <c r="AB172" s="228"/>
      <c r="AD172" s="135"/>
      <c r="AE172" s="226"/>
      <c r="AF172" s="135"/>
      <c r="AG172" s="226"/>
      <c r="AH172" s="135"/>
      <c r="AI172" s="135"/>
      <c r="AJ172" s="226"/>
      <c r="AK172" s="93"/>
      <c r="AL172" s="135"/>
      <c r="AM172" s="135"/>
      <c r="AU172" s="53"/>
      <c r="AV172" s="53"/>
      <c r="AW172" s="53"/>
      <c r="AX172" s="53"/>
      <c r="AY172" s="53"/>
      <c r="AZ172" s="53"/>
      <c r="BB172" s="135"/>
    </row>
    <row r="173" spans="1:54">
      <c r="A173" s="169" t="s">
        <v>143</v>
      </c>
      <c r="B173" s="169"/>
      <c r="C173" s="227">
        <f>C214+C351</f>
        <v>164390.55320404682</v>
      </c>
      <c r="D173" s="193">
        <v>8.7100000000000009</v>
      </c>
      <c r="E173" s="229"/>
      <c r="F173" s="230">
        <f>F214+F351</f>
        <v>1431841</v>
      </c>
      <c r="G173" s="193">
        <v>8.7100000000000009</v>
      </c>
      <c r="H173" s="231"/>
      <c r="I173" s="230">
        <f>I214+I351</f>
        <v>1431841</v>
      </c>
      <c r="J173" s="193">
        <v>9.6</v>
      </c>
      <c r="K173" s="231"/>
      <c r="L173" s="230">
        <f>L214+L351</f>
        <v>1578150</v>
      </c>
      <c r="M173" s="230"/>
      <c r="N173" s="193">
        <v>9.6</v>
      </c>
      <c r="O173" s="231"/>
      <c r="P173" s="131">
        <v>1578150</v>
      </c>
      <c r="Q173" s="230"/>
      <c r="R173" s="193" t="s">
        <v>0</v>
      </c>
      <c r="S173" s="231"/>
      <c r="T173" s="131">
        <f t="shared" si="40"/>
        <v>0</v>
      </c>
      <c r="U173" s="230"/>
      <c r="V173" s="193" t="s">
        <v>0</v>
      </c>
      <c r="W173" s="231"/>
      <c r="X173" s="131">
        <f t="shared" si="41"/>
        <v>0</v>
      </c>
      <c r="AA173" s="63">
        <f>(J173-G173)/G173</f>
        <v>0.10218140068886322</v>
      </c>
      <c r="AB173" s="63"/>
      <c r="AD173" s="135"/>
      <c r="AE173" s="226"/>
      <c r="AF173" s="135"/>
      <c r="AG173" s="226"/>
      <c r="AH173" s="135"/>
      <c r="AI173" s="135"/>
      <c r="AJ173" s="226"/>
      <c r="AK173" s="93"/>
      <c r="AL173" s="135"/>
      <c r="AM173" s="135"/>
      <c r="AU173" s="53"/>
      <c r="AV173" s="53"/>
      <c r="AW173" s="53"/>
      <c r="AX173" s="53"/>
      <c r="AY173" s="53"/>
      <c r="AZ173" s="53"/>
      <c r="BB173" s="135"/>
    </row>
    <row r="174" spans="1:54">
      <c r="A174" s="169" t="s">
        <v>144</v>
      </c>
      <c r="B174" s="169"/>
      <c r="C174" s="227">
        <f>C215+C352</f>
        <v>63164.166666666628</v>
      </c>
      <c r="D174" s="193">
        <v>12.98</v>
      </c>
      <c r="E174" s="232"/>
      <c r="F174" s="230">
        <f>F215+F352</f>
        <v>819872</v>
      </c>
      <c r="G174" s="193">
        <v>12.98</v>
      </c>
      <c r="H174" s="233"/>
      <c r="I174" s="230">
        <f>I215+I352</f>
        <v>819872</v>
      </c>
      <c r="J174" s="193">
        <v>14.3</v>
      </c>
      <c r="K174" s="233"/>
      <c r="L174" s="230">
        <f>L215+L352</f>
        <v>903248</v>
      </c>
      <c r="M174" s="230"/>
      <c r="N174" s="193">
        <v>14.3</v>
      </c>
      <c r="O174" s="233"/>
      <c r="P174" s="131">
        <v>903248</v>
      </c>
      <c r="Q174" s="230"/>
      <c r="R174" s="193" t="s">
        <v>0</v>
      </c>
      <c r="S174" s="233"/>
      <c r="T174" s="131">
        <f t="shared" si="40"/>
        <v>0</v>
      </c>
      <c r="U174" s="230"/>
      <c r="V174" s="193" t="s">
        <v>0</v>
      </c>
      <c r="W174" s="233"/>
      <c r="X174" s="131">
        <f t="shared" si="41"/>
        <v>0</v>
      </c>
      <c r="AA174" s="63">
        <f>(J174-G174)/G174</f>
        <v>0.10169491525423731</v>
      </c>
      <c r="AB174" s="63"/>
      <c r="AC174" s="117"/>
      <c r="AD174" s="135"/>
      <c r="AE174" s="226"/>
      <c r="AF174" s="135"/>
      <c r="AG174" s="234"/>
      <c r="AH174" s="135"/>
      <c r="AI174" s="135"/>
      <c r="AJ174" s="234"/>
      <c r="AL174" s="53"/>
      <c r="AM174" s="53"/>
      <c r="AN174" s="53"/>
      <c r="AO174" s="53"/>
      <c r="AP174" s="53"/>
      <c r="AQ174" s="53"/>
      <c r="AR174" s="53"/>
      <c r="AS174" s="53"/>
      <c r="AU174" s="135"/>
    </row>
    <row r="175" spans="1:54">
      <c r="A175" s="169" t="s">
        <v>145</v>
      </c>
      <c r="B175" s="169"/>
      <c r="C175" s="227">
        <f>C216+C353</f>
        <v>1251783</v>
      </c>
      <c r="D175" s="193">
        <v>0.92</v>
      </c>
      <c r="E175" s="232"/>
      <c r="F175" s="230">
        <f>F216+F353</f>
        <v>1151641</v>
      </c>
      <c r="G175" s="193">
        <v>0.92</v>
      </c>
      <c r="H175" s="233"/>
      <c r="I175" s="230">
        <f>I216+I353</f>
        <v>1151641</v>
      </c>
      <c r="J175" s="193">
        <v>1</v>
      </c>
      <c r="K175" s="233"/>
      <c r="L175" s="230">
        <f>L216+L353</f>
        <v>1251783</v>
      </c>
      <c r="M175" s="230"/>
      <c r="N175" s="193">
        <v>1</v>
      </c>
      <c r="O175" s="233"/>
      <c r="P175" s="131">
        <v>1251783</v>
      </c>
      <c r="Q175" s="230"/>
      <c r="R175" s="193" t="s">
        <v>0</v>
      </c>
      <c r="S175" s="233"/>
      <c r="T175" s="131">
        <f t="shared" si="40"/>
        <v>0</v>
      </c>
      <c r="U175" s="230"/>
      <c r="V175" s="193" t="s">
        <v>0</v>
      </c>
      <c r="W175" s="233"/>
      <c r="X175" s="131">
        <f t="shared" si="41"/>
        <v>0</v>
      </c>
      <c r="AA175" s="63">
        <f>(J175-G175)/G175</f>
        <v>8.6956521739130391E-2</v>
      </c>
      <c r="AB175" s="63"/>
      <c r="AC175" s="117"/>
      <c r="AF175" s="235"/>
      <c r="AG175" s="235"/>
      <c r="AH175" s="235"/>
      <c r="AI175" s="235"/>
      <c r="AJ175" s="235"/>
      <c r="AL175" s="53"/>
      <c r="AM175" s="53"/>
      <c r="AN175" s="53"/>
      <c r="AO175" s="53"/>
      <c r="AP175" s="53"/>
      <c r="AQ175" s="53"/>
      <c r="AR175" s="53"/>
      <c r="AS175" s="53"/>
      <c r="AU175" s="135"/>
    </row>
    <row r="176" spans="1:54">
      <c r="A176" s="169" t="s">
        <v>147</v>
      </c>
      <c r="B176" s="169"/>
      <c r="C176" s="227">
        <f>SUM(C173:C174)</f>
        <v>227554.71987071345</v>
      </c>
      <c r="D176" s="193"/>
      <c r="E176" s="229"/>
      <c r="F176" s="230"/>
      <c r="G176" s="193"/>
      <c r="H176" s="231"/>
      <c r="I176" s="230"/>
      <c r="J176" s="193"/>
      <c r="K176" s="231"/>
      <c r="L176" s="230"/>
      <c r="M176" s="230"/>
      <c r="N176" s="193"/>
      <c r="O176" s="231"/>
      <c r="P176" s="230"/>
      <c r="Q176" s="230"/>
      <c r="R176" s="193"/>
      <c r="S176" s="231"/>
      <c r="T176" s="230"/>
      <c r="U176" s="230"/>
      <c r="V176" s="193"/>
      <c r="W176" s="231"/>
      <c r="X176" s="230"/>
      <c r="AA176" s="228"/>
      <c r="AB176" s="228"/>
      <c r="AC176" s="117"/>
      <c r="AL176" s="53"/>
      <c r="AM176" s="53"/>
      <c r="AN176" s="53"/>
      <c r="AO176" s="53"/>
      <c r="AP176" s="53"/>
      <c r="AQ176" s="53"/>
      <c r="AR176" s="53"/>
      <c r="AS176" s="53"/>
      <c r="AU176" s="135"/>
    </row>
    <row r="177" spans="1:47">
      <c r="A177" s="169" t="s">
        <v>109</v>
      </c>
      <c r="B177" s="169"/>
      <c r="C177" s="227">
        <f t="shared" ref="C177:C182" si="42">C217+C355+C461</f>
        <v>225461.92499999961</v>
      </c>
      <c r="D177" s="193"/>
      <c r="E177" s="229"/>
      <c r="F177" s="230"/>
      <c r="G177" s="193"/>
      <c r="H177" s="231"/>
      <c r="I177" s="230"/>
      <c r="J177" s="193"/>
      <c r="K177" s="231"/>
      <c r="L177" s="230"/>
      <c r="M177" s="230"/>
      <c r="N177" s="193"/>
      <c r="O177" s="231"/>
      <c r="P177" s="230"/>
      <c r="Q177" s="230"/>
      <c r="R177" s="193"/>
      <c r="S177" s="231"/>
      <c r="T177" s="230"/>
      <c r="U177" s="230"/>
      <c r="V177" s="193"/>
      <c r="W177" s="231"/>
      <c r="X177" s="230"/>
      <c r="AA177" s="228"/>
      <c r="AB177" s="228"/>
      <c r="AC177" s="117"/>
      <c r="AL177" s="53"/>
      <c r="AM177" s="53"/>
      <c r="AN177" s="53"/>
      <c r="AO177" s="53"/>
      <c r="AP177" s="53"/>
      <c r="AQ177" s="53"/>
      <c r="AR177" s="53"/>
      <c r="AS177" s="53"/>
      <c r="AU177" s="135"/>
    </row>
    <row r="178" spans="1:47">
      <c r="A178" s="169" t="s">
        <v>148</v>
      </c>
      <c r="B178" s="169"/>
      <c r="C178" s="227">
        <f t="shared" si="42"/>
        <v>856088.82058823528</v>
      </c>
      <c r="D178" s="193">
        <v>3.4</v>
      </c>
      <c r="E178" s="231"/>
      <c r="F178" s="230">
        <f>F218+F356+F462</f>
        <v>2910702</v>
      </c>
      <c r="G178" s="193">
        <v>3.61</v>
      </c>
      <c r="H178" s="231"/>
      <c r="I178" s="230">
        <f>I218+I356+I462</f>
        <v>3090481</v>
      </c>
      <c r="J178" s="193">
        <v>3.64</v>
      </c>
      <c r="K178" s="231"/>
      <c r="L178" s="230">
        <f t="shared" ref="L178:L185" si="43">L218+L356+L462</f>
        <v>3116164</v>
      </c>
      <c r="M178" s="230"/>
      <c r="N178" s="193">
        <v>0.48</v>
      </c>
      <c r="O178" s="169" t="s">
        <v>0</v>
      </c>
      <c r="P178" s="131">
        <v>406905.21269638068</v>
      </c>
      <c r="Q178" s="169" t="s">
        <v>0</v>
      </c>
      <c r="R178" s="193">
        <v>0.63</v>
      </c>
      <c r="S178" s="169" t="s">
        <v>0</v>
      </c>
      <c r="T178" s="131">
        <v>535710.10822964099</v>
      </c>
      <c r="U178" s="131"/>
      <c r="V178" s="193">
        <v>2.54</v>
      </c>
      <c r="W178" s="169" t="s">
        <v>0</v>
      </c>
      <c r="X178" s="131">
        <v>2173001.830141224</v>
      </c>
      <c r="AA178" s="63">
        <f>(J178-G178)/G178</f>
        <v>8.3102493074792942E-3</v>
      </c>
      <c r="AB178" s="63"/>
      <c r="AC178" s="117"/>
      <c r="AL178" s="53"/>
      <c r="AM178" s="53"/>
      <c r="AN178" s="53"/>
      <c r="AO178" s="53"/>
      <c r="AP178" s="53"/>
      <c r="AQ178" s="53"/>
      <c r="AR178" s="53"/>
      <c r="AS178" s="53"/>
      <c r="AU178" s="135"/>
    </row>
    <row r="179" spans="1:47">
      <c r="A179" s="169" t="s">
        <v>149</v>
      </c>
      <c r="B179" s="169"/>
      <c r="C179" s="227">
        <f t="shared" si="42"/>
        <v>131966941.08172859</v>
      </c>
      <c r="D179" s="195">
        <v>9.766</v>
      </c>
      <c r="E179" s="231" t="s">
        <v>107</v>
      </c>
      <c r="F179" s="230">
        <f>F219+F357+F463</f>
        <v>12887891</v>
      </c>
      <c r="G179" s="195">
        <v>10.359</v>
      </c>
      <c r="H179" s="231" t="s">
        <v>107</v>
      </c>
      <c r="I179" s="230">
        <f>I219+I357+I463</f>
        <v>13670457</v>
      </c>
      <c r="J179" s="195">
        <v>10.449</v>
      </c>
      <c r="K179" s="231" t="s">
        <v>107</v>
      </c>
      <c r="L179" s="230">
        <f t="shared" si="43"/>
        <v>13789226</v>
      </c>
      <c r="M179" s="230"/>
      <c r="N179" s="195">
        <v>1.3644187751662151</v>
      </c>
      <c r="O179" s="146" t="s">
        <v>107</v>
      </c>
      <c r="P179" s="131">
        <v>1800581.7211316421</v>
      </c>
      <c r="Q179" s="230"/>
      <c r="R179" s="195">
        <v>1.7973223544650079</v>
      </c>
      <c r="S179" s="231" t="s">
        <v>107</v>
      </c>
      <c r="T179" s="131">
        <v>2370551.6631547567</v>
      </c>
      <c r="U179" s="230"/>
      <c r="V179" s="195">
        <v>7.2874254450520697</v>
      </c>
      <c r="W179" s="231" t="s">
        <v>107</v>
      </c>
      <c r="X179" s="131">
        <v>9615672.7740359455</v>
      </c>
      <c r="AA179" s="63">
        <f>((J179+J183)-G179)/G179</f>
        <v>8.6880973066898216E-3</v>
      </c>
      <c r="AB179" s="63"/>
      <c r="AC179" s="117"/>
      <c r="AD179" s="92"/>
      <c r="AE179" s="92"/>
      <c r="AF179" s="92"/>
      <c r="AG179" s="92"/>
      <c r="AH179" s="92"/>
      <c r="AI179" s="92"/>
      <c r="AL179" s="53"/>
      <c r="AM179" s="53"/>
      <c r="AN179" s="53"/>
      <c r="AO179" s="53"/>
      <c r="AP179" s="53"/>
      <c r="AQ179" s="53"/>
      <c r="AR179" s="53"/>
      <c r="AS179" s="53"/>
      <c r="AU179" s="135"/>
    </row>
    <row r="180" spans="1:47">
      <c r="A180" s="169" t="s">
        <v>150</v>
      </c>
      <c r="B180" s="169"/>
      <c r="C180" s="227">
        <f t="shared" si="42"/>
        <v>289086888.50220066</v>
      </c>
      <c r="D180" s="195">
        <v>6.7460000000000004</v>
      </c>
      <c r="E180" s="231" t="s">
        <v>107</v>
      </c>
      <c r="F180" s="230">
        <f>F220+F358+F464</f>
        <v>19501802</v>
      </c>
      <c r="G180" s="195">
        <v>7.1559999999999997</v>
      </c>
      <c r="H180" s="231" t="s">
        <v>107</v>
      </c>
      <c r="I180" s="230">
        <f>I220+I358+I464</f>
        <v>20687058</v>
      </c>
      <c r="J180" s="195">
        <v>7.218</v>
      </c>
      <c r="K180" s="231" t="s">
        <v>107</v>
      </c>
      <c r="L180" s="230">
        <f t="shared" si="43"/>
        <v>20866292</v>
      </c>
      <c r="M180" s="230"/>
      <c r="N180" s="195">
        <v>0.94251839115112013</v>
      </c>
      <c r="O180" s="146" t="s">
        <v>107</v>
      </c>
      <c r="P180" s="131">
        <v>2724697.0905397744</v>
      </c>
      <c r="Q180" s="230"/>
      <c r="R180" s="195">
        <v>1.2418703884281421</v>
      </c>
      <c r="S180" s="231" t="s">
        <v>107</v>
      </c>
      <c r="T180" s="131">
        <v>3587193.596252088</v>
      </c>
      <c r="U180" s="230"/>
      <c r="V180" s="195">
        <v>5.0333446832527242</v>
      </c>
      <c r="W180" s="231" t="s">
        <v>107</v>
      </c>
      <c r="X180" s="131">
        <v>14550739.532406246</v>
      </c>
      <c r="Y180" s="236"/>
      <c r="AA180" s="63">
        <f>((J180+J184)-G180)/G180</f>
        <v>8.6640581330352535E-3</v>
      </c>
      <c r="AB180" s="63"/>
      <c r="AC180" s="117"/>
      <c r="AL180" s="53"/>
      <c r="AM180" s="53"/>
      <c r="AN180" s="53"/>
      <c r="AO180" s="53"/>
      <c r="AP180" s="53"/>
      <c r="AQ180" s="53"/>
      <c r="AR180" s="53"/>
      <c r="AS180" s="53"/>
      <c r="AU180" s="135"/>
    </row>
    <row r="181" spans="1:47">
      <c r="A181" s="169" t="s">
        <v>151</v>
      </c>
      <c r="B181" s="169"/>
      <c r="C181" s="227">
        <f t="shared" si="42"/>
        <v>123964295.42237033</v>
      </c>
      <c r="D181" s="195">
        <v>5.8120000000000003</v>
      </c>
      <c r="E181" s="231" t="s">
        <v>107</v>
      </c>
      <c r="F181" s="230">
        <f>F221+F359+F465</f>
        <v>7204804</v>
      </c>
      <c r="G181" s="195">
        <v>6.1660000000000004</v>
      </c>
      <c r="H181" s="231" t="s">
        <v>107</v>
      </c>
      <c r="I181" s="230">
        <f>I221+I359+I465</f>
        <v>7643639</v>
      </c>
      <c r="J181" s="195">
        <v>6.218</v>
      </c>
      <c r="K181" s="231" t="s">
        <v>107</v>
      </c>
      <c r="L181" s="230">
        <f t="shared" si="43"/>
        <v>7708099</v>
      </c>
      <c r="M181" s="230"/>
      <c r="N181" s="195">
        <v>0.81193939748297494</v>
      </c>
      <c r="O181" s="146" t="s">
        <v>107</v>
      </c>
      <c r="P181" s="131">
        <v>1006514.9533464088</v>
      </c>
      <c r="Q181" s="230"/>
      <c r="R181" s="195">
        <v>1.0689569190308457</v>
      </c>
      <c r="S181" s="231" t="s">
        <v>107</v>
      </c>
      <c r="T181" s="131">
        <v>1325124.9130452657</v>
      </c>
      <c r="U181" s="230"/>
      <c r="V181" s="195">
        <v>4.3370117827017491</v>
      </c>
      <c r="W181" s="231" t="s">
        <v>107</v>
      </c>
      <c r="X181" s="131">
        <v>5375106.4558571819</v>
      </c>
      <c r="Y181" s="197"/>
      <c r="AA181" s="63">
        <f>((J181+J185)-G181)/G181</f>
        <v>8.4333441453129411E-3</v>
      </c>
      <c r="AB181" s="63"/>
      <c r="AC181" s="117"/>
      <c r="AD181" s="135"/>
      <c r="AE181" s="135"/>
      <c r="AL181" s="53"/>
      <c r="AM181" s="53"/>
      <c r="AN181" s="53"/>
      <c r="AO181" s="53"/>
      <c r="AP181" s="53"/>
      <c r="AQ181" s="53"/>
      <c r="AR181" s="53"/>
      <c r="AS181" s="53"/>
      <c r="AU181" s="135"/>
    </row>
    <row r="182" spans="1:47">
      <c r="A182" s="169" t="s">
        <v>152</v>
      </c>
      <c r="B182" s="169"/>
      <c r="C182" s="227">
        <f t="shared" si="42"/>
        <v>118638.41500000002</v>
      </c>
      <c r="D182" s="237">
        <v>56</v>
      </c>
      <c r="E182" s="229" t="s">
        <v>107</v>
      </c>
      <c r="F182" s="230">
        <f>F222+F360+F466</f>
        <v>66437</v>
      </c>
      <c r="G182" s="237">
        <v>56</v>
      </c>
      <c r="H182" s="231" t="s">
        <v>107</v>
      </c>
      <c r="I182" s="230">
        <f>I222+I360+I466</f>
        <v>66437</v>
      </c>
      <c r="J182" s="237">
        <v>56</v>
      </c>
      <c r="K182" s="231" t="s">
        <v>107</v>
      </c>
      <c r="L182" s="230">
        <f t="shared" si="43"/>
        <v>66437</v>
      </c>
      <c r="M182" s="230"/>
      <c r="N182" s="237" t="s">
        <v>0</v>
      </c>
      <c r="O182" s="231"/>
      <c r="P182" s="238">
        <f t="shared" ref="P182" si="44">N182*C182</f>
        <v>0</v>
      </c>
      <c r="Q182" s="230"/>
      <c r="R182" s="237">
        <v>11</v>
      </c>
      <c r="S182" s="231" t="s">
        <v>107</v>
      </c>
      <c r="T182" s="131">
        <v>13136.7847283834</v>
      </c>
      <c r="U182" s="230"/>
      <c r="V182" s="237">
        <v>45</v>
      </c>
      <c r="W182" s="231" t="s">
        <v>107</v>
      </c>
      <c r="X182" s="131">
        <v>53300.215271616595</v>
      </c>
      <c r="AA182" s="63">
        <f>(J182-G182)/G182</f>
        <v>0</v>
      </c>
      <c r="AB182" s="63"/>
      <c r="AC182" s="117"/>
      <c r="AL182" s="53"/>
      <c r="AM182" s="53"/>
      <c r="AN182" s="53"/>
      <c r="AO182" s="53"/>
      <c r="AP182" s="53"/>
      <c r="AQ182" s="53"/>
      <c r="AR182" s="53"/>
      <c r="AS182" s="53"/>
      <c r="AU182" s="135"/>
    </row>
    <row r="183" spans="1:47" s="141" customFormat="1" hidden="1">
      <c r="A183" s="140" t="s">
        <v>153</v>
      </c>
      <c r="C183" s="239">
        <f>C179</f>
        <v>131966941.08172859</v>
      </c>
      <c r="D183" s="138"/>
      <c r="E183" s="143"/>
      <c r="F183" s="144"/>
      <c r="G183" s="138"/>
      <c r="H183" s="143"/>
      <c r="I183" s="144"/>
      <c r="J183" s="195">
        <v>0</v>
      </c>
      <c r="K183" s="240" t="s">
        <v>107</v>
      </c>
      <c r="L183" s="238">
        <f t="shared" si="43"/>
        <v>0</v>
      </c>
      <c r="M183" s="238"/>
      <c r="N183" s="195" t="s">
        <v>0</v>
      </c>
      <c r="O183" s="240"/>
      <c r="P183" s="238">
        <f>N183*C183</f>
        <v>0</v>
      </c>
      <c r="Q183" s="238"/>
      <c r="R183" s="195" t="s">
        <v>0</v>
      </c>
      <c r="S183" s="240" t="s">
        <v>0</v>
      </c>
      <c r="T183" s="238">
        <f>R183*C183</f>
        <v>0</v>
      </c>
      <c r="U183" s="238"/>
      <c r="V183" s="195">
        <v>0</v>
      </c>
      <c r="W183" s="240" t="s">
        <v>107</v>
      </c>
      <c r="X183" s="131">
        <v>0</v>
      </c>
      <c r="Y183" s="147">
        <v>18366152.522005554</v>
      </c>
      <c r="Z183" s="132" t="s">
        <v>108</v>
      </c>
      <c r="AC183" s="148"/>
      <c r="AD183" s="148"/>
      <c r="AI183" s="143"/>
      <c r="AJ183" s="143"/>
      <c r="AK183" s="143"/>
      <c r="AL183" s="143"/>
      <c r="AM183" s="143"/>
      <c r="AN183" s="143"/>
      <c r="AO183" s="143"/>
      <c r="AP183" s="143"/>
      <c r="AQ183" s="143"/>
      <c r="AR183" s="143"/>
      <c r="AS183" s="143"/>
      <c r="AU183" s="147"/>
    </row>
    <row r="184" spans="1:47" s="141" customFormat="1" hidden="1">
      <c r="A184" s="140" t="s">
        <v>154</v>
      </c>
      <c r="C184" s="239">
        <f t="shared" ref="C184:C185" si="45">C180</f>
        <v>289086888.50220066</v>
      </c>
      <c r="D184" s="138"/>
      <c r="E184" s="143"/>
      <c r="F184" s="144"/>
      <c r="G184" s="138"/>
      <c r="H184" s="143"/>
      <c r="I184" s="144"/>
      <c r="J184" s="195">
        <v>0</v>
      </c>
      <c r="K184" s="240" t="s">
        <v>107</v>
      </c>
      <c r="L184" s="238">
        <f t="shared" si="43"/>
        <v>0</v>
      </c>
      <c r="M184" s="238"/>
      <c r="N184" s="195" t="s">
        <v>0</v>
      </c>
      <c r="O184" s="240"/>
      <c r="P184" s="238">
        <f t="shared" ref="P184:P185" si="46">N184*C184</f>
        <v>0</v>
      </c>
      <c r="Q184" s="238"/>
      <c r="R184" s="195" t="s">
        <v>0</v>
      </c>
      <c r="S184" s="240" t="s">
        <v>0</v>
      </c>
      <c r="T184" s="238">
        <f t="shared" ref="T184:T185" si="47">R184*C184</f>
        <v>0</v>
      </c>
      <c r="U184" s="238"/>
      <c r="V184" s="195">
        <v>0</v>
      </c>
      <c r="W184" s="240" t="s">
        <v>107</v>
      </c>
      <c r="X184" s="131">
        <v>0</v>
      </c>
      <c r="Z184" s="132"/>
      <c r="AC184" s="148"/>
      <c r="AD184" s="148"/>
      <c r="AI184" s="143"/>
      <c r="AJ184" s="143"/>
      <c r="AK184" s="143"/>
      <c r="AL184" s="143"/>
      <c r="AM184" s="143"/>
      <c r="AN184" s="143"/>
      <c r="AO184" s="143"/>
      <c r="AP184" s="143"/>
      <c r="AQ184" s="143"/>
      <c r="AR184" s="143"/>
      <c r="AS184" s="143"/>
      <c r="AU184" s="147"/>
    </row>
    <row r="185" spans="1:47" s="141" customFormat="1" hidden="1">
      <c r="A185" s="140" t="s">
        <v>155</v>
      </c>
      <c r="C185" s="239">
        <f t="shared" si="45"/>
        <v>123964295.42237033</v>
      </c>
      <c r="D185" s="138"/>
      <c r="E185" s="143"/>
      <c r="F185" s="144"/>
      <c r="G185" s="138"/>
      <c r="H185" s="143"/>
      <c r="I185" s="144"/>
      <c r="J185" s="195">
        <v>0</v>
      </c>
      <c r="K185" s="240" t="s">
        <v>107</v>
      </c>
      <c r="L185" s="238">
        <f t="shared" si="43"/>
        <v>8498</v>
      </c>
      <c r="M185" s="238"/>
      <c r="N185" s="195" t="s">
        <v>0</v>
      </c>
      <c r="O185" s="240"/>
      <c r="P185" s="238">
        <f t="shared" si="46"/>
        <v>0</v>
      </c>
      <c r="Q185" s="238"/>
      <c r="R185" s="195" t="s">
        <v>0</v>
      </c>
      <c r="S185" s="240" t="s">
        <v>0</v>
      </c>
      <c r="T185" s="238">
        <f t="shared" si="47"/>
        <v>0</v>
      </c>
      <c r="U185" s="238"/>
      <c r="V185" s="195">
        <v>0</v>
      </c>
      <c r="W185" s="240" t="s">
        <v>107</v>
      </c>
      <c r="X185" s="131">
        <v>8498</v>
      </c>
      <c r="Z185" s="132"/>
      <c r="AC185" s="148"/>
      <c r="AD185" s="148"/>
      <c r="AI185" s="143"/>
      <c r="AJ185" s="143"/>
      <c r="AK185" s="143"/>
      <c r="AL185" s="143"/>
      <c r="AM185" s="143"/>
      <c r="AN185" s="143"/>
      <c r="AO185" s="143"/>
      <c r="AP185" s="143"/>
      <c r="AQ185" s="143"/>
      <c r="AR185" s="143"/>
      <c r="AS185" s="143"/>
      <c r="AU185" s="147"/>
    </row>
    <row r="186" spans="1:47" s="141" customFormat="1" hidden="1">
      <c r="A186" s="202" t="s">
        <v>156</v>
      </c>
      <c r="B186" s="203"/>
      <c r="C186" s="241"/>
      <c r="D186" s="205"/>
      <c r="E186" s="206"/>
      <c r="F186" s="207"/>
      <c r="G186" s="208">
        <f>G179</f>
        <v>10.359</v>
      </c>
      <c r="H186" s="242" t="s">
        <v>107</v>
      </c>
      <c r="I186" s="207"/>
      <c r="J186" s="208">
        <f>J179+J183</f>
        <v>10.449</v>
      </c>
      <c r="K186" s="242" t="s">
        <v>107</v>
      </c>
      <c r="L186" s="243"/>
      <c r="M186" s="243"/>
      <c r="N186" s="208">
        <f>N179+N183</f>
        <v>1.3644187751662151</v>
      </c>
      <c r="O186" s="242" t="s">
        <v>107</v>
      </c>
      <c r="P186" s="243"/>
      <c r="Q186" s="243"/>
      <c r="R186" s="208">
        <f>R179+R183</f>
        <v>1.7973223544650079</v>
      </c>
      <c r="S186" s="242" t="s">
        <v>107</v>
      </c>
      <c r="T186" s="243"/>
      <c r="U186" s="243"/>
      <c r="V186" s="208">
        <f>V179+V183</f>
        <v>7.2874254450520697</v>
      </c>
      <c r="W186" s="242" t="s">
        <v>107</v>
      </c>
      <c r="X186" s="243"/>
      <c r="Z186" s="132"/>
      <c r="AC186" s="148"/>
      <c r="AD186" s="148"/>
      <c r="AI186" s="143"/>
      <c r="AJ186" s="143"/>
      <c r="AK186" s="143"/>
      <c r="AL186" s="143"/>
      <c r="AM186" s="143"/>
      <c r="AN186" s="143"/>
      <c r="AO186" s="143"/>
      <c r="AP186" s="143"/>
      <c r="AQ186" s="143"/>
      <c r="AR186" s="143"/>
      <c r="AS186" s="143"/>
      <c r="AU186" s="147"/>
    </row>
    <row r="187" spans="1:47" s="141" customFormat="1" hidden="1">
      <c r="A187" s="202" t="s">
        <v>157</v>
      </c>
      <c r="B187" s="203"/>
      <c r="C187" s="241"/>
      <c r="D187" s="205"/>
      <c r="E187" s="206"/>
      <c r="F187" s="207"/>
      <c r="G187" s="208">
        <f t="shared" ref="G187:G188" si="48">G180</f>
        <v>7.1559999999999997</v>
      </c>
      <c r="H187" s="242" t="s">
        <v>107</v>
      </c>
      <c r="I187" s="207"/>
      <c r="J187" s="208">
        <f t="shared" ref="J187:J188" si="49">J180+J184</f>
        <v>7.218</v>
      </c>
      <c r="K187" s="242" t="s">
        <v>107</v>
      </c>
      <c r="L187" s="243"/>
      <c r="M187" s="243"/>
      <c r="N187" s="208">
        <f t="shared" ref="N187:N188" si="50">N180+N184</f>
        <v>0.94251839115112013</v>
      </c>
      <c r="O187" s="242" t="s">
        <v>107</v>
      </c>
      <c r="P187" s="243"/>
      <c r="Q187" s="243"/>
      <c r="R187" s="208">
        <f t="shared" ref="R187:R188" si="51">R180+R184</f>
        <v>1.2418703884281421</v>
      </c>
      <c r="S187" s="242" t="s">
        <v>107</v>
      </c>
      <c r="T187" s="243"/>
      <c r="U187" s="243"/>
      <c r="V187" s="208">
        <f t="shared" ref="V187:V188" si="52">V180+V184</f>
        <v>5.0333446832527242</v>
      </c>
      <c r="W187" s="242" t="s">
        <v>107</v>
      </c>
      <c r="X187" s="243"/>
      <c r="Z187" s="132" t="s">
        <v>0</v>
      </c>
      <c r="AC187" s="148"/>
      <c r="AD187" s="148"/>
      <c r="AI187" s="143"/>
      <c r="AJ187" s="143"/>
      <c r="AK187" s="143"/>
      <c r="AL187" s="143"/>
      <c r="AM187" s="143"/>
      <c r="AN187" s="143"/>
      <c r="AO187" s="143"/>
      <c r="AP187" s="143"/>
      <c r="AQ187" s="143"/>
      <c r="AR187" s="143"/>
      <c r="AS187" s="143"/>
      <c r="AU187" s="147"/>
    </row>
    <row r="188" spans="1:47" s="141" customFormat="1" hidden="1">
      <c r="A188" s="202" t="s">
        <v>158</v>
      </c>
      <c r="B188" s="203"/>
      <c r="C188" s="241"/>
      <c r="D188" s="205"/>
      <c r="E188" s="206"/>
      <c r="F188" s="207"/>
      <c r="G188" s="208">
        <f t="shared" si="48"/>
        <v>6.1660000000000004</v>
      </c>
      <c r="H188" s="242" t="s">
        <v>107</v>
      </c>
      <c r="I188" s="207"/>
      <c r="J188" s="208">
        <f t="shared" si="49"/>
        <v>6.218</v>
      </c>
      <c r="K188" s="242" t="s">
        <v>107</v>
      </c>
      <c r="L188" s="243"/>
      <c r="M188" s="243"/>
      <c r="N188" s="208">
        <f t="shared" si="50"/>
        <v>0.81193939748297494</v>
      </c>
      <c r="O188" s="242" t="s">
        <v>107</v>
      </c>
      <c r="P188" s="243"/>
      <c r="Q188" s="243"/>
      <c r="R188" s="208">
        <f t="shared" si="51"/>
        <v>1.0689569190308457</v>
      </c>
      <c r="S188" s="242" t="s">
        <v>107</v>
      </c>
      <c r="T188" s="243"/>
      <c r="U188" s="243"/>
      <c r="V188" s="208">
        <f t="shared" si="52"/>
        <v>4.3370117827017491</v>
      </c>
      <c r="W188" s="242" t="s">
        <v>107</v>
      </c>
      <c r="X188" s="243"/>
      <c r="Z188" s="132"/>
      <c r="AC188" s="148"/>
      <c r="AD188" s="148"/>
      <c r="AI188" s="143"/>
      <c r="AJ188" s="143"/>
      <c r="AK188" s="143"/>
      <c r="AL188" s="143"/>
      <c r="AM188" s="143"/>
      <c r="AN188" s="143"/>
      <c r="AO188" s="143"/>
      <c r="AP188" s="143"/>
      <c r="AQ188" s="143"/>
      <c r="AR188" s="143"/>
      <c r="AS188" s="143"/>
      <c r="AU188" s="147"/>
    </row>
    <row r="189" spans="1:47">
      <c r="A189" s="244" t="s">
        <v>159</v>
      </c>
      <c r="B189" s="169"/>
      <c r="C189" s="227"/>
      <c r="D189" s="245">
        <v>-0.01</v>
      </c>
      <c r="E189" s="229"/>
      <c r="F189" s="230"/>
      <c r="G189" s="245">
        <v>-0.01</v>
      </c>
      <c r="H189" s="231"/>
      <c r="I189" s="230"/>
      <c r="J189" s="245">
        <v>-0.01</v>
      </c>
      <c r="K189" s="231"/>
      <c r="L189" s="230"/>
      <c r="M189" s="230"/>
      <c r="N189" s="245">
        <v>-0.01</v>
      </c>
      <c r="O189" s="231"/>
      <c r="P189" s="230"/>
      <c r="Q189" s="230"/>
      <c r="R189" s="245">
        <v>-0.01</v>
      </c>
      <c r="S189" s="231"/>
      <c r="T189" s="230"/>
      <c r="U189" s="230"/>
      <c r="V189" s="245">
        <v>-0.01</v>
      </c>
      <c r="W189" s="231"/>
      <c r="X189" s="230"/>
      <c r="Z189" s="246"/>
      <c r="AL189" s="53"/>
      <c r="AM189" s="53"/>
      <c r="AN189" s="53"/>
      <c r="AO189" s="53"/>
      <c r="AP189" s="53"/>
      <c r="AQ189" s="53"/>
      <c r="AR189" s="53"/>
      <c r="AS189" s="53"/>
      <c r="AU189" s="135"/>
    </row>
    <row r="190" spans="1:47">
      <c r="A190" s="169" t="s">
        <v>143</v>
      </c>
      <c r="B190" s="169"/>
      <c r="C190" s="227">
        <f t="shared" ref="C190:C199" si="53">C227+C365+C471</f>
        <v>71.966666666666697</v>
      </c>
      <c r="D190" s="247">
        <v>8.7100000000000009</v>
      </c>
      <c r="E190" s="229"/>
      <c r="F190" s="230">
        <f t="shared" ref="F190:F199" si="54">F227+F365+F471</f>
        <v>-6</v>
      </c>
      <c r="G190" s="247">
        <v>8.7100000000000009</v>
      </c>
      <c r="H190" s="229"/>
      <c r="I190" s="230">
        <f t="shared" ref="I190:I199" si="55">I227+I365+I471</f>
        <v>-6</v>
      </c>
      <c r="J190" s="247">
        <f>J173</f>
        <v>9.6</v>
      </c>
      <c r="K190" s="229"/>
      <c r="L190" s="230">
        <f t="shared" ref="L190:L203" si="56">L227+L365+L471</f>
        <v>-7</v>
      </c>
      <c r="M190" s="230"/>
      <c r="N190" s="247">
        <f>N173</f>
        <v>9.6</v>
      </c>
      <c r="O190" s="229"/>
      <c r="P190" s="131">
        <v>-6.9088000000000021</v>
      </c>
      <c r="Q190" s="230"/>
      <c r="R190" s="247" t="str">
        <f>R173</f>
        <v xml:space="preserve"> </v>
      </c>
      <c r="S190" s="229"/>
      <c r="T190" s="131">
        <v>0</v>
      </c>
      <c r="U190" s="230"/>
      <c r="V190" s="247" t="str">
        <f>V173</f>
        <v xml:space="preserve"> </v>
      </c>
      <c r="W190" s="229"/>
      <c r="X190" s="131">
        <v>0</v>
      </c>
      <c r="AL190" s="53"/>
      <c r="AM190" s="53"/>
      <c r="AN190" s="53"/>
      <c r="AO190" s="53"/>
      <c r="AP190" s="53"/>
      <c r="AQ190" s="53"/>
      <c r="AR190" s="53"/>
      <c r="AS190" s="53"/>
      <c r="AU190" s="135"/>
    </row>
    <row r="191" spans="1:47">
      <c r="A191" s="169" t="s">
        <v>144</v>
      </c>
      <c r="B191" s="169"/>
      <c r="C191" s="227">
        <f t="shared" si="53"/>
        <v>38.6</v>
      </c>
      <c r="D191" s="247">
        <v>12.98</v>
      </c>
      <c r="E191" s="229"/>
      <c r="F191" s="230">
        <f t="shared" si="54"/>
        <v>-5</v>
      </c>
      <c r="G191" s="247">
        <v>12.98</v>
      </c>
      <c r="H191" s="229"/>
      <c r="I191" s="230">
        <f t="shared" si="55"/>
        <v>-5</v>
      </c>
      <c r="J191" s="247">
        <f>J174</f>
        <v>14.3</v>
      </c>
      <c r="K191" s="229"/>
      <c r="L191" s="230">
        <f t="shared" si="56"/>
        <v>-5</v>
      </c>
      <c r="M191" s="230"/>
      <c r="N191" s="247">
        <f>N174</f>
        <v>14.3</v>
      </c>
      <c r="O191" s="229"/>
      <c r="P191" s="131">
        <v>-5.5198</v>
      </c>
      <c r="Q191" s="230"/>
      <c r="R191" s="247" t="str">
        <f>R174</f>
        <v xml:space="preserve"> </v>
      </c>
      <c r="S191" s="229"/>
      <c r="T191" s="131">
        <v>0</v>
      </c>
      <c r="U191" s="230"/>
      <c r="V191" s="247" t="str">
        <f>V174</f>
        <v xml:space="preserve"> </v>
      </c>
      <c r="W191" s="229"/>
      <c r="X191" s="131">
        <v>0</v>
      </c>
      <c r="Z191" s="196" t="s">
        <v>0</v>
      </c>
      <c r="AN191" s="53"/>
      <c r="AO191" s="53"/>
      <c r="AP191" s="53"/>
      <c r="AQ191" s="53"/>
      <c r="AR191" s="53"/>
      <c r="AS191" s="53"/>
      <c r="AU191" s="135"/>
    </row>
    <row r="192" spans="1:47">
      <c r="A192" s="169" t="s">
        <v>160</v>
      </c>
      <c r="B192" s="169"/>
      <c r="C192" s="227">
        <f t="shared" si="53"/>
        <v>1129</v>
      </c>
      <c r="D192" s="247">
        <v>0.92</v>
      </c>
      <c r="E192" s="229"/>
      <c r="F192" s="230">
        <f t="shared" si="54"/>
        <v>-11</v>
      </c>
      <c r="G192" s="247">
        <v>0.92</v>
      </c>
      <c r="H192" s="229"/>
      <c r="I192" s="230">
        <f t="shared" si="55"/>
        <v>-11</v>
      </c>
      <c r="J192" s="247">
        <f>J175</f>
        <v>1</v>
      </c>
      <c r="K192" s="229"/>
      <c r="L192" s="230">
        <f t="shared" si="56"/>
        <v>-11</v>
      </c>
      <c r="M192" s="230"/>
      <c r="N192" s="247">
        <f>N175</f>
        <v>1</v>
      </c>
      <c r="O192" s="229"/>
      <c r="P192" s="131">
        <v>-11.290000000000001</v>
      </c>
      <c r="Q192" s="230"/>
      <c r="R192" s="247" t="str">
        <f>R175</f>
        <v xml:space="preserve"> </v>
      </c>
      <c r="S192" s="229"/>
      <c r="T192" s="131">
        <v>0</v>
      </c>
      <c r="U192" s="230"/>
      <c r="V192" s="247" t="str">
        <f>V175</f>
        <v xml:space="preserve"> </v>
      </c>
      <c r="W192" s="229"/>
      <c r="X192" s="131">
        <v>0</v>
      </c>
      <c r="AA192" s="196" t="s">
        <v>0</v>
      </c>
      <c r="AC192" s="139" t="s">
        <v>0</v>
      </c>
      <c r="AN192" s="53"/>
      <c r="AO192" s="53"/>
      <c r="AP192" s="53"/>
      <c r="AQ192" s="53"/>
      <c r="AR192" s="53"/>
      <c r="AS192" s="53"/>
      <c r="AU192" s="135"/>
    </row>
    <row r="193" spans="1:47">
      <c r="A193" s="169" t="s">
        <v>161</v>
      </c>
      <c r="B193" s="169"/>
      <c r="C193" s="227">
        <f t="shared" si="53"/>
        <v>948</v>
      </c>
      <c r="D193" s="247">
        <v>3.4</v>
      </c>
      <c r="E193" s="231"/>
      <c r="F193" s="230">
        <f t="shared" si="54"/>
        <v>-32</v>
      </c>
      <c r="G193" s="247">
        <v>3.61</v>
      </c>
      <c r="H193" s="231"/>
      <c r="I193" s="230">
        <f t="shared" si="55"/>
        <v>-35</v>
      </c>
      <c r="J193" s="247">
        <f>J178</f>
        <v>3.64</v>
      </c>
      <c r="K193" s="231"/>
      <c r="L193" s="230">
        <f t="shared" si="56"/>
        <v>-35</v>
      </c>
      <c r="M193" s="230"/>
      <c r="N193" s="247">
        <f>N178</f>
        <v>0.48</v>
      </c>
      <c r="O193" s="231"/>
      <c r="P193" s="131">
        <v>-4.5503999999999998</v>
      </c>
      <c r="Q193" s="230"/>
      <c r="R193" s="247">
        <f>R178</f>
        <v>0.63</v>
      </c>
      <c r="S193" s="231"/>
      <c r="T193" s="131">
        <v>-5.9724000000000004</v>
      </c>
      <c r="U193" s="230"/>
      <c r="V193" s="247">
        <f>V178</f>
        <v>2.54</v>
      </c>
      <c r="W193" s="231"/>
      <c r="X193" s="131">
        <v>-24.0792</v>
      </c>
      <c r="AB193" s="196" t="s">
        <v>0</v>
      </c>
      <c r="AN193" s="53"/>
      <c r="AO193" s="53"/>
      <c r="AP193" s="53"/>
      <c r="AQ193" s="53"/>
      <c r="AR193" s="53"/>
      <c r="AS193" s="53"/>
      <c r="AU193" s="135"/>
    </row>
    <row r="194" spans="1:47">
      <c r="A194" s="169" t="s">
        <v>162</v>
      </c>
      <c r="B194" s="169"/>
      <c r="C194" s="227">
        <f t="shared" si="53"/>
        <v>90642.333333333299</v>
      </c>
      <c r="D194" s="248">
        <v>9.766</v>
      </c>
      <c r="E194" s="231" t="s">
        <v>107</v>
      </c>
      <c r="F194" s="230">
        <f t="shared" si="54"/>
        <v>-89</v>
      </c>
      <c r="G194" s="248">
        <v>10.359</v>
      </c>
      <c r="H194" s="231" t="s">
        <v>107</v>
      </c>
      <c r="I194" s="230">
        <f t="shared" si="55"/>
        <v>-94</v>
      </c>
      <c r="J194" s="248">
        <f>J179</f>
        <v>10.449</v>
      </c>
      <c r="K194" s="231" t="s">
        <v>107</v>
      </c>
      <c r="L194" s="230">
        <f t="shared" si="56"/>
        <v>-95</v>
      </c>
      <c r="M194" s="230"/>
      <c r="N194" s="248">
        <f>N179</f>
        <v>1.3644187751662151</v>
      </c>
      <c r="O194" s="231"/>
      <c r="P194" s="131">
        <v>-12.367410142487444</v>
      </c>
      <c r="Q194" s="230"/>
      <c r="R194" s="248">
        <f>R179</f>
        <v>1.7973223544650079</v>
      </c>
      <c r="S194" s="231" t="s">
        <v>107</v>
      </c>
      <c r="T194" s="131">
        <v>-16.291349196086866</v>
      </c>
      <c r="U194" s="230"/>
      <c r="V194" s="248">
        <f>V179</f>
        <v>7.2874254450520697</v>
      </c>
      <c r="W194" s="231" t="s">
        <v>107</v>
      </c>
      <c r="X194" s="131">
        <v>-66.054924633222441</v>
      </c>
      <c r="AN194" s="53"/>
      <c r="AO194" s="53"/>
      <c r="AP194" s="53"/>
      <c r="AQ194" s="53"/>
      <c r="AR194" s="53"/>
      <c r="AS194" s="53"/>
      <c r="AU194" s="135"/>
    </row>
    <row r="195" spans="1:47">
      <c r="A195" s="169" t="s">
        <v>150</v>
      </c>
      <c r="B195" s="169"/>
      <c r="C195" s="227">
        <f t="shared" si="53"/>
        <v>455823.66666666698</v>
      </c>
      <c r="D195" s="248">
        <v>6.7460000000000004</v>
      </c>
      <c r="E195" s="231" t="s">
        <v>107</v>
      </c>
      <c r="F195" s="230">
        <f t="shared" si="54"/>
        <v>-307</v>
      </c>
      <c r="G195" s="248">
        <v>7.1559999999999997</v>
      </c>
      <c r="H195" s="231" t="s">
        <v>107</v>
      </c>
      <c r="I195" s="230">
        <f t="shared" si="55"/>
        <v>-326</v>
      </c>
      <c r="J195" s="248">
        <f>J180</f>
        <v>7.218</v>
      </c>
      <c r="K195" s="231" t="s">
        <v>107</v>
      </c>
      <c r="L195" s="230">
        <f t="shared" si="56"/>
        <v>-329</v>
      </c>
      <c r="M195" s="230"/>
      <c r="N195" s="248">
        <f>N180</f>
        <v>0.94251839115112013</v>
      </c>
      <c r="O195" s="231"/>
      <c r="P195" s="131">
        <v>-42.962218895527151</v>
      </c>
      <c r="Q195" s="230"/>
      <c r="R195" s="248">
        <f>R180</f>
        <v>1.2418703884281421</v>
      </c>
      <c r="S195" s="231" t="s">
        <v>107</v>
      </c>
      <c r="T195" s="131">
        <v>-56.607391397807376</v>
      </c>
      <c r="U195" s="230"/>
      <c r="V195" s="248">
        <f>V180</f>
        <v>5.0333446832527242</v>
      </c>
      <c r="W195" s="231" t="s">
        <v>107</v>
      </c>
      <c r="X195" s="131">
        <v>-229.43176291174302</v>
      </c>
      <c r="AN195" s="53"/>
      <c r="AO195" s="53"/>
      <c r="AP195" s="53"/>
      <c r="AQ195" s="53"/>
      <c r="AR195" s="53"/>
      <c r="AS195" s="53"/>
      <c r="AU195" s="135"/>
    </row>
    <row r="196" spans="1:47">
      <c r="A196" s="169" t="s">
        <v>151</v>
      </c>
      <c r="B196" s="169"/>
      <c r="C196" s="227">
        <f t="shared" si="53"/>
        <v>176779.99999999971</v>
      </c>
      <c r="D196" s="248">
        <v>5.8120000000000003</v>
      </c>
      <c r="E196" s="231" t="s">
        <v>107</v>
      </c>
      <c r="F196" s="230">
        <f t="shared" si="54"/>
        <v>-102</v>
      </c>
      <c r="G196" s="248">
        <v>6.1660000000000004</v>
      </c>
      <c r="H196" s="231" t="s">
        <v>107</v>
      </c>
      <c r="I196" s="230">
        <f t="shared" si="55"/>
        <v>-109</v>
      </c>
      <c r="J196" s="248">
        <f>J181</f>
        <v>6.218</v>
      </c>
      <c r="K196" s="231" t="s">
        <v>107</v>
      </c>
      <c r="L196" s="230">
        <f t="shared" si="56"/>
        <v>-110</v>
      </c>
      <c r="M196" s="230"/>
      <c r="N196" s="248">
        <f>N181</f>
        <v>0.81193939748297494</v>
      </c>
      <c r="O196" s="231"/>
      <c r="P196" s="131">
        <v>-14.353464668704007</v>
      </c>
      <c r="Q196" s="230"/>
      <c r="R196" s="248">
        <f>R181</f>
        <v>1.0689569190308457</v>
      </c>
      <c r="S196" s="231" t="s">
        <v>107</v>
      </c>
      <c r="T196" s="131">
        <v>-18.89702041462726</v>
      </c>
      <c r="U196" s="230"/>
      <c r="V196" s="248">
        <f>V181</f>
        <v>4.3370117827017491</v>
      </c>
      <c r="W196" s="231" t="s">
        <v>107</v>
      </c>
      <c r="X196" s="131">
        <v>-76.669694294601399</v>
      </c>
      <c r="AL196" s="53"/>
      <c r="AM196" s="53"/>
      <c r="AN196" s="53"/>
      <c r="AO196" s="53"/>
      <c r="AP196" s="53"/>
      <c r="AQ196" s="53"/>
      <c r="AR196" s="53"/>
      <c r="AS196" s="53"/>
      <c r="AU196" s="135"/>
    </row>
    <row r="197" spans="1:47">
      <c r="A197" s="169" t="s">
        <v>152</v>
      </c>
      <c r="B197" s="169"/>
      <c r="C197" s="227">
        <f t="shared" si="53"/>
        <v>1148.3</v>
      </c>
      <c r="D197" s="249">
        <v>56</v>
      </c>
      <c r="E197" s="231" t="s">
        <v>107</v>
      </c>
      <c r="F197" s="230">
        <f t="shared" si="54"/>
        <v>-6</v>
      </c>
      <c r="G197" s="249">
        <v>56</v>
      </c>
      <c r="H197" s="231" t="s">
        <v>107</v>
      </c>
      <c r="I197" s="230">
        <f t="shared" si="55"/>
        <v>-6</v>
      </c>
      <c r="J197" s="249">
        <f>J182</f>
        <v>56</v>
      </c>
      <c r="K197" s="231" t="s">
        <v>107</v>
      </c>
      <c r="L197" s="230">
        <f t="shared" si="56"/>
        <v>-6</v>
      </c>
      <c r="M197" s="230"/>
      <c r="N197" s="249" t="str">
        <f>N182</f>
        <v xml:space="preserve"> </v>
      </c>
      <c r="O197" s="231"/>
      <c r="P197" s="131">
        <v>0</v>
      </c>
      <c r="Q197" s="230"/>
      <c r="R197" s="249">
        <f>R182</f>
        <v>11</v>
      </c>
      <c r="S197" s="231" t="s">
        <v>107</v>
      </c>
      <c r="T197" s="131">
        <v>-6.16</v>
      </c>
      <c r="U197" s="230"/>
      <c r="V197" s="249">
        <f>V182</f>
        <v>45</v>
      </c>
      <c r="W197" s="231" t="s">
        <v>107</v>
      </c>
      <c r="X197" s="131">
        <v>-516.73500000000001</v>
      </c>
      <c r="AL197" s="53"/>
      <c r="AM197" s="53"/>
      <c r="AN197" s="53"/>
      <c r="AO197" s="53"/>
      <c r="AP197" s="53"/>
      <c r="AQ197" s="53"/>
      <c r="AR197" s="53"/>
      <c r="AS197" s="53"/>
      <c r="AU197" s="135"/>
    </row>
    <row r="198" spans="1:47">
      <c r="A198" s="169" t="s">
        <v>163</v>
      </c>
      <c r="B198" s="169"/>
      <c r="C198" s="227">
        <f t="shared" si="53"/>
        <v>123.4666666666667</v>
      </c>
      <c r="D198" s="250">
        <v>60</v>
      </c>
      <c r="E198" s="229"/>
      <c r="F198" s="230">
        <f t="shared" si="54"/>
        <v>7408</v>
      </c>
      <c r="G198" s="250">
        <v>60</v>
      </c>
      <c r="H198" s="231"/>
      <c r="I198" s="230">
        <f t="shared" si="55"/>
        <v>7408</v>
      </c>
      <c r="J198" s="250">
        <v>60</v>
      </c>
      <c r="K198" s="231"/>
      <c r="L198" s="230">
        <f t="shared" si="56"/>
        <v>7408</v>
      </c>
      <c r="M198" s="230"/>
      <c r="N198" s="250" t="s">
        <v>0</v>
      </c>
      <c r="O198" s="231"/>
      <c r="P198" s="131">
        <v>0</v>
      </c>
      <c r="Q198" s="230"/>
      <c r="R198" s="193">
        <f>ROUND(T198/$C$198,2)</f>
        <v>11.86</v>
      </c>
      <c r="S198" s="231"/>
      <c r="T198" s="131">
        <v>1464.8057749125371</v>
      </c>
      <c r="U198" s="230"/>
      <c r="V198" s="193">
        <f>ROUND(X198/$C$198,2)</f>
        <v>48.14</v>
      </c>
      <c r="W198" s="231"/>
      <c r="X198" s="131">
        <v>5943.1942250874627</v>
      </c>
      <c r="AA198" s="196" t="s">
        <v>0</v>
      </c>
      <c r="AL198" s="53"/>
      <c r="AM198" s="53"/>
      <c r="AN198" s="53"/>
      <c r="AO198" s="53"/>
      <c r="AP198" s="53"/>
      <c r="AQ198" s="53"/>
      <c r="AR198" s="53"/>
      <c r="AS198" s="53"/>
      <c r="AU198" s="135"/>
    </row>
    <row r="199" spans="1:47">
      <c r="A199" s="169" t="s">
        <v>164</v>
      </c>
      <c r="B199" s="169"/>
      <c r="C199" s="227">
        <f t="shared" si="53"/>
        <v>1129</v>
      </c>
      <c r="D199" s="251">
        <v>-30</v>
      </c>
      <c r="E199" s="229" t="s">
        <v>107</v>
      </c>
      <c r="F199" s="230">
        <f t="shared" si="54"/>
        <v>-339</v>
      </c>
      <c r="G199" s="251">
        <v>-30</v>
      </c>
      <c r="H199" s="231" t="s">
        <v>107</v>
      </c>
      <c r="I199" s="230">
        <f t="shared" si="55"/>
        <v>-339</v>
      </c>
      <c r="J199" s="251">
        <v>-30</v>
      </c>
      <c r="K199" s="231" t="s">
        <v>107</v>
      </c>
      <c r="L199" s="230">
        <f t="shared" si="56"/>
        <v>-339</v>
      </c>
      <c r="M199" s="230"/>
      <c r="N199" s="251">
        <v>-30</v>
      </c>
      <c r="O199" s="231" t="s">
        <v>107</v>
      </c>
      <c r="P199" s="131">
        <v>-339</v>
      </c>
      <c r="Q199" s="230"/>
      <c r="R199" s="251" t="s">
        <v>0</v>
      </c>
      <c r="S199" s="231" t="s">
        <v>0</v>
      </c>
      <c r="T199" s="131">
        <v>0</v>
      </c>
      <c r="U199" s="230"/>
      <c r="V199" s="251" t="s">
        <v>0</v>
      </c>
      <c r="W199" s="231" t="s">
        <v>0</v>
      </c>
      <c r="X199" s="131">
        <v>0</v>
      </c>
      <c r="AA199" s="196" t="s">
        <v>0</v>
      </c>
      <c r="AC199" s="252"/>
      <c r="AD199" s="252"/>
      <c r="AL199" s="53"/>
      <c r="AM199" s="53"/>
      <c r="AN199" s="53"/>
      <c r="AO199" s="53"/>
      <c r="AP199" s="53"/>
      <c r="AQ199" s="53"/>
      <c r="AR199" s="53"/>
      <c r="AS199" s="53"/>
      <c r="AU199" s="135"/>
    </row>
    <row r="200" spans="1:47" s="141" customFormat="1">
      <c r="A200" s="140" t="s">
        <v>153</v>
      </c>
      <c r="C200" s="239">
        <f>C194</f>
        <v>90642.333333333299</v>
      </c>
      <c r="D200" s="138"/>
      <c r="E200" s="143"/>
      <c r="F200" s="144"/>
      <c r="G200" s="138"/>
      <c r="H200" s="143"/>
      <c r="I200" s="144"/>
      <c r="J200" s="145">
        <f>J183</f>
        <v>0</v>
      </c>
      <c r="K200" s="240" t="s">
        <v>107</v>
      </c>
      <c r="L200" s="230">
        <f t="shared" si="56"/>
        <v>0</v>
      </c>
      <c r="M200" s="230"/>
      <c r="N200" s="145" t="str">
        <f>N183</f>
        <v xml:space="preserve"> </v>
      </c>
      <c r="O200" s="240"/>
      <c r="P200" s="131">
        <v>0</v>
      </c>
      <c r="Q200" s="230"/>
      <c r="R200" s="145" t="str">
        <f>R183</f>
        <v xml:space="preserve"> </v>
      </c>
      <c r="S200" s="240" t="s">
        <v>0</v>
      </c>
      <c r="T200" s="131">
        <v>0</v>
      </c>
      <c r="U200" s="230"/>
      <c r="V200" s="145">
        <f>V183</f>
        <v>0</v>
      </c>
      <c r="W200" s="240" t="s">
        <v>107</v>
      </c>
      <c r="X200" s="131">
        <v>0</v>
      </c>
      <c r="Z200" s="132"/>
      <c r="AC200" s="148"/>
      <c r="AD200" s="148"/>
      <c r="AI200" s="143"/>
      <c r="AJ200" s="143"/>
      <c r="AK200" s="143"/>
      <c r="AL200" s="143"/>
      <c r="AM200" s="143"/>
      <c r="AN200" s="143"/>
      <c r="AO200" s="143"/>
      <c r="AP200" s="143"/>
      <c r="AQ200" s="143"/>
      <c r="AR200" s="143"/>
      <c r="AS200" s="143"/>
      <c r="AU200" s="147"/>
    </row>
    <row r="201" spans="1:47" s="141" customFormat="1">
      <c r="A201" s="140" t="s">
        <v>154</v>
      </c>
      <c r="C201" s="239">
        <f t="shared" ref="C201:C202" si="57">C195</f>
        <v>455823.66666666698</v>
      </c>
      <c r="D201" s="138"/>
      <c r="E201" s="143"/>
      <c r="F201" s="144"/>
      <c r="G201" s="138"/>
      <c r="H201" s="143"/>
      <c r="I201" s="144"/>
      <c r="J201" s="145">
        <f>J184</f>
        <v>0</v>
      </c>
      <c r="K201" s="240" t="s">
        <v>107</v>
      </c>
      <c r="L201" s="230">
        <f t="shared" si="56"/>
        <v>0</v>
      </c>
      <c r="M201" s="230"/>
      <c r="N201" s="145" t="str">
        <f>N184</f>
        <v xml:space="preserve"> </v>
      </c>
      <c r="O201" s="240"/>
      <c r="P201" s="131">
        <v>0</v>
      </c>
      <c r="Q201" s="230"/>
      <c r="R201" s="145" t="str">
        <f>R184</f>
        <v xml:space="preserve"> </v>
      </c>
      <c r="S201" s="240" t="s">
        <v>0</v>
      </c>
      <c r="T201" s="131">
        <v>0</v>
      </c>
      <c r="U201" s="230"/>
      <c r="V201" s="145">
        <f>V184</f>
        <v>0</v>
      </c>
      <c r="W201" s="240" t="s">
        <v>107</v>
      </c>
      <c r="X201" s="131">
        <v>0</v>
      </c>
      <c r="Z201" s="132"/>
      <c r="AC201" s="148"/>
      <c r="AD201" s="148"/>
      <c r="AI201" s="143"/>
      <c r="AJ201" s="143"/>
      <c r="AK201" s="143"/>
      <c r="AL201" s="143"/>
      <c r="AM201" s="143"/>
      <c r="AN201" s="143"/>
      <c r="AO201" s="143"/>
      <c r="AP201" s="143"/>
      <c r="AQ201" s="143"/>
      <c r="AR201" s="143"/>
      <c r="AS201" s="143"/>
      <c r="AU201" s="147"/>
    </row>
    <row r="202" spans="1:47" s="141" customFormat="1">
      <c r="A202" s="140" t="s">
        <v>155</v>
      </c>
      <c r="C202" s="239">
        <f t="shared" si="57"/>
        <v>176779.99999999971</v>
      </c>
      <c r="D202" s="138"/>
      <c r="E202" s="143"/>
      <c r="F202" s="144"/>
      <c r="G202" s="138"/>
      <c r="H202" s="143"/>
      <c r="I202" s="144"/>
      <c r="J202" s="145">
        <f>J185</f>
        <v>0</v>
      </c>
      <c r="K202" s="240" t="s">
        <v>107</v>
      </c>
      <c r="L202" s="230">
        <f t="shared" si="56"/>
        <v>0</v>
      </c>
      <c r="M202" s="230"/>
      <c r="N202" s="145" t="str">
        <f>N185</f>
        <v xml:space="preserve"> </v>
      </c>
      <c r="O202" s="240"/>
      <c r="P202" s="131">
        <v>0</v>
      </c>
      <c r="Q202" s="230"/>
      <c r="R202" s="145" t="str">
        <f>R185</f>
        <v xml:space="preserve"> </v>
      </c>
      <c r="S202" s="240" t="s">
        <v>0</v>
      </c>
      <c r="T202" s="131">
        <v>0</v>
      </c>
      <c r="U202" s="230"/>
      <c r="V202" s="145">
        <f>V185</f>
        <v>0</v>
      </c>
      <c r="W202" s="240" t="s">
        <v>107</v>
      </c>
      <c r="X202" s="131">
        <v>0</v>
      </c>
      <c r="Z202" s="132"/>
      <c r="AC202" s="148"/>
      <c r="AD202" s="148"/>
      <c r="AI202" s="143"/>
      <c r="AJ202" s="143"/>
      <c r="AK202" s="143"/>
      <c r="AL202" s="143"/>
      <c r="AM202" s="143"/>
      <c r="AN202" s="143"/>
      <c r="AO202" s="143"/>
      <c r="AP202" s="143"/>
      <c r="AQ202" s="143"/>
      <c r="AR202" s="143"/>
      <c r="AS202" s="143"/>
      <c r="AU202" s="147"/>
    </row>
    <row r="203" spans="1:47">
      <c r="A203" s="169" t="s">
        <v>133</v>
      </c>
      <c r="B203" s="129"/>
      <c r="C203" s="227">
        <f>C240+C378+C484</f>
        <v>545018125.00629961</v>
      </c>
      <c r="D203" s="237"/>
      <c r="E203" s="131"/>
      <c r="F203" s="230">
        <f t="shared" ref="F203" si="58">F240+F378+F484</f>
        <v>46032138</v>
      </c>
      <c r="G203" s="237"/>
      <c r="H203" s="231"/>
      <c r="I203" s="230">
        <f>I240+I378+I484</f>
        <v>48618540</v>
      </c>
      <c r="J203" s="237"/>
      <c r="K203" s="231"/>
      <c r="L203" s="230">
        <f t="shared" si="56"/>
        <v>49341109</v>
      </c>
      <c r="M203" s="230"/>
      <c r="N203" s="237"/>
      <c r="O203" s="231"/>
      <c r="P203" s="230">
        <f>SUM(P169:P202)</f>
        <v>9726682.0256205015</v>
      </c>
      <c r="Q203" s="230"/>
      <c r="R203" s="237"/>
      <c r="S203" s="231"/>
      <c r="T203" s="230">
        <f>SUM(T169:T202)</f>
        <v>7833077.9430240383</v>
      </c>
      <c r="U203" s="230"/>
      <c r="V203" s="237"/>
      <c r="W203" s="231"/>
      <c r="X203" s="230">
        <f>SUM(X169:X202)</f>
        <v>31781349.031355467</v>
      </c>
      <c r="AL203" s="53"/>
      <c r="AM203" s="53"/>
      <c r="AN203" s="53"/>
      <c r="AO203" s="53"/>
      <c r="AP203" s="53"/>
      <c r="AQ203" s="53"/>
      <c r="AR203" s="53"/>
      <c r="AS203" s="53"/>
      <c r="AU203" s="135"/>
    </row>
    <row r="204" spans="1:47">
      <c r="A204" s="169" t="s">
        <v>111</v>
      </c>
      <c r="B204" s="224"/>
      <c r="C204" s="253">
        <f>C241+C379+C485</f>
        <v>-1816567.5683300961</v>
      </c>
      <c r="D204" s="154"/>
      <c r="E204" s="154"/>
      <c r="F204" s="254">
        <f>I204</f>
        <v>-145443.54178481566</v>
      </c>
      <c r="G204" s="154"/>
      <c r="H204" s="154"/>
      <c r="I204" s="254">
        <f>I241+I379+I485</f>
        <v>-145443.54178481566</v>
      </c>
      <c r="J204" s="154"/>
      <c r="K204" s="154"/>
      <c r="L204" s="152">
        <f>I204</f>
        <v>-145443.54178481566</v>
      </c>
      <c r="M204" s="153"/>
      <c r="N204" s="154"/>
      <c r="O204" s="154"/>
      <c r="P204" s="152">
        <f>$L$204*Y208/($Y$208+$Z$208+$AA$208)</f>
        <v>-28671.489398848946</v>
      </c>
      <c r="Q204" s="153"/>
      <c r="R204" s="154"/>
      <c r="S204" s="154"/>
      <c r="T204" s="152">
        <f>$L$204*Z208/($Y$208+$Z$208+$AA$208)</f>
        <v>-23089.683677558496</v>
      </c>
      <c r="U204" s="153"/>
      <c r="V204" s="154"/>
      <c r="W204" s="154"/>
      <c r="X204" s="152">
        <f>$L$204*AA208/($Y$208+$Z$208+$AA$208)</f>
        <v>-93682.368708408205</v>
      </c>
      <c r="AA204" s="93"/>
      <c r="AB204" s="93"/>
      <c r="AL204" s="53"/>
      <c r="AM204" s="53"/>
      <c r="AN204" s="53"/>
      <c r="AO204" s="53"/>
      <c r="AP204" s="53"/>
      <c r="AQ204" s="53"/>
      <c r="AR204" s="53"/>
      <c r="AS204" s="53"/>
      <c r="AU204" s="135"/>
    </row>
    <row r="205" spans="1:47" ht="16.5" thickBot="1">
      <c r="A205" s="169" t="s">
        <v>134</v>
      </c>
      <c r="B205" s="169"/>
      <c r="C205" s="214">
        <f>SUM(C203:C204)</f>
        <v>543201557.43796957</v>
      </c>
      <c r="D205" s="255"/>
      <c r="E205" s="256"/>
      <c r="F205" s="257">
        <f>F203+F204</f>
        <v>45886694.458215185</v>
      </c>
      <c r="G205" s="255"/>
      <c r="H205" s="258"/>
      <c r="I205" s="257">
        <f>I203+I204</f>
        <v>48473096.458215185</v>
      </c>
      <c r="J205" s="259"/>
      <c r="K205" s="258"/>
      <c r="L205" s="257">
        <f>L203+L204</f>
        <v>49195665.458215185</v>
      </c>
      <c r="M205" s="257"/>
      <c r="N205" s="259"/>
      <c r="O205" s="258"/>
      <c r="P205" s="257">
        <f>P203+P204</f>
        <v>9698010.5362216532</v>
      </c>
      <c r="Q205" s="257"/>
      <c r="R205" s="259"/>
      <c r="S205" s="258"/>
      <c r="T205" s="257">
        <f>T203+T204</f>
        <v>7809988.2593464796</v>
      </c>
      <c r="U205" s="257"/>
      <c r="V205" s="259"/>
      <c r="W205" s="258"/>
      <c r="X205" s="257">
        <f>X203+X204</f>
        <v>31687666.662647057</v>
      </c>
      <c r="Y205" s="159" t="s">
        <v>165</v>
      </c>
      <c r="Z205" s="160">
        <v>49195252.610609591</v>
      </c>
      <c r="AA205" s="260">
        <v>-5.6101918277143253E-2</v>
      </c>
      <c r="AB205" s="261"/>
      <c r="AC205" s="63" t="s">
        <v>0</v>
      </c>
      <c r="AL205" s="53"/>
      <c r="AM205" s="53"/>
      <c r="AN205" s="53"/>
      <c r="AO205" s="53"/>
      <c r="AP205" s="53"/>
      <c r="AQ205" s="53"/>
      <c r="AR205" s="53"/>
      <c r="AS205" s="53"/>
      <c r="AU205" s="135"/>
    </row>
    <row r="206" spans="1:47" ht="16.5" thickTop="1">
      <c r="A206" s="169"/>
      <c r="B206" s="169"/>
      <c r="C206" s="164"/>
      <c r="D206" s="262"/>
      <c r="E206" s="263"/>
      <c r="F206" s="230"/>
      <c r="G206" s="262"/>
      <c r="H206" s="264"/>
      <c r="I206" s="230"/>
      <c r="J206" s="265"/>
      <c r="K206" s="264"/>
      <c r="L206" s="230"/>
      <c r="M206" s="230"/>
      <c r="N206" s="265"/>
      <c r="O206" s="264"/>
      <c r="P206" s="230"/>
      <c r="Q206" s="230"/>
      <c r="R206" s="265"/>
      <c r="S206" s="264"/>
      <c r="T206" s="230"/>
      <c r="U206" s="230"/>
      <c r="V206" s="265"/>
      <c r="W206" s="264"/>
      <c r="X206" s="230" t="s">
        <v>0</v>
      </c>
      <c r="Y206" s="170" t="s">
        <v>115</v>
      </c>
      <c r="Z206" s="171">
        <f>Z205-L205</f>
        <v>-412.84760559350252</v>
      </c>
      <c r="AA206" s="266"/>
      <c r="AB206" s="261"/>
      <c r="AC206" s="63"/>
      <c r="AL206" s="53"/>
      <c r="AM206" s="53"/>
      <c r="AN206" s="53"/>
      <c r="AO206" s="53"/>
      <c r="AP206" s="53"/>
      <c r="AQ206" s="53"/>
      <c r="AR206" s="53"/>
      <c r="AS206" s="53"/>
      <c r="AU206" s="135"/>
    </row>
    <row r="207" spans="1:47">
      <c r="A207" s="169"/>
      <c r="B207" s="169"/>
      <c r="C207" s="164"/>
      <c r="D207" s="262"/>
      <c r="E207" s="263"/>
      <c r="F207" s="230"/>
      <c r="G207" s="262"/>
      <c r="H207" s="264"/>
      <c r="I207" s="230"/>
      <c r="J207" s="265"/>
      <c r="K207" s="264"/>
      <c r="L207" s="230"/>
      <c r="M207" s="230"/>
      <c r="N207" s="265"/>
      <c r="O207" s="264"/>
      <c r="P207" s="230"/>
      <c r="Q207" s="230"/>
      <c r="R207" s="265"/>
      <c r="S207" s="264"/>
      <c r="T207" s="230"/>
      <c r="U207" s="230"/>
      <c r="V207" s="265"/>
      <c r="W207" s="264"/>
      <c r="X207" s="230" t="s">
        <v>0</v>
      </c>
      <c r="Y207" s="216">
        <v>0.19713140265291765</v>
      </c>
      <c r="Z207" s="267">
        <v>0.15875358502833892</v>
      </c>
      <c r="AA207" s="173">
        <v>0.64411501231874346</v>
      </c>
      <c r="AB207" s="261"/>
      <c r="AC207" s="63"/>
      <c r="AL207" s="53"/>
      <c r="AM207" s="53"/>
      <c r="AN207" s="53"/>
      <c r="AO207" s="53"/>
      <c r="AP207" s="53"/>
      <c r="AQ207" s="53"/>
      <c r="AR207" s="53"/>
      <c r="AS207" s="53"/>
      <c r="AU207" s="135"/>
    </row>
    <row r="208" spans="1:47">
      <c r="A208" s="169"/>
      <c r="B208" s="169"/>
      <c r="C208" s="189"/>
      <c r="D208" s="250"/>
      <c r="E208" s="131"/>
      <c r="F208" s="131"/>
      <c r="G208" s="250"/>
      <c r="H208" s="169"/>
      <c r="I208" s="131" t="s">
        <v>0</v>
      </c>
      <c r="J208" s="250"/>
      <c r="K208" s="169"/>
      <c r="L208" s="131" t="s">
        <v>0</v>
      </c>
      <c r="M208" s="131"/>
      <c r="N208" s="250"/>
      <c r="O208" s="169"/>
      <c r="P208" s="131" t="s">
        <v>0</v>
      </c>
      <c r="Q208" s="131"/>
      <c r="R208" s="250"/>
      <c r="S208" s="169"/>
      <c r="T208" s="131" t="s">
        <v>0</v>
      </c>
      <c r="U208" s="131"/>
      <c r="V208" s="250"/>
      <c r="W208" s="169"/>
      <c r="X208" s="131" t="s">
        <v>0</v>
      </c>
      <c r="Y208" s="147">
        <f>Y207*$L$205</f>
        <v>9698010.5362216495</v>
      </c>
      <c r="Z208" s="147">
        <f t="shared" ref="Z208:AA208" si="59">Z207*$L$205</f>
        <v>7809988.2593464805</v>
      </c>
      <c r="AA208" s="147">
        <f t="shared" si="59"/>
        <v>31687666.662647057</v>
      </c>
      <c r="AB208" s="268" t="s">
        <v>165</v>
      </c>
      <c r="AL208" s="53"/>
      <c r="AM208" s="53"/>
      <c r="AN208" s="53"/>
      <c r="AO208" s="53"/>
      <c r="AP208" s="53"/>
      <c r="AQ208" s="53"/>
      <c r="AR208" s="53"/>
      <c r="AS208" s="53"/>
      <c r="AU208" s="135"/>
    </row>
    <row r="209" spans="1:47" hidden="1">
      <c r="A209" s="169"/>
      <c r="B209" s="169"/>
      <c r="C209" s="189"/>
      <c r="D209" s="250"/>
      <c r="E209" s="131"/>
      <c r="F209" s="131"/>
      <c r="G209" s="250"/>
      <c r="H209" s="169"/>
      <c r="I209" s="131"/>
      <c r="J209" s="250"/>
      <c r="K209" s="169"/>
      <c r="N209" s="250"/>
      <c r="O209" s="169"/>
      <c r="R209" s="250"/>
      <c r="S209" s="169"/>
      <c r="V209" s="250"/>
      <c r="W209" s="169"/>
      <c r="AL209" s="53"/>
      <c r="AM209" s="53"/>
      <c r="AN209" s="53"/>
      <c r="AO209" s="53"/>
      <c r="AP209" s="53"/>
      <c r="AQ209" s="53"/>
      <c r="AR209" s="53"/>
      <c r="AS209" s="53"/>
      <c r="AU209" s="135"/>
    </row>
    <row r="210" spans="1:47" hidden="1">
      <c r="A210" s="188" t="s">
        <v>140</v>
      </c>
      <c r="B210" s="169"/>
      <c r="C210" s="169"/>
      <c r="D210" s="131"/>
      <c r="E210" s="131"/>
      <c r="F210" s="169" t="s">
        <v>0</v>
      </c>
      <c r="G210" s="131"/>
      <c r="H210" s="169"/>
      <c r="I210" s="169"/>
      <c r="J210" s="131"/>
      <c r="K210" s="169"/>
      <c r="L210" s="169"/>
      <c r="M210" s="169"/>
      <c r="N210" s="131"/>
      <c r="O210" s="169"/>
      <c r="P210" s="169"/>
      <c r="Q210" s="169"/>
      <c r="R210" s="131"/>
      <c r="S210" s="169"/>
      <c r="T210" s="169"/>
      <c r="U210" s="169"/>
      <c r="V210" s="131"/>
      <c r="W210" s="169"/>
      <c r="X210" s="169"/>
      <c r="Z210" s="269" t="s">
        <v>0</v>
      </c>
      <c r="AA210" s="63"/>
      <c r="AB210" s="63"/>
      <c r="AL210" s="53"/>
      <c r="AM210" s="53"/>
      <c r="AN210" s="53"/>
      <c r="AO210" s="53"/>
      <c r="AP210" s="53"/>
      <c r="AQ210" s="53"/>
      <c r="AR210" s="53"/>
      <c r="AS210" s="53"/>
      <c r="AU210" s="135"/>
    </row>
    <row r="211" spans="1:47" hidden="1">
      <c r="A211" s="169" t="s">
        <v>166</v>
      </c>
      <c r="B211" s="169"/>
      <c r="C211" s="169"/>
      <c r="D211" s="131"/>
      <c r="E211" s="131"/>
      <c r="F211" s="169"/>
      <c r="G211" s="131"/>
      <c r="H211" s="169"/>
      <c r="I211" s="169"/>
      <c r="J211" s="131"/>
      <c r="K211" s="169"/>
      <c r="L211" s="169"/>
      <c r="M211" s="169"/>
      <c r="N211" s="131"/>
      <c r="O211" s="169"/>
      <c r="P211" s="169"/>
      <c r="Q211" s="169"/>
      <c r="R211" s="131"/>
      <c r="S211" s="169"/>
      <c r="T211" s="169"/>
      <c r="U211" s="169"/>
      <c r="V211" s="131"/>
      <c r="W211" s="169"/>
      <c r="X211" s="169"/>
      <c r="Y211" s="166"/>
      <c r="Z211" s="110"/>
      <c r="AA211" s="110"/>
      <c r="AB211" s="110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U211" s="135"/>
    </row>
    <row r="212" spans="1:47" hidden="1">
      <c r="A212" s="169"/>
      <c r="B212" s="169"/>
      <c r="C212" s="169"/>
      <c r="D212" s="131"/>
      <c r="E212" s="131"/>
      <c r="F212" s="169"/>
      <c r="G212" s="131"/>
      <c r="H212" s="169"/>
      <c r="I212" s="169"/>
      <c r="J212" s="131"/>
      <c r="K212" s="169"/>
      <c r="L212" s="169"/>
      <c r="M212" s="169"/>
      <c r="N212" s="131"/>
      <c r="O212" s="169"/>
      <c r="P212" s="169"/>
      <c r="Q212" s="169"/>
      <c r="R212" s="131"/>
      <c r="S212" s="169"/>
      <c r="T212" s="169"/>
      <c r="U212" s="169"/>
      <c r="V212" s="131"/>
      <c r="W212" s="169"/>
      <c r="X212" s="169"/>
      <c r="Y212" s="166"/>
      <c r="Z212" s="110"/>
      <c r="AA212" s="110"/>
      <c r="AB212" s="110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U212" s="135"/>
    </row>
    <row r="213" spans="1:47" hidden="1">
      <c r="A213" s="169" t="s">
        <v>146</v>
      </c>
      <c r="B213" s="169"/>
      <c r="C213" s="227"/>
      <c r="D213" s="131"/>
      <c r="E213" s="131"/>
      <c r="F213" s="169"/>
      <c r="G213" s="131"/>
      <c r="H213" s="169"/>
      <c r="I213" s="169"/>
      <c r="J213" s="131"/>
      <c r="K213" s="169"/>
      <c r="L213" s="169"/>
      <c r="M213" s="169"/>
      <c r="N213" s="131"/>
      <c r="O213" s="169"/>
      <c r="P213" s="169"/>
      <c r="Q213" s="169"/>
      <c r="R213" s="131"/>
      <c r="S213" s="169"/>
      <c r="T213" s="169"/>
      <c r="U213" s="169"/>
      <c r="V213" s="131"/>
      <c r="W213" s="169"/>
      <c r="X213" s="169"/>
      <c r="Y213" s="53"/>
      <c r="Z213" s="110"/>
      <c r="AA213" s="110"/>
      <c r="AB213" s="110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U213" s="135"/>
    </row>
    <row r="214" spans="1:47" hidden="1">
      <c r="A214" s="169" t="s">
        <v>143</v>
      </c>
      <c r="B214" s="169"/>
      <c r="C214" s="227">
        <f>C283+C317+C248</f>
        <v>159824.86666666632</v>
      </c>
      <c r="D214" s="193">
        <v>8.7100000000000009</v>
      </c>
      <c r="E214" s="229"/>
      <c r="F214" s="131">
        <f>F283+F317+F248</f>
        <v>1392074</v>
      </c>
      <c r="G214" s="193">
        <v>8.7100000000000009</v>
      </c>
      <c r="H214" s="231"/>
      <c r="I214" s="131">
        <f>I283+I317+I248</f>
        <v>1392074</v>
      </c>
      <c r="J214" s="193">
        <f>$J$173</f>
        <v>9.6</v>
      </c>
      <c r="K214" s="231"/>
      <c r="L214" s="131">
        <f>L283+L317+L248</f>
        <v>1534319</v>
      </c>
      <c r="M214" s="131"/>
      <c r="N214" s="193">
        <f>$N$173</f>
        <v>9.6</v>
      </c>
      <c r="O214" s="231"/>
      <c r="P214" s="131">
        <f>P283+P317+P248</f>
        <v>1534319</v>
      </c>
      <c r="Q214" s="131"/>
      <c r="R214" s="193" t="str">
        <f>$R$173</f>
        <v xml:space="preserve"> </v>
      </c>
      <c r="S214" s="231"/>
      <c r="T214" s="131">
        <f>T283+T317+T248</f>
        <v>0</v>
      </c>
      <c r="U214" s="131"/>
      <c r="V214" s="193" t="str">
        <f>$V$173</f>
        <v xml:space="preserve"> </v>
      </c>
      <c r="W214" s="231"/>
      <c r="X214" s="131">
        <f>X283+X317+X248</f>
        <v>0</v>
      </c>
      <c r="Y214" s="53"/>
      <c r="Z214" s="110"/>
      <c r="AA214" s="110"/>
      <c r="AB214" s="110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U214" s="135"/>
    </row>
    <row r="215" spans="1:47" hidden="1">
      <c r="A215" s="169" t="s">
        <v>144</v>
      </c>
      <c r="B215" s="169"/>
      <c r="C215" s="227">
        <f>C284+C318+C249</f>
        <v>63164.166666666628</v>
      </c>
      <c r="D215" s="193">
        <v>12.98</v>
      </c>
      <c r="E215" s="232"/>
      <c r="F215" s="131">
        <f>F284+F318+F249</f>
        <v>819872</v>
      </c>
      <c r="G215" s="193">
        <v>12.98</v>
      </c>
      <c r="H215" s="233"/>
      <c r="I215" s="131">
        <f>I284+I318+I249</f>
        <v>819872</v>
      </c>
      <c r="J215" s="193">
        <f>$J$174</f>
        <v>14.3</v>
      </c>
      <c r="K215" s="233"/>
      <c r="L215" s="131">
        <f>L284+L318+L249</f>
        <v>903248</v>
      </c>
      <c r="M215" s="131"/>
      <c r="N215" s="193">
        <f>$N$174</f>
        <v>14.3</v>
      </c>
      <c r="O215" s="233"/>
      <c r="P215" s="131">
        <f>P284+P318+P249</f>
        <v>903248</v>
      </c>
      <c r="Q215" s="131"/>
      <c r="R215" s="193" t="str">
        <f>$R$174</f>
        <v xml:space="preserve"> </v>
      </c>
      <c r="S215" s="233"/>
      <c r="T215" s="131">
        <f>T284+T318+T249</f>
        <v>0</v>
      </c>
      <c r="U215" s="131"/>
      <c r="V215" s="193" t="str">
        <f>$V$174</f>
        <v xml:space="preserve"> </v>
      </c>
      <c r="W215" s="233"/>
      <c r="X215" s="131">
        <f>X284+X318+X249</f>
        <v>0</v>
      </c>
      <c r="Y215" s="53"/>
      <c r="Z215" s="110"/>
      <c r="AA215" s="110"/>
      <c r="AB215" s="110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U215" s="135"/>
    </row>
    <row r="216" spans="1:47" hidden="1">
      <c r="A216" s="169" t="s">
        <v>145</v>
      </c>
      <c r="B216" s="169"/>
      <c r="C216" s="227">
        <f>C285+C319+C250</f>
        <v>1251783</v>
      </c>
      <c r="D216" s="193">
        <v>0.92</v>
      </c>
      <c r="E216" s="232"/>
      <c r="F216" s="131">
        <f>F285+F319+F250</f>
        <v>1151641</v>
      </c>
      <c r="G216" s="193">
        <v>0.92</v>
      </c>
      <c r="H216" s="233"/>
      <c r="I216" s="131">
        <f>I285+I319+I250</f>
        <v>1151641</v>
      </c>
      <c r="J216" s="193">
        <f>$J$175</f>
        <v>1</v>
      </c>
      <c r="K216" s="233"/>
      <c r="L216" s="131">
        <f>L285+L319+L250</f>
        <v>1251783</v>
      </c>
      <c r="M216" s="131"/>
      <c r="N216" s="193">
        <f>$N$175</f>
        <v>1</v>
      </c>
      <c r="O216" s="233"/>
      <c r="P216" s="131">
        <f>P285+P319+P250</f>
        <v>1251783</v>
      </c>
      <c r="Q216" s="131"/>
      <c r="R216" s="193" t="str">
        <f>$R$175</f>
        <v xml:space="preserve"> </v>
      </c>
      <c r="S216" s="233"/>
      <c r="T216" s="131">
        <f>T285+T319+T250</f>
        <v>0</v>
      </c>
      <c r="U216" s="131"/>
      <c r="V216" s="193" t="str">
        <f>$V$175</f>
        <v xml:space="preserve"> </v>
      </c>
      <c r="W216" s="233"/>
      <c r="X216" s="131">
        <f>X285+X319+X250</f>
        <v>0</v>
      </c>
      <c r="Y216" s="53"/>
      <c r="Z216" s="110"/>
      <c r="AA216" s="110"/>
      <c r="AB216" s="110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U216" s="135"/>
    </row>
    <row r="217" spans="1:47" hidden="1">
      <c r="A217" s="169" t="s">
        <v>147</v>
      </c>
      <c r="B217" s="169"/>
      <c r="C217" s="227">
        <f>SUM(C214:C215)</f>
        <v>222989.03333333295</v>
      </c>
      <c r="D217" s="193"/>
      <c r="E217" s="229"/>
      <c r="F217" s="131"/>
      <c r="G217" s="193"/>
      <c r="H217" s="231"/>
      <c r="I217" s="131"/>
      <c r="J217" s="193"/>
      <c r="K217" s="231"/>
      <c r="L217" s="131"/>
      <c r="M217" s="131"/>
      <c r="N217" s="193"/>
      <c r="O217" s="231"/>
      <c r="P217" s="131"/>
      <c r="Q217" s="131"/>
      <c r="R217" s="193"/>
      <c r="S217" s="231"/>
      <c r="T217" s="131"/>
      <c r="U217" s="131"/>
      <c r="V217" s="193"/>
      <c r="W217" s="231"/>
      <c r="X217" s="131"/>
      <c r="Y217" s="53"/>
      <c r="Z217" s="110"/>
      <c r="AA217" s="110"/>
      <c r="AB217" s="110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U217" s="135"/>
    </row>
    <row r="218" spans="1:47" hidden="1">
      <c r="A218" s="169" t="s">
        <v>148</v>
      </c>
      <c r="B218" s="169"/>
      <c r="C218" s="227">
        <f>C287+C321+C252</f>
        <v>847087</v>
      </c>
      <c r="D218" s="250">
        <v>3.4</v>
      </c>
      <c r="E218" s="231"/>
      <c r="F218" s="131">
        <f>F287+F321+F252</f>
        <v>2880096</v>
      </c>
      <c r="G218" s="250">
        <v>3.61</v>
      </c>
      <c r="H218" s="231"/>
      <c r="I218" s="131">
        <f>I287+I321+I252</f>
        <v>3057984</v>
      </c>
      <c r="J218" s="250">
        <f>$J$178</f>
        <v>3.64</v>
      </c>
      <c r="K218" s="231"/>
      <c r="L218" s="131">
        <f>L287+L321+L252</f>
        <v>3083397</v>
      </c>
      <c r="M218" s="131"/>
      <c r="N218" s="250">
        <f>$N$178</f>
        <v>0.48</v>
      </c>
      <c r="O218" s="231"/>
      <c r="P218" s="131">
        <f>P287+P321+P252</f>
        <v>406602</v>
      </c>
      <c r="Q218" s="131"/>
      <c r="R218" s="250">
        <f>$R$178</f>
        <v>0.63</v>
      </c>
      <c r="S218" s="231"/>
      <c r="T218" s="131">
        <f>T287+T321+T252</f>
        <v>533665</v>
      </c>
      <c r="U218" s="131"/>
      <c r="V218" s="250">
        <f>$V$178</f>
        <v>2.54</v>
      </c>
      <c r="W218" s="231"/>
      <c r="X218" s="131">
        <f>X287+X321+X252</f>
        <v>2151601</v>
      </c>
      <c r="Y218" s="53"/>
      <c r="Z218" s="110"/>
      <c r="AA218" s="110"/>
      <c r="AB218" s="110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U218" s="135"/>
    </row>
    <row r="219" spans="1:47" hidden="1">
      <c r="A219" s="169" t="s">
        <v>149</v>
      </c>
      <c r="B219" s="169"/>
      <c r="C219" s="227">
        <f>C288+C322+C253</f>
        <v>130575962.42116135</v>
      </c>
      <c r="D219" s="195">
        <v>9.766</v>
      </c>
      <c r="E219" s="231" t="s">
        <v>107</v>
      </c>
      <c r="F219" s="131">
        <f>F288+F322+F253</f>
        <v>12752048</v>
      </c>
      <c r="G219" s="195">
        <v>10.359</v>
      </c>
      <c r="H219" s="231" t="s">
        <v>107</v>
      </c>
      <c r="I219" s="131">
        <f>I288+I322+I253</f>
        <v>13526365</v>
      </c>
      <c r="J219" s="195">
        <f>$J$179</f>
        <v>10.449</v>
      </c>
      <c r="K219" s="231" t="s">
        <v>107</v>
      </c>
      <c r="L219" s="131">
        <f>L288+L322+L253</f>
        <v>13643883</v>
      </c>
      <c r="M219" s="131"/>
      <c r="N219" s="195">
        <f>$N$179</f>
        <v>1.3644187751662151</v>
      </c>
      <c r="O219" s="231" t="s">
        <v>107</v>
      </c>
      <c r="P219" s="131">
        <f>P288+P322+P253</f>
        <v>1781602</v>
      </c>
      <c r="Q219" s="131"/>
      <c r="R219" s="195">
        <f>$R$179</f>
        <v>1.7973223544650079</v>
      </c>
      <c r="S219" s="231" t="s">
        <v>107</v>
      </c>
      <c r="T219" s="131">
        <f>T288+T322+T253</f>
        <v>2346871</v>
      </c>
      <c r="U219" s="131"/>
      <c r="V219" s="195">
        <f>$V$179</f>
        <v>7.2874254450520697</v>
      </c>
      <c r="W219" s="231" t="s">
        <v>107</v>
      </c>
      <c r="X219" s="131">
        <f>X288+X322+X253</f>
        <v>9515625</v>
      </c>
      <c r="Y219" s="53"/>
      <c r="Z219" s="110"/>
      <c r="AA219" s="110"/>
      <c r="AB219" s="110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U219" s="135"/>
    </row>
    <row r="220" spans="1:47" hidden="1">
      <c r="A220" s="169" t="s">
        <v>150</v>
      </c>
      <c r="B220" s="169"/>
      <c r="C220" s="227">
        <f>C289+C323+C254</f>
        <v>288878910.50220066</v>
      </c>
      <c r="D220" s="195">
        <v>6.7460000000000004</v>
      </c>
      <c r="E220" s="231" t="s">
        <v>107</v>
      </c>
      <c r="F220" s="131">
        <f>F289+F323+F254</f>
        <v>19487772</v>
      </c>
      <c r="G220" s="195">
        <v>7.1559999999999997</v>
      </c>
      <c r="H220" s="231" t="s">
        <v>107</v>
      </c>
      <c r="I220" s="131">
        <f>I289+I323+I254</f>
        <v>20672175</v>
      </c>
      <c r="J220" s="195">
        <f>$J$180</f>
        <v>7.218</v>
      </c>
      <c r="K220" s="231" t="s">
        <v>107</v>
      </c>
      <c r="L220" s="131">
        <f>L289+L323+L254</f>
        <v>20851280</v>
      </c>
      <c r="M220" s="131"/>
      <c r="N220" s="195">
        <f>$N$180</f>
        <v>0.94251839115112013</v>
      </c>
      <c r="O220" s="231" t="s">
        <v>107</v>
      </c>
      <c r="P220" s="131">
        <f>P289+P323+P254</f>
        <v>2722737</v>
      </c>
      <c r="Q220" s="131"/>
      <c r="R220" s="195">
        <f>$R$180</f>
        <v>1.2418703884281421</v>
      </c>
      <c r="S220" s="231" t="s">
        <v>107</v>
      </c>
      <c r="T220" s="131">
        <f>T289+T323+T254</f>
        <v>3587502</v>
      </c>
      <c r="U220" s="131"/>
      <c r="V220" s="195">
        <f>$V$180</f>
        <v>5.0333446832527242</v>
      </c>
      <c r="W220" s="231" t="s">
        <v>107</v>
      </c>
      <c r="X220" s="131">
        <f>X289+X323+X254</f>
        <v>14540271</v>
      </c>
      <c r="Y220" s="53"/>
      <c r="Z220" s="110"/>
      <c r="AA220" s="110"/>
      <c r="AB220" s="110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U220" s="135"/>
    </row>
    <row r="221" spans="1:47" hidden="1">
      <c r="A221" s="169" t="s">
        <v>151</v>
      </c>
      <c r="B221" s="169"/>
      <c r="C221" s="227">
        <f>C290+C324+C255</f>
        <v>123790615.42237033</v>
      </c>
      <c r="D221" s="195">
        <v>5.8120000000000003</v>
      </c>
      <c r="E221" s="231" t="s">
        <v>107</v>
      </c>
      <c r="F221" s="131">
        <f>F290+F324+F255</f>
        <v>7194710</v>
      </c>
      <c r="G221" s="195">
        <v>6.1660000000000004</v>
      </c>
      <c r="H221" s="231" t="s">
        <v>107</v>
      </c>
      <c r="I221" s="131">
        <f>I290+I324+I255</f>
        <v>7632930</v>
      </c>
      <c r="J221" s="195">
        <f>$J$181</f>
        <v>6.218</v>
      </c>
      <c r="K221" s="231" t="s">
        <v>107</v>
      </c>
      <c r="L221" s="131">
        <f>L290+L324+L255</f>
        <v>7697300</v>
      </c>
      <c r="M221" s="131"/>
      <c r="N221" s="195">
        <f>$N$181</f>
        <v>0.81193939748297494</v>
      </c>
      <c r="O221" s="231" t="s">
        <v>107</v>
      </c>
      <c r="P221" s="131">
        <f>P290+P324+P255</f>
        <v>1005105</v>
      </c>
      <c r="Q221" s="131"/>
      <c r="R221" s="195">
        <f>$R$181</f>
        <v>1.0689569190308457</v>
      </c>
      <c r="S221" s="231" t="s">
        <v>107</v>
      </c>
      <c r="T221" s="131">
        <f>T290+T324+T255</f>
        <v>1323268</v>
      </c>
      <c r="U221" s="131"/>
      <c r="V221" s="195">
        <f>$V$181</f>
        <v>4.3370117827017491</v>
      </c>
      <c r="W221" s="231" t="s">
        <v>107</v>
      </c>
      <c r="X221" s="131">
        <f>X290+X324+X255</f>
        <v>5368814</v>
      </c>
      <c r="Y221" s="53"/>
      <c r="Z221" s="110"/>
      <c r="AA221" s="110"/>
      <c r="AB221" s="110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U221" s="135"/>
    </row>
    <row r="222" spans="1:47" hidden="1">
      <c r="A222" s="169" t="s">
        <v>152</v>
      </c>
      <c r="B222" s="169"/>
      <c r="C222" s="227">
        <f>C291+C325+C256</f>
        <v>117537.53333333335</v>
      </c>
      <c r="D222" s="237">
        <v>56</v>
      </c>
      <c r="E222" s="229" t="s">
        <v>107</v>
      </c>
      <c r="F222" s="131">
        <f>F291+F325+F256</f>
        <v>65821</v>
      </c>
      <c r="G222" s="237">
        <v>56</v>
      </c>
      <c r="H222" s="231" t="s">
        <v>107</v>
      </c>
      <c r="I222" s="131">
        <f>I291+I325+I256</f>
        <v>65821</v>
      </c>
      <c r="J222" s="237">
        <f>$J$182</f>
        <v>56</v>
      </c>
      <c r="K222" s="231" t="s">
        <v>107</v>
      </c>
      <c r="L222" s="131">
        <f>L291+L325+L256</f>
        <v>65821</v>
      </c>
      <c r="M222" s="131"/>
      <c r="N222" s="237" t="str">
        <f>$N$182</f>
        <v xml:space="preserve"> </v>
      </c>
      <c r="O222" s="231" t="s">
        <v>107</v>
      </c>
      <c r="P222" s="131">
        <f>P291+P325+P256</f>
        <v>0</v>
      </c>
      <c r="Q222" s="131"/>
      <c r="R222" s="237">
        <f>$R$182</f>
        <v>11</v>
      </c>
      <c r="S222" s="231" t="s">
        <v>107</v>
      </c>
      <c r="T222" s="131">
        <f>T291+T325+T256</f>
        <v>12930</v>
      </c>
      <c r="U222" s="131"/>
      <c r="V222" s="237">
        <f>$V$182</f>
        <v>45</v>
      </c>
      <c r="W222" s="231" t="s">
        <v>107</v>
      </c>
      <c r="X222" s="131">
        <f>X291+X325+X256</f>
        <v>52892</v>
      </c>
      <c r="Y222" s="53"/>
      <c r="Z222" s="110"/>
      <c r="AA222" s="110"/>
      <c r="AB222" s="110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U222" s="135"/>
    </row>
    <row r="223" spans="1:47" s="141" customFormat="1" hidden="1">
      <c r="A223" s="140" t="s">
        <v>153</v>
      </c>
      <c r="C223" s="239">
        <f>C219</f>
        <v>130575962.42116135</v>
      </c>
      <c r="D223" s="138"/>
      <c r="E223" s="143"/>
      <c r="F223" s="144"/>
      <c r="G223" s="138"/>
      <c r="H223" s="143"/>
      <c r="I223" s="144"/>
      <c r="J223" s="145">
        <f>J183</f>
        <v>0</v>
      </c>
      <c r="K223" s="240" t="s">
        <v>107</v>
      </c>
      <c r="L223" s="144">
        <f>L257+L292+L326</f>
        <v>0</v>
      </c>
      <c r="M223" s="144"/>
      <c r="N223" s="145" t="str">
        <f>N183</f>
        <v xml:space="preserve"> </v>
      </c>
      <c r="O223" s="240" t="s">
        <v>107</v>
      </c>
      <c r="P223" s="144">
        <f>P257+P292+P326</f>
        <v>0</v>
      </c>
      <c r="Q223" s="144"/>
      <c r="R223" s="145" t="str">
        <f>R183</f>
        <v xml:space="preserve"> </v>
      </c>
      <c r="S223" s="240" t="s">
        <v>107</v>
      </c>
      <c r="T223" s="144">
        <f>T257+T292+T326</f>
        <v>0</v>
      </c>
      <c r="U223" s="144"/>
      <c r="V223" s="145">
        <f>V183</f>
        <v>0</v>
      </c>
      <c r="W223" s="240" t="s">
        <v>107</v>
      </c>
      <c r="X223" s="144">
        <f>X257+X292+X326</f>
        <v>0</v>
      </c>
      <c r="Z223" s="132"/>
      <c r="AC223" s="148"/>
      <c r="AD223" s="148"/>
      <c r="AI223" s="143"/>
      <c r="AJ223" s="143"/>
      <c r="AK223" s="143"/>
      <c r="AL223" s="143"/>
      <c r="AM223" s="143"/>
      <c r="AN223" s="143"/>
      <c r="AO223" s="143"/>
      <c r="AP223" s="143"/>
      <c r="AQ223" s="143"/>
      <c r="AR223" s="143"/>
      <c r="AS223" s="143"/>
      <c r="AU223" s="147"/>
    </row>
    <row r="224" spans="1:47" s="141" customFormat="1" hidden="1">
      <c r="A224" s="140" t="s">
        <v>154</v>
      </c>
      <c r="C224" s="239">
        <f t="shared" ref="C224:C225" si="60">C220</f>
        <v>288878910.50220066</v>
      </c>
      <c r="D224" s="138"/>
      <c r="E224" s="143"/>
      <c r="F224" s="144"/>
      <c r="G224" s="138"/>
      <c r="H224" s="143"/>
      <c r="I224" s="144"/>
      <c r="J224" s="145">
        <f>J184</f>
        <v>0</v>
      </c>
      <c r="K224" s="240" t="s">
        <v>107</v>
      </c>
      <c r="L224" s="144">
        <f t="shared" ref="L224:L225" si="61">L258+L293+L327</f>
        <v>0</v>
      </c>
      <c r="M224" s="144"/>
      <c r="N224" s="145" t="str">
        <f>N184</f>
        <v xml:space="preserve"> </v>
      </c>
      <c r="O224" s="240" t="s">
        <v>107</v>
      </c>
      <c r="P224" s="144">
        <f t="shared" ref="P224:P225" si="62">P258+P293+P327</f>
        <v>0</v>
      </c>
      <c r="Q224" s="144"/>
      <c r="R224" s="145" t="str">
        <f>R184</f>
        <v xml:space="preserve"> </v>
      </c>
      <c r="S224" s="240" t="s">
        <v>107</v>
      </c>
      <c r="T224" s="144">
        <f t="shared" ref="T224:T225" si="63">T258+T293+T327</f>
        <v>0</v>
      </c>
      <c r="U224" s="144"/>
      <c r="V224" s="145">
        <f>V184</f>
        <v>0</v>
      </c>
      <c r="W224" s="240" t="s">
        <v>107</v>
      </c>
      <c r="X224" s="144">
        <f t="shared" ref="X224:X225" si="64">X258+X293+X327</f>
        <v>0</v>
      </c>
      <c r="Z224" s="132"/>
      <c r="AC224" s="148"/>
      <c r="AD224" s="148"/>
      <c r="AI224" s="143"/>
      <c r="AJ224" s="143"/>
      <c r="AK224" s="143"/>
      <c r="AL224" s="143"/>
      <c r="AM224" s="143"/>
      <c r="AN224" s="143"/>
      <c r="AO224" s="143"/>
      <c r="AP224" s="143"/>
      <c r="AQ224" s="143"/>
      <c r="AR224" s="143"/>
      <c r="AS224" s="143"/>
      <c r="AU224" s="147"/>
    </row>
    <row r="225" spans="1:47" s="141" customFormat="1" hidden="1">
      <c r="A225" s="140" t="s">
        <v>155</v>
      </c>
      <c r="C225" s="239">
        <f t="shared" si="60"/>
        <v>123790615.42237033</v>
      </c>
      <c r="D225" s="138"/>
      <c r="E225" s="143"/>
      <c r="F225" s="144"/>
      <c r="G225" s="138"/>
      <c r="H225" s="143"/>
      <c r="I225" s="144"/>
      <c r="J225" s="145">
        <f>J185</f>
        <v>0</v>
      </c>
      <c r="K225" s="240" t="s">
        <v>107</v>
      </c>
      <c r="L225" s="144">
        <f t="shared" si="61"/>
        <v>0</v>
      </c>
      <c r="M225" s="144"/>
      <c r="N225" s="145" t="str">
        <f>N185</f>
        <v xml:space="preserve"> </v>
      </c>
      <c r="O225" s="240" t="s">
        <v>107</v>
      </c>
      <c r="P225" s="144">
        <f t="shared" si="62"/>
        <v>0</v>
      </c>
      <c r="Q225" s="144"/>
      <c r="R225" s="145" t="str">
        <f>R185</f>
        <v xml:space="preserve"> </v>
      </c>
      <c r="S225" s="240" t="s">
        <v>107</v>
      </c>
      <c r="T225" s="144">
        <f t="shared" si="63"/>
        <v>0</v>
      </c>
      <c r="U225" s="144"/>
      <c r="V225" s="145">
        <f>V185</f>
        <v>0</v>
      </c>
      <c r="W225" s="240" t="s">
        <v>107</v>
      </c>
      <c r="X225" s="144">
        <f t="shared" si="64"/>
        <v>0</v>
      </c>
      <c r="Z225" s="132" t="s">
        <v>0</v>
      </c>
      <c r="AC225" s="148"/>
      <c r="AD225" s="148"/>
      <c r="AI225" s="143"/>
      <c r="AJ225" s="143"/>
      <c r="AK225" s="143"/>
      <c r="AL225" s="143"/>
      <c r="AM225" s="143"/>
      <c r="AN225" s="143"/>
      <c r="AO225" s="143"/>
      <c r="AP225" s="143"/>
      <c r="AQ225" s="143"/>
      <c r="AR225" s="143"/>
      <c r="AS225" s="143"/>
      <c r="AU225" s="147"/>
    </row>
    <row r="226" spans="1:47" hidden="1">
      <c r="A226" s="244" t="s">
        <v>159</v>
      </c>
      <c r="B226" s="169"/>
      <c r="C226" s="227"/>
      <c r="D226" s="245">
        <v>-0.01</v>
      </c>
      <c r="E226" s="229"/>
      <c r="F226" s="131"/>
      <c r="G226" s="245">
        <v>-0.01</v>
      </c>
      <c r="H226" s="231"/>
      <c r="I226" s="131"/>
      <c r="J226" s="245">
        <v>-0.01</v>
      </c>
      <c r="K226" s="231"/>
      <c r="L226" s="131"/>
      <c r="M226" s="131"/>
      <c r="N226" s="245">
        <v>-0.01</v>
      </c>
      <c r="O226" s="231"/>
      <c r="P226" s="131"/>
      <c r="Q226" s="131"/>
      <c r="R226" s="245">
        <v>-0.01</v>
      </c>
      <c r="S226" s="231"/>
      <c r="T226" s="131"/>
      <c r="U226" s="131"/>
      <c r="V226" s="245">
        <v>-0.01</v>
      </c>
      <c r="W226" s="231"/>
      <c r="X226" s="131"/>
      <c r="Y226" s="53"/>
      <c r="Z226" s="270" t="s">
        <v>0</v>
      </c>
      <c r="AA226" s="110"/>
      <c r="AB226" s="110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U226" s="135"/>
    </row>
    <row r="227" spans="1:47" hidden="1">
      <c r="A227" s="169" t="s">
        <v>143</v>
      </c>
      <c r="B227" s="169"/>
      <c r="C227" s="227">
        <f t="shared" ref="C227:C236" si="65">C296+C330+C261</f>
        <v>71.966666666666697</v>
      </c>
      <c r="D227" s="247">
        <v>8.7100000000000009</v>
      </c>
      <c r="E227" s="229"/>
      <c r="F227" s="131">
        <f t="shared" ref="F227:F236" si="66">F296+F330+F261</f>
        <v>-6</v>
      </c>
      <c r="G227" s="247">
        <v>8.7100000000000009</v>
      </c>
      <c r="H227" s="229"/>
      <c r="I227" s="131">
        <f t="shared" ref="I227:I236" si="67">I296+I330+I261</f>
        <v>-6</v>
      </c>
      <c r="J227" s="247">
        <f>J214</f>
        <v>9.6</v>
      </c>
      <c r="K227" s="229"/>
      <c r="L227" s="131">
        <f t="shared" ref="L227:L236" si="68">L296+L330+L261</f>
        <v>-7</v>
      </c>
      <c r="M227" s="131"/>
      <c r="N227" s="247">
        <f>N214</f>
        <v>9.6</v>
      </c>
      <c r="O227" s="229"/>
      <c r="P227" s="131">
        <f t="shared" ref="P227:P236" si="69">P296+P330+P261</f>
        <v>-7</v>
      </c>
      <c r="Q227" s="131"/>
      <c r="R227" s="247" t="str">
        <f>R214</f>
        <v xml:space="preserve"> </v>
      </c>
      <c r="S227" s="229"/>
      <c r="T227" s="131">
        <f t="shared" ref="T227:T236" si="70">T296+T330+T261</f>
        <v>0</v>
      </c>
      <c r="U227" s="131"/>
      <c r="V227" s="247" t="str">
        <f>V214</f>
        <v xml:space="preserve"> </v>
      </c>
      <c r="W227" s="229"/>
      <c r="X227" s="131">
        <f t="shared" ref="X227:X236" si="71">X296+X330+X261</f>
        <v>0</v>
      </c>
      <c r="Y227" s="53"/>
      <c r="Z227" s="110"/>
      <c r="AA227" s="110"/>
      <c r="AB227" s="110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U227" s="135"/>
    </row>
    <row r="228" spans="1:47" hidden="1">
      <c r="A228" s="169" t="s">
        <v>144</v>
      </c>
      <c r="B228" s="169"/>
      <c r="C228" s="227">
        <f t="shared" si="65"/>
        <v>38.6</v>
      </c>
      <c r="D228" s="247">
        <v>12.98</v>
      </c>
      <c r="E228" s="229"/>
      <c r="F228" s="131">
        <f t="shared" si="66"/>
        <v>-5</v>
      </c>
      <c r="G228" s="247">
        <v>12.98</v>
      </c>
      <c r="H228" s="229"/>
      <c r="I228" s="131">
        <f t="shared" si="67"/>
        <v>-5</v>
      </c>
      <c r="J228" s="247">
        <f>J215</f>
        <v>14.3</v>
      </c>
      <c r="K228" s="229"/>
      <c r="L228" s="131">
        <f t="shared" si="68"/>
        <v>-5</v>
      </c>
      <c r="M228" s="131"/>
      <c r="N228" s="247">
        <f>N215</f>
        <v>14.3</v>
      </c>
      <c r="O228" s="229"/>
      <c r="P228" s="131">
        <f t="shared" si="69"/>
        <v>-5</v>
      </c>
      <c r="Q228" s="131"/>
      <c r="R228" s="247" t="str">
        <f>R215</f>
        <v xml:space="preserve"> </v>
      </c>
      <c r="S228" s="229"/>
      <c r="T228" s="131">
        <f t="shared" si="70"/>
        <v>0</v>
      </c>
      <c r="U228" s="131"/>
      <c r="V228" s="247" t="str">
        <f>V215</f>
        <v xml:space="preserve"> </v>
      </c>
      <c r="W228" s="229"/>
      <c r="X228" s="131">
        <f t="shared" si="71"/>
        <v>0</v>
      </c>
      <c r="Y228" s="53"/>
      <c r="Z228" s="110"/>
      <c r="AA228" s="110"/>
      <c r="AB228" s="110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U228" s="135"/>
    </row>
    <row r="229" spans="1:47" hidden="1">
      <c r="A229" s="169" t="s">
        <v>160</v>
      </c>
      <c r="B229" s="169"/>
      <c r="C229" s="227">
        <f t="shared" si="65"/>
        <v>1129</v>
      </c>
      <c r="D229" s="247">
        <v>0.92</v>
      </c>
      <c r="E229" s="229"/>
      <c r="F229" s="131">
        <f t="shared" si="66"/>
        <v>-11</v>
      </c>
      <c r="G229" s="247">
        <v>0.92</v>
      </c>
      <c r="H229" s="229"/>
      <c r="I229" s="131">
        <f t="shared" si="67"/>
        <v>-11</v>
      </c>
      <c r="J229" s="247">
        <f>J216</f>
        <v>1</v>
      </c>
      <c r="K229" s="229"/>
      <c r="L229" s="131">
        <f t="shared" si="68"/>
        <v>-11</v>
      </c>
      <c r="M229" s="131"/>
      <c r="N229" s="247">
        <f>N216</f>
        <v>1</v>
      </c>
      <c r="O229" s="229"/>
      <c r="P229" s="131">
        <f t="shared" si="69"/>
        <v>-11</v>
      </c>
      <c r="Q229" s="131"/>
      <c r="R229" s="247" t="str">
        <f>R216</f>
        <v xml:space="preserve"> </v>
      </c>
      <c r="S229" s="229"/>
      <c r="T229" s="131">
        <f t="shared" si="70"/>
        <v>0</v>
      </c>
      <c r="U229" s="131"/>
      <c r="V229" s="247" t="str">
        <f>V216</f>
        <v xml:space="preserve"> </v>
      </c>
      <c r="W229" s="229"/>
      <c r="X229" s="131">
        <f t="shared" si="71"/>
        <v>0</v>
      </c>
      <c r="Y229" s="53"/>
      <c r="Z229" s="110"/>
      <c r="AA229" s="110"/>
      <c r="AB229" s="110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U229" s="135"/>
    </row>
    <row r="230" spans="1:47" hidden="1">
      <c r="A230" s="169" t="s">
        <v>161</v>
      </c>
      <c r="B230" s="169"/>
      <c r="C230" s="227">
        <f t="shared" si="65"/>
        <v>948</v>
      </c>
      <c r="D230" s="247">
        <v>3.4</v>
      </c>
      <c r="E230" s="231"/>
      <c r="F230" s="131">
        <f t="shared" si="66"/>
        <v>-32</v>
      </c>
      <c r="G230" s="247">
        <v>3.61</v>
      </c>
      <c r="H230" s="231"/>
      <c r="I230" s="131">
        <f t="shared" si="67"/>
        <v>-35</v>
      </c>
      <c r="J230" s="247">
        <f>J218</f>
        <v>3.64</v>
      </c>
      <c r="K230" s="231"/>
      <c r="L230" s="131">
        <f t="shared" si="68"/>
        <v>-35</v>
      </c>
      <c r="M230" s="131"/>
      <c r="N230" s="247">
        <f>N218</f>
        <v>0.48</v>
      </c>
      <c r="O230" s="231"/>
      <c r="P230" s="131">
        <f t="shared" si="69"/>
        <v>-5</v>
      </c>
      <c r="Q230" s="131"/>
      <c r="R230" s="247">
        <f>R218</f>
        <v>0.63</v>
      </c>
      <c r="S230" s="231"/>
      <c r="T230" s="131">
        <f t="shared" si="70"/>
        <v>-6</v>
      </c>
      <c r="U230" s="131"/>
      <c r="V230" s="247">
        <f>V218</f>
        <v>2.54</v>
      </c>
      <c r="W230" s="231"/>
      <c r="X230" s="131">
        <f t="shared" si="71"/>
        <v>-24</v>
      </c>
      <c r="Y230" s="53"/>
      <c r="Z230" s="110"/>
      <c r="AA230" s="110"/>
      <c r="AB230" s="110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U230" s="135"/>
    </row>
    <row r="231" spans="1:47" hidden="1">
      <c r="A231" s="169" t="s">
        <v>162</v>
      </c>
      <c r="B231" s="169"/>
      <c r="C231" s="227">
        <f t="shared" si="65"/>
        <v>90642.333333333299</v>
      </c>
      <c r="D231" s="248">
        <v>9.766</v>
      </c>
      <c r="E231" s="231" t="s">
        <v>107</v>
      </c>
      <c r="F231" s="131">
        <f t="shared" si="66"/>
        <v>-89</v>
      </c>
      <c r="G231" s="248">
        <v>10.359</v>
      </c>
      <c r="H231" s="231" t="s">
        <v>107</v>
      </c>
      <c r="I231" s="131">
        <f t="shared" si="67"/>
        <v>-94</v>
      </c>
      <c r="J231" s="248">
        <f>J219</f>
        <v>10.449</v>
      </c>
      <c r="K231" s="231" t="s">
        <v>107</v>
      </c>
      <c r="L231" s="131">
        <f t="shared" si="68"/>
        <v>-95</v>
      </c>
      <c r="M231" s="131"/>
      <c r="N231" s="248">
        <f>N219</f>
        <v>1.3644187751662151</v>
      </c>
      <c r="O231" s="231" t="s">
        <v>107</v>
      </c>
      <c r="P231" s="131">
        <f t="shared" si="69"/>
        <v>-12</v>
      </c>
      <c r="Q231" s="131"/>
      <c r="R231" s="248">
        <f>R219</f>
        <v>1.7973223544650079</v>
      </c>
      <c r="S231" s="231" t="s">
        <v>107</v>
      </c>
      <c r="T231" s="131">
        <f t="shared" si="70"/>
        <v>-16</v>
      </c>
      <c r="U231" s="131"/>
      <c r="V231" s="248">
        <f>V219</f>
        <v>7.2874254450520697</v>
      </c>
      <c r="W231" s="231" t="s">
        <v>107</v>
      </c>
      <c r="X231" s="131">
        <f t="shared" si="71"/>
        <v>-66</v>
      </c>
      <c r="Y231" s="53"/>
      <c r="Z231" s="110"/>
      <c r="AA231" s="110"/>
      <c r="AB231" s="110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U231" s="135"/>
    </row>
    <row r="232" spans="1:47" hidden="1">
      <c r="A232" s="169" t="s">
        <v>150</v>
      </c>
      <c r="B232" s="169"/>
      <c r="C232" s="227">
        <f t="shared" si="65"/>
        <v>455823.66666666698</v>
      </c>
      <c r="D232" s="248">
        <v>6.7460000000000004</v>
      </c>
      <c r="E232" s="231" t="s">
        <v>107</v>
      </c>
      <c r="F232" s="131">
        <f t="shared" si="66"/>
        <v>-307</v>
      </c>
      <c r="G232" s="248">
        <v>7.1559999999999997</v>
      </c>
      <c r="H232" s="231" t="s">
        <v>107</v>
      </c>
      <c r="I232" s="131">
        <f t="shared" si="67"/>
        <v>-326</v>
      </c>
      <c r="J232" s="248">
        <f>J220</f>
        <v>7.218</v>
      </c>
      <c r="K232" s="231" t="s">
        <v>107</v>
      </c>
      <c r="L232" s="131">
        <f t="shared" si="68"/>
        <v>-329</v>
      </c>
      <c r="M232" s="131"/>
      <c r="N232" s="248">
        <f>N220</f>
        <v>0.94251839115112013</v>
      </c>
      <c r="O232" s="231" t="s">
        <v>107</v>
      </c>
      <c r="P232" s="131">
        <f t="shared" si="69"/>
        <v>-43</v>
      </c>
      <c r="Q232" s="131"/>
      <c r="R232" s="248">
        <f>R220</f>
        <v>1.2418703884281421</v>
      </c>
      <c r="S232" s="231" t="s">
        <v>107</v>
      </c>
      <c r="T232" s="131">
        <f t="shared" si="70"/>
        <v>-57</v>
      </c>
      <c r="U232" s="131"/>
      <c r="V232" s="248">
        <f>V220</f>
        <v>5.0333446832527242</v>
      </c>
      <c r="W232" s="231" t="s">
        <v>107</v>
      </c>
      <c r="X232" s="131">
        <f t="shared" si="71"/>
        <v>-229</v>
      </c>
      <c r="Y232" s="53"/>
      <c r="Z232" s="110"/>
      <c r="AA232" s="110"/>
      <c r="AB232" s="110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U232" s="135"/>
    </row>
    <row r="233" spans="1:47" hidden="1">
      <c r="A233" s="169" t="s">
        <v>151</v>
      </c>
      <c r="B233" s="169"/>
      <c r="C233" s="227">
        <f t="shared" si="65"/>
        <v>176779.99999999971</v>
      </c>
      <c r="D233" s="248">
        <v>5.8120000000000003</v>
      </c>
      <c r="E233" s="231" t="s">
        <v>107</v>
      </c>
      <c r="F233" s="131">
        <f t="shared" si="66"/>
        <v>-102</v>
      </c>
      <c r="G233" s="248">
        <v>6.1660000000000004</v>
      </c>
      <c r="H233" s="231" t="s">
        <v>107</v>
      </c>
      <c r="I233" s="131">
        <f t="shared" si="67"/>
        <v>-109</v>
      </c>
      <c r="J233" s="248">
        <f>J221</f>
        <v>6.218</v>
      </c>
      <c r="K233" s="231" t="s">
        <v>107</v>
      </c>
      <c r="L233" s="131">
        <f t="shared" si="68"/>
        <v>-110</v>
      </c>
      <c r="M233" s="131"/>
      <c r="N233" s="248">
        <f>N221</f>
        <v>0.81193939748297494</v>
      </c>
      <c r="O233" s="231" t="s">
        <v>107</v>
      </c>
      <c r="P233" s="131">
        <f t="shared" si="69"/>
        <v>-15</v>
      </c>
      <c r="Q233" s="131"/>
      <c r="R233" s="248">
        <f>R221</f>
        <v>1.0689569190308457</v>
      </c>
      <c r="S233" s="231" t="s">
        <v>107</v>
      </c>
      <c r="T233" s="131">
        <f t="shared" si="70"/>
        <v>-19</v>
      </c>
      <c r="U233" s="131"/>
      <c r="V233" s="248">
        <f>V221</f>
        <v>4.3370117827017491</v>
      </c>
      <c r="W233" s="231" t="s">
        <v>107</v>
      </c>
      <c r="X233" s="131">
        <f t="shared" si="71"/>
        <v>-76</v>
      </c>
      <c r="Y233" s="53"/>
      <c r="Z233" s="110"/>
      <c r="AA233" s="110"/>
      <c r="AB233" s="110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U233" s="135"/>
    </row>
    <row r="234" spans="1:47" hidden="1">
      <c r="A234" s="169" t="s">
        <v>152</v>
      </c>
      <c r="B234" s="169"/>
      <c r="C234" s="227">
        <f t="shared" si="65"/>
        <v>1148.3</v>
      </c>
      <c r="D234" s="249">
        <v>56</v>
      </c>
      <c r="E234" s="231" t="s">
        <v>107</v>
      </c>
      <c r="F234" s="131">
        <f t="shared" si="66"/>
        <v>-6</v>
      </c>
      <c r="G234" s="249">
        <v>56</v>
      </c>
      <c r="H234" s="231" t="s">
        <v>107</v>
      </c>
      <c r="I234" s="131">
        <f t="shared" si="67"/>
        <v>-6</v>
      </c>
      <c r="J234" s="249">
        <f>J222</f>
        <v>56</v>
      </c>
      <c r="K234" s="231" t="s">
        <v>107</v>
      </c>
      <c r="L234" s="131">
        <f t="shared" si="68"/>
        <v>-6</v>
      </c>
      <c r="M234" s="131"/>
      <c r="N234" s="249" t="str">
        <f>N222</f>
        <v xml:space="preserve"> </v>
      </c>
      <c r="O234" s="231" t="s">
        <v>107</v>
      </c>
      <c r="P234" s="131">
        <f t="shared" si="69"/>
        <v>0</v>
      </c>
      <c r="Q234" s="131"/>
      <c r="R234" s="249">
        <f>R222</f>
        <v>11</v>
      </c>
      <c r="S234" s="231" t="s">
        <v>107</v>
      </c>
      <c r="T234" s="131">
        <f t="shared" si="70"/>
        <v>-1</v>
      </c>
      <c r="U234" s="131"/>
      <c r="V234" s="249">
        <f>V222</f>
        <v>45</v>
      </c>
      <c r="W234" s="231" t="s">
        <v>107</v>
      </c>
      <c r="X234" s="131">
        <f t="shared" si="71"/>
        <v>-5</v>
      </c>
      <c r="Y234" s="53"/>
      <c r="Z234" s="110"/>
      <c r="AA234" s="110"/>
      <c r="AB234" s="110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U234" s="135"/>
    </row>
    <row r="235" spans="1:47" hidden="1">
      <c r="A235" s="169" t="s">
        <v>163</v>
      </c>
      <c r="B235" s="169"/>
      <c r="C235" s="227">
        <f t="shared" si="65"/>
        <v>123.4666666666667</v>
      </c>
      <c r="D235" s="250">
        <v>60</v>
      </c>
      <c r="E235" s="229"/>
      <c r="F235" s="131">
        <f t="shared" si="66"/>
        <v>7408</v>
      </c>
      <c r="G235" s="250">
        <v>60</v>
      </c>
      <c r="H235" s="231"/>
      <c r="I235" s="131">
        <f t="shared" si="67"/>
        <v>7408</v>
      </c>
      <c r="J235" s="250">
        <f>$J$198</f>
        <v>60</v>
      </c>
      <c r="K235" s="231"/>
      <c r="L235" s="131">
        <f t="shared" si="68"/>
        <v>7408</v>
      </c>
      <c r="M235" s="131"/>
      <c r="N235" s="250">
        <f>$J$198</f>
        <v>60</v>
      </c>
      <c r="O235" s="231"/>
      <c r="P235" s="131">
        <f t="shared" si="69"/>
        <v>0</v>
      </c>
      <c r="Q235" s="131"/>
      <c r="R235" s="250">
        <f>$R$198</f>
        <v>11.86</v>
      </c>
      <c r="S235" s="231"/>
      <c r="T235" s="131">
        <f t="shared" si="70"/>
        <v>1464</v>
      </c>
      <c r="U235" s="131"/>
      <c r="V235" s="250">
        <f>$V$198</f>
        <v>48.14</v>
      </c>
      <c r="W235" s="231"/>
      <c r="X235" s="131">
        <f t="shared" si="71"/>
        <v>5944</v>
      </c>
      <c r="Y235" s="53"/>
      <c r="Z235" s="110"/>
      <c r="AA235" s="110"/>
      <c r="AB235" s="110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U235" s="135"/>
    </row>
    <row r="236" spans="1:47" hidden="1">
      <c r="A236" s="169" t="s">
        <v>164</v>
      </c>
      <c r="B236" s="169"/>
      <c r="C236" s="227">
        <f t="shared" si="65"/>
        <v>1129</v>
      </c>
      <c r="D236" s="251">
        <v>-30</v>
      </c>
      <c r="E236" s="229" t="s">
        <v>107</v>
      </c>
      <c r="F236" s="131">
        <f t="shared" si="66"/>
        <v>-339</v>
      </c>
      <c r="G236" s="251">
        <v>-30</v>
      </c>
      <c r="H236" s="231" t="s">
        <v>107</v>
      </c>
      <c r="I236" s="131">
        <f t="shared" si="67"/>
        <v>-339</v>
      </c>
      <c r="J236" s="251">
        <f>$J$199</f>
        <v>-30</v>
      </c>
      <c r="K236" s="231" t="s">
        <v>107</v>
      </c>
      <c r="L236" s="131">
        <f t="shared" si="68"/>
        <v>-339</v>
      </c>
      <c r="M236" s="131"/>
      <c r="N236" s="251">
        <f>$N$199</f>
        <v>-30</v>
      </c>
      <c r="O236" s="231" t="s">
        <v>107</v>
      </c>
      <c r="P236" s="131">
        <f t="shared" si="69"/>
        <v>-339</v>
      </c>
      <c r="Q236" s="131"/>
      <c r="R236" s="251" t="str">
        <f>$R$199</f>
        <v xml:space="preserve"> </v>
      </c>
      <c r="S236" s="231" t="s">
        <v>107</v>
      </c>
      <c r="T236" s="131">
        <f t="shared" si="70"/>
        <v>0</v>
      </c>
      <c r="U236" s="131"/>
      <c r="V236" s="251" t="str">
        <f>$V$199</f>
        <v xml:space="preserve"> </v>
      </c>
      <c r="W236" s="231" t="s">
        <v>107</v>
      </c>
      <c r="X236" s="131">
        <f t="shared" si="71"/>
        <v>0</v>
      </c>
      <c r="Y236" s="53"/>
      <c r="Z236" s="110"/>
      <c r="AA236" s="110"/>
      <c r="AB236" s="110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U236" s="135"/>
    </row>
    <row r="237" spans="1:47" s="141" customFormat="1" hidden="1">
      <c r="A237" s="140" t="s">
        <v>153</v>
      </c>
      <c r="C237" s="239">
        <f>C231</f>
        <v>90642.333333333299</v>
      </c>
      <c r="D237" s="138"/>
      <c r="E237" s="143"/>
      <c r="F237" s="144"/>
      <c r="G237" s="138"/>
      <c r="H237" s="143"/>
      <c r="I237" s="144"/>
      <c r="J237" s="145">
        <f>J183</f>
        <v>0</v>
      </c>
      <c r="K237" s="240" t="s">
        <v>107</v>
      </c>
      <c r="L237" s="144">
        <f t="shared" ref="L237:L239" si="72">L271+L306+L340</f>
        <v>0</v>
      </c>
      <c r="M237" s="144"/>
      <c r="N237" s="145" t="str">
        <f>N183</f>
        <v xml:space="preserve"> </v>
      </c>
      <c r="O237" s="240" t="s">
        <v>107</v>
      </c>
      <c r="P237" s="144">
        <f t="shared" ref="P237:P239" si="73">P271+P306+P340</f>
        <v>0</v>
      </c>
      <c r="Q237" s="144"/>
      <c r="R237" s="145" t="str">
        <f>R183</f>
        <v xml:space="preserve"> </v>
      </c>
      <c r="S237" s="240" t="s">
        <v>107</v>
      </c>
      <c r="T237" s="144">
        <f t="shared" ref="T237:T239" si="74">T271+T306+T340</f>
        <v>0</v>
      </c>
      <c r="U237" s="144"/>
      <c r="V237" s="145">
        <f>V183</f>
        <v>0</v>
      </c>
      <c r="W237" s="240" t="s">
        <v>107</v>
      </c>
      <c r="X237" s="144">
        <f t="shared" ref="X237:X239" si="75">X271+X306+X340</f>
        <v>0</v>
      </c>
      <c r="Z237" s="132"/>
      <c r="AC237" s="148"/>
      <c r="AD237" s="148"/>
      <c r="AI237" s="143"/>
      <c r="AJ237" s="143"/>
      <c r="AK237" s="143"/>
      <c r="AL237" s="143"/>
      <c r="AM237" s="143"/>
      <c r="AN237" s="143"/>
      <c r="AO237" s="143"/>
      <c r="AP237" s="143"/>
      <c r="AQ237" s="143"/>
      <c r="AR237" s="143"/>
      <c r="AS237" s="143"/>
      <c r="AU237" s="147"/>
    </row>
    <row r="238" spans="1:47" s="141" customFormat="1" hidden="1">
      <c r="A238" s="140" t="s">
        <v>154</v>
      </c>
      <c r="C238" s="239">
        <f t="shared" ref="C238:C239" si="76">C232</f>
        <v>455823.66666666698</v>
      </c>
      <c r="D238" s="138"/>
      <c r="E238" s="143"/>
      <c r="F238" s="144"/>
      <c r="G238" s="138"/>
      <c r="H238" s="143"/>
      <c r="I238" s="144"/>
      <c r="J238" s="145">
        <f>J184</f>
        <v>0</v>
      </c>
      <c r="K238" s="240" t="s">
        <v>107</v>
      </c>
      <c r="L238" s="144">
        <f t="shared" si="72"/>
        <v>0</v>
      </c>
      <c r="M238" s="144"/>
      <c r="N238" s="145" t="str">
        <f>N184</f>
        <v xml:space="preserve"> </v>
      </c>
      <c r="O238" s="240" t="s">
        <v>107</v>
      </c>
      <c r="P238" s="144">
        <f t="shared" si="73"/>
        <v>0</v>
      </c>
      <c r="Q238" s="144"/>
      <c r="R238" s="145" t="str">
        <f>R184</f>
        <v xml:space="preserve"> </v>
      </c>
      <c r="S238" s="240" t="s">
        <v>107</v>
      </c>
      <c r="T238" s="144">
        <f t="shared" si="74"/>
        <v>0</v>
      </c>
      <c r="U238" s="144"/>
      <c r="V238" s="145">
        <f>V184</f>
        <v>0</v>
      </c>
      <c r="W238" s="240" t="s">
        <v>107</v>
      </c>
      <c r="X238" s="144">
        <f t="shared" si="75"/>
        <v>0</v>
      </c>
      <c r="Z238" s="132"/>
      <c r="AC238" s="148"/>
      <c r="AD238" s="148"/>
      <c r="AI238" s="143"/>
      <c r="AJ238" s="143"/>
      <c r="AK238" s="143"/>
      <c r="AL238" s="143"/>
      <c r="AM238" s="143"/>
      <c r="AN238" s="143"/>
      <c r="AO238" s="143"/>
      <c r="AP238" s="143"/>
      <c r="AQ238" s="143"/>
      <c r="AR238" s="143"/>
      <c r="AS238" s="143"/>
      <c r="AU238" s="147"/>
    </row>
    <row r="239" spans="1:47" s="141" customFormat="1" hidden="1">
      <c r="A239" s="140" t="s">
        <v>155</v>
      </c>
      <c r="C239" s="239">
        <f t="shared" si="76"/>
        <v>176779.99999999971</v>
      </c>
      <c r="D239" s="138"/>
      <c r="E239" s="143"/>
      <c r="F239" s="144"/>
      <c r="G239" s="138"/>
      <c r="H239" s="143"/>
      <c r="I239" s="144"/>
      <c r="J239" s="145">
        <f>J185</f>
        <v>0</v>
      </c>
      <c r="K239" s="240" t="s">
        <v>107</v>
      </c>
      <c r="L239" s="144">
        <f t="shared" si="72"/>
        <v>0</v>
      </c>
      <c r="M239" s="144"/>
      <c r="N239" s="145" t="str">
        <f>N185</f>
        <v xml:space="preserve"> </v>
      </c>
      <c r="O239" s="240" t="s">
        <v>107</v>
      </c>
      <c r="P239" s="144">
        <f t="shared" si="73"/>
        <v>0</v>
      </c>
      <c r="Q239" s="144"/>
      <c r="R239" s="145" t="str">
        <f>R185</f>
        <v xml:space="preserve"> </v>
      </c>
      <c r="S239" s="240" t="s">
        <v>107</v>
      </c>
      <c r="T239" s="144">
        <f t="shared" si="74"/>
        <v>0</v>
      </c>
      <c r="U239" s="144"/>
      <c r="V239" s="145">
        <f>V185</f>
        <v>0</v>
      </c>
      <c r="W239" s="240" t="s">
        <v>107</v>
      </c>
      <c r="X239" s="144">
        <f t="shared" si="75"/>
        <v>0</v>
      </c>
      <c r="Z239" s="132"/>
      <c r="AC239" s="148"/>
      <c r="AD239" s="148"/>
      <c r="AI239" s="143"/>
      <c r="AJ239" s="143"/>
      <c r="AK239" s="143"/>
      <c r="AL239" s="143"/>
      <c r="AM239" s="143"/>
      <c r="AN239" s="143"/>
      <c r="AO239" s="143"/>
      <c r="AP239" s="143"/>
      <c r="AQ239" s="143"/>
      <c r="AR239" s="143"/>
      <c r="AS239" s="143"/>
      <c r="AU239" s="147"/>
    </row>
    <row r="240" spans="1:47" hidden="1">
      <c r="A240" s="169" t="s">
        <v>133</v>
      </c>
      <c r="B240" s="129"/>
      <c r="C240" s="227">
        <f t="shared" ref="C240" si="77">C309+C343+C274</f>
        <v>543245488.34573233</v>
      </c>
      <c r="D240" s="237"/>
      <c r="E240" s="131"/>
      <c r="F240" s="131">
        <f t="shared" ref="F240" si="78">F309+F343+F274</f>
        <v>45750545</v>
      </c>
      <c r="G240" s="237"/>
      <c r="H240" s="231"/>
      <c r="I240" s="131">
        <f t="shared" ref="I240" si="79">I309+I343+I274</f>
        <v>48325339</v>
      </c>
      <c r="J240" s="237"/>
      <c r="K240" s="231"/>
      <c r="L240" s="131">
        <f t="shared" ref="L240" si="80">L309+L343+L274</f>
        <v>49037502</v>
      </c>
      <c r="M240" s="131"/>
      <c r="N240" s="237"/>
      <c r="O240" s="231"/>
      <c r="P240" s="131">
        <f t="shared" ref="P240" si="81">P309+P343+P274</f>
        <v>9604959</v>
      </c>
      <c r="Q240" s="131"/>
      <c r="R240" s="237"/>
      <c r="S240" s="231"/>
      <c r="T240" s="131">
        <f t="shared" ref="T240" si="82">T309+T343+T274</f>
        <v>7805601</v>
      </c>
      <c r="U240" s="131"/>
      <c r="V240" s="237"/>
      <c r="W240" s="231"/>
      <c r="X240" s="131">
        <f t="shared" ref="X240" si="83">X309+X343+X274</f>
        <v>31634747</v>
      </c>
      <c r="Y240" s="53"/>
      <c r="Z240" s="110"/>
      <c r="AA240" s="110"/>
      <c r="AB240" s="110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U240" s="135"/>
    </row>
    <row r="241" spans="1:47" hidden="1">
      <c r="A241" s="169" t="s">
        <v>111</v>
      </c>
      <c r="B241" s="271"/>
      <c r="C241" s="253">
        <f>C275+C310+C344</f>
        <v>-1810988.0382363582</v>
      </c>
      <c r="D241" s="154"/>
      <c r="E241" s="154"/>
      <c r="F241" s="254">
        <f>I241</f>
        <v>-144541.39544477698</v>
      </c>
      <c r="G241" s="154"/>
      <c r="H241" s="154"/>
      <c r="I241" s="254">
        <f>I275+I310+I344</f>
        <v>-144541.39544477698</v>
      </c>
      <c r="J241" s="154"/>
      <c r="K241" s="154"/>
      <c r="L241" s="254">
        <f>I241</f>
        <v>-144541.39544477698</v>
      </c>
      <c r="M241" s="230"/>
      <c r="N241" s="154"/>
      <c r="O241" s="154"/>
      <c r="P241" s="254">
        <f>P204/L204*L241</f>
        <v>-28493.648025438924</v>
      </c>
      <c r="Q241" s="230"/>
      <c r="R241" s="154"/>
      <c r="S241" s="154"/>
      <c r="T241" s="254">
        <f>T204/L204*L241</f>
        <v>-22946.464711857163</v>
      </c>
      <c r="U241" s="230"/>
      <c r="V241" s="154"/>
      <c r="W241" s="154"/>
      <c r="X241" s="254">
        <f>X204/L204*L241</f>
        <v>-93101.282707480874</v>
      </c>
      <c r="Y241" s="185"/>
      <c r="Z241" s="183"/>
      <c r="AA241" s="110"/>
      <c r="AB241" s="110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U241" s="135"/>
    </row>
    <row r="242" spans="1:47" ht="16.5" hidden="1" thickBot="1">
      <c r="A242" s="169" t="s">
        <v>134</v>
      </c>
      <c r="B242" s="169"/>
      <c r="C242" s="214">
        <f>SUM(C240:C241)</f>
        <v>541434500.30749595</v>
      </c>
      <c r="D242" s="272"/>
      <c r="E242" s="256"/>
      <c r="F242" s="257">
        <f>F240+F241</f>
        <v>45606003.604555219</v>
      </c>
      <c r="G242" s="272"/>
      <c r="H242" s="258"/>
      <c r="I242" s="257">
        <f>I240+I241</f>
        <v>48180797.604555219</v>
      </c>
      <c r="J242" s="272"/>
      <c r="K242" s="258"/>
      <c r="L242" s="257">
        <f>L240+L241</f>
        <v>48892960.604555219</v>
      </c>
      <c r="M242" s="257"/>
      <c r="N242" s="272"/>
      <c r="O242" s="258"/>
      <c r="P242" s="257">
        <f>P240+P241</f>
        <v>9576465.3519745618</v>
      </c>
      <c r="Q242" s="257"/>
      <c r="R242" s="272"/>
      <c r="S242" s="258"/>
      <c r="T242" s="257">
        <f>T240+T241</f>
        <v>7782654.535288143</v>
      </c>
      <c r="U242" s="257"/>
      <c r="V242" s="272"/>
      <c r="W242" s="258"/>
      <c r="X242" s="257">
        <f>X240+X241</f>
        <v>31541645.717292517</v>
      </c>
      <c r="Y242" s="186"/>
      <c r="Z242" s="187"/>
      <c r="AA242" s="110"/>
      <c r="AB242" s="110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U242" s="135"/>
    </row>
    <row r="243" spans="1:47" hidden="1">
      <c r="A243" s="169"/>
      <c r="B243" s="169"/>
      <c r="C243" s="189"/>
      <c r="D243" s="250"/>
      <c r="E243" s="131"/>
      <c r="F243" s="131"/>
      <c r="G243" s="250"/>
      <c r="H243" s="169"/>
      <c r="I243" s="131"/>
      <c r="J243" s="250"/>
      <c r="K243" s="169"/>
      <c r="L243" s="131" t="s">
        <v>0</v>
      </c>
      <c r="M243" s="131"/>
      <c r="N243" s="250"/>
      <c r="O243" s="169"/>
      <c r="P243" s="131" t="s">
        <v>0</v>
      </c>
      <c r="Q243" s="131"/>
      <c r="R243" s="250"/>
      <c r="S243" s="169"/>
      <c r="T243" s="131" t="s">
        <v>0</v>
      </c>
      <c r="U243" s="131"/>
      <c r="V243" s="250"/>
      <c r="W243" s="169"/>
      <c r="X243" s="131" t="s">
        <v>0</v>
      </c>
      <c r="Y243" s="53"/>
      <c r="Z243" s="110"/>
      <c r="AA243" s="110"/>
      <c r="AB243" s="110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U243" s="135"/>
    </row>
    <row r="244" spans="1:47" hidden="1">
      <c r="A244" s="188" t="s">
        <v>140</v>
      </c>
      <c r="B244" s="169"/>
      <c r="C244" s="169"/>
      <c r="D244" s="131"/>
      <c r="E244" s="131"/>
      <c r="F244" s="169" t="s">
        <v>0</v>
      </c>
      <c r="G244" s="131"/>
      <c r="H244" s="169"/>
      <c r="I244" s="273" t="s">
        <v>0</v>
      </c>
      <c r="J244" s="131"/>
      <c r="K244" s="169"/>
      <c r="L244" s="169"/>
      <c r="M244" s="169"/>
      <c r="N244" s="131"/>
      <c r="O244" s="169"/>
      <c r="P244" s="169"/>
      <c r="Q244" s="169"/>
      <c r="R244" s="131"/>
      <c r="S244" s="169"/>
      <c r="T244" s="169"/>
      <c r="U244" s="169"/>
      <c r="V244" s="131"/>
      <c r="W244" s="169"/>
      <c r="X244" s="169"/>
      <c r="Y244" s="53"/>
      <c r="Z244" s="110"/>
      <c r="AA244" s="110"/>
      <c r="AB244" s="110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U244" s="135"/>
    </row>
    <row r="245" spans="1:47" hidden="1">
      <c r="A245" s="169" t="s">
        <v>167</v>
      </c>
      <c r="B245" s="169"/>
      <c r="C245" s="169"/>
      <c r="D245" s="131"/>
      <c r="E245" s="131"/>
      <c r="F245" s="169"/>
      <c r="G245" s="131"/>
      <c r="H245" s="169"/>
      <c r="I245" s="169"/>
      <c r="J245" s="131"/>
      <c r="K245" s="169"/>
      <c r="L245" s="169"/>
      <c r="M245" s="169"/>
      <c r="N245" s="131"/>
      <c r="O245" s="169"/>
      <c r="P245" s="169"/>
      <c r="Q245" s="169"/>
      <c r="R245" s="131"/>
      <c r="S245" s="169"/>
      <c r="T245" s="169"/>
      <c r="U245" s="169"/>
      <c r="V245" s="131"/>
      <c r="W245" s="169"/>
      <c r="X245" s="169"/>
      <c r="Y245" s="53"/>
      <c r="Z245" s="110"/>
      <c r="AA245" s="110"/>
      <c r="AB245" s="110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U245" s="135"/>
    </row>
    <row r="246" spans="1:47" hidden="1">
      <c r="A246" s="221" t="s">
        <v>0</v>
      </c>
      <c r="B246" s="169"/>
      <c r="C246" s="189"/>
      <c r="D246" s="131"/>
      <c r="E246" s="131"/>
      <c r="F246" s="169"/>
      <c r="G246" s="131"/>
      <c r="H246" s="169"/>
      <c r="I246" s="169"/>
      <c r="J246" s="131"/>
      <c r="K246" s="169"/>
      <c r="L246" s="169"/>
      <c r="M246" s="169"/>
      <c r="N246" s="131"/>
      <c r="O246" s="169"/>
      <c r="P246" s="169"/>
      <c r="Q246" s="169"/>
      <c r="R246" s="131"/>
      <c r="S246" s="169"/>
      <c r="T246" s="169"/>
      <c r="U246" s="169"/>
      <c r="V246" s="131"/>
      <c r="W246" s="169"/>
      <c r="X246" s="169"/>
      <c r="Y246" s="53"/>
      <c r="Z246" s="110"/>
      <c r="AA246" s="110"/>
      <c r="AB246" s="110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U246" s="135"/>
    </row>
    <row r="247" spans="1:47" hidden="1">
      <c r="A247" s="169" t="s">
        <v>146</v>
      </c>
      <c r="B247" s="169"/>
      <c r="C247" s="227"/>
      <c r="D247" s="131"/>
      <c r="E247" s="131"/>
      <c r="F247" s="169"/>
      <c r="G247" s="131"/>
      <c r="H247" s="169"/>
      <c r="I247" s="169"/>
      <c r="J247" s="131"/>
      <c r="K247" s="169"/>
      <c r="L247" s="169"/>
      <c r="M247" s="169"/>
      <c r="N247" s="131"/>
      <c r="O247" s="169"/>
      <c r="P247" s="169"/>
      <c r="Q247" s="169"/>
      <c r="R247" s="131"/>
      <c r="S247" s="169"/>
      <c r="T247" s="169"/>
      <c r="U247" s="169"/>
      <c r="V247" s="131"/>
      <c r="W247" s="169"/>
      <c r="X247" s="169"/>
      <c r="Y247" s="53"/>
      <c r="Z247" s="110"/>
      <c r="AA247" s="110"/>
      <c r="AB247" s="110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U247" s="135"/>
    </row>
    <row r="248" spans="1:47" hidden="1">
      <c r="A248" s="169" t="s">
        <v>143</v>
      </c>
      <c r="B248" s="169"/>
      <c r="C248" s="227">
        <v>16222.5</v>
      </c>
      <c r="D248" s="193">
        <v>8.7100000000000009</v>
      </c>
      <c r="E248" s="229"/>
      <c r="F248" s="131">
        <f>ROUND(D248*$C248,0)</f>
        <v>141298</v>
      </c>
      <c r="G248" s="193">
        <v>8.7100000000000009</v>
      </c>
      <c r="H248" s="231"/>
      <c r="I248" s="131">
        <f>ROUND(G248*$C248,0)</f>
        <v>141298</v>
      </c>
      <c r="J248" s="193">
        <f>$J$173</f>
        <v>9.6</v>
      </c>
      <c r="K248" s="231"/>
      <c r="L248" s="131">
        <f>ROUND(J248*$C248,0)</f>
        <v>155736</v>
      </c>
      <c r="M248" s="131"/>
      <c r="N248" s="193">
        <f>$N$173</f>
        <v>9.6</v>
      </c>
      <c r="O248" s="231"/>
      <c r="P248" s="131">
        <f>ROUND(N248*$C248,0)</f>
        <v>155736</v>
      </c>
      <c r="Q248" s="131"/>
      <c r="R248" s="193" t="str">
        <f>$R$173</f>
        <v xml:space="preserve"> </v>
      </c>
      <c r="S248" s="231"/>
      <c r="T248" s="131">
        <f>ROUND(R248*$C248,0)</f>
        <v>0</v>
      </c>
      <c r="U248" s="131"/>
      <c r="V248" s="193" t="str">
        <f>$V$173</f>
        <v xml:space="preserve"> </v>
      </c>
      <c r="W248" s="231"/>
      <c r="X248" s="131">
        <f>ROUND(V248*$C248,0)</f>
        <v>0</v>
      </c>
      <c r="Y248" s="53"/>
      <c r="Z248" s="110"/>
      <c r="AA248" s="110"/>
      <c r="AB248" s="110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U248" s="135"/>
    </row>
    <row r="249" spans="1:47" hidden="1">
      <c r="A249" s="169" t="s">
        <v>144</v>
      </c>
      <c r="B249" s="169"/>
      <c r="C249" s="227">
        <v>747.26666666666699</v>
      </c>
      <c r="D249" s="193">
        <v>12.98</v>
      </c>
      <c r="E249" s="232"/>
      <c r="F249" s="131">
        <f>ROUND(D249*$C249,0)</f>
        <v>9700</v>
      </c>
      <c r="G249" s="193">
        <v>12.98</v>
      </c>
      <c r="H249" s="233"/>
      <c r="I249" s="131">
        <f t="shared" ref="I249:I250" si="84">ROUND(G249*$C249,0)</f>
        <v>9700</v>
      </c>
      <c r="J249" s="193">
        <f>$J$174</f>
        <v>14.3</v>
      </c>
      <c r="K249" s="233"/>
      <c r="L249" s="131">
        <f>ROUND(J249*$C249,0)</f>
        <v>10686</v>
      </c>
      <c r="M249" s="131"/>
      <c r="N249" s="193">
        <f>$N$174</f>
        <v>14.3</v>
      </c>
      <c r="O249" s="233"/>
      <c r="P249" s="131">
        <f>ROUND(N249*$C249,0)</f>
        <v>10686</v>
      </c>
      <c r="Q249" s="131"/>
      <c r="R249" s="193" t="str">
        <f>$R$174</f>
        <v xml:space="preserve"> </v>
      </c>
      <c r="S249" s="233"/>
      <c r="T249" s="131">
        <f>ROUND(R249*$C249,0)</f>
        <v>0</v>
      </c>
      <c r="U249" s="131"/>
      <c r="V249" s="193" t="str">
        <f>$V$174</f>
        <v xml:space="preserve"> </v>
      </c>
      <c r="W249" s="233"/>
      <c r="X249" s="131">
        <f>ROUND(V249*$C249,0)</f>
        <v>0</v>
      </c>
      <c r="Y249" s="53"/>
      <c r="Z249" s="110"/>
      <c r="AA249" s="110"/>
      <c r="AB249" s="110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U249" s="135"/>
    </row>
    <row r="250" spans="1:47" hidden="1">
      <c r="A250" s="169" t="s">
        <v>145</v>
      </c>
      <c r="B250" s="169"/>
      <c r="C250" s="227">
        <v>4516</v>
      </c>
      <c r="D250" s="193">
        <v>0.92</v>
      </c>
      <c r="E250" s="232"/>
      <c r="F250" s="131">
        <f>ROUND(D250*$C250,0)</f>
        <v>4155</v>
      </c>
      <c r="G250" s="193">
        <v>0.92</v>
      </c>
      <c r="H250" s="233"/>
      <c r="I250" s="131">
        <f t="shared" si="84"/>
        <v>4155</v>
      </c>
      <c r="J250" s="193">
        <f>$J$175</f>
        <v>1</v>
      </c>
      <c r="K250" s="233"/>
      <c r="L250" s="131">
        <f>ROUND(J250*$C250,0)</f>
        <v>4516</v>
      </c>
      <c r="M250" s="131"/>
      <c r="N250" s="193">
        <f>$N$175</f>
        <v>1</v>
      </c>
      <c r="O250" s="233"/>
      <c r="P250" s="131">
        <f>ROUND(N250*$C250,0)</f>
        <v>4516</v>
      </c>
      <c r="Q250" s="131"/>
      <c r="R250" s="193" t="str">
        <f>$R$175</f>
        <v xml:space="preserve"> </v>
      </c>
      <c r="S250" s="233"/>
      <c r="T250" s="131">
        <f>ROUND(R250*$C250,0)</f>
        <v>0</v>
      </c>
      <c r="U250" s="131"/>
      <c r="V250" s="193" t="str">
        <f>$V$175</f>
        <v xml:space="preserve"> </v>
      </c>
      <c r="W250" s="233"/>
      <c r="X250" s="131">
        <f>ROUND(V250*$C250,0)</f>
        <v>0</v>
      </c>
      <c r="Y250" s="53"/>
      <c r="Z250" s="110"/>
      <c r="AA250" s="110"/>
      <c r="AB250" s="110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U250" s="135"/>
    </row>
    <row r="251" spans="1:47" hidden="1">
      <c r="A251" s="169" t="s">
        <v>147</v>
      </c>
      <c r="B251" s="169"/>
      <c r="C251" s="227">
        <f>SUM(C248:C249)</f>
        <v>16969.766666666666</v>
      </c>
      <c r="D251" s="193"/>
      <c r="E251" s="229"/>
      <c r="F251" s="131"/>
      <c r="G251" s="193"/>
      <c r="H251" s="231"/>
      <c r="I251" s="131"/>
      <c r="J251" s="193"/>
      <c r="K251" s="231"/>
      <c r="L251" s="131"/>
      <c r="M251" s="131"/>
      <c r="N251" s="193"/>
      <c r="O251" s="231"/>
      <c r="P251" s="131"/>
      <c r="Q251" s="131"/>
      <c r="R251" s="193"/>
      <c r="S251" s="231"/>
      <c r="T251" s="131"/>
      <c r="U251" s="131"/>
      <c r="V251" s="193"/>
      <c r="W251" s="231"/>
      <c r="X251" s="131"/>
      <c r="Y251" s="53"/>
      <c r="Z251" s="110"/>
      <c r="AA251" s="110"/>
      <c r="AB251" s="110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U251" s="135"/>
    </row>
    <row r="252" spans="1:47" hidden="1">
      <c r="A252" s="169" t="s">
        <v>148</v>
      </c>
      <c r="B252" s="169"/>
      <c r="C252" s="227">
        <v>3433</v>
      </c>
      <c r="D252" s="250">
        <v>3.4</v>
      </c>
      <c r="E252" s="231"/>
      <c r="F252" s="131">
        <f>ROUND(D252*$C252,0)</f>
        <v>11672</v>
      </c>
      <c r="G252" s="250">
        <v>3.61</v>
      </c>
      <c r="H252" s="231"/>
      <c r="I252" s="131">
        <f>ROUND(G252*C252,0)</f>
        <v>12393</v>
      </c>
      <c r="J252" s="250">
        <f>$J$178</f>
        <v>3.64</v>
      </c>
      <c r="K252" s="231"/>
      <c r="L252" s="131">
        <f>ROUND(J252*$C252,0)</f>
        <v>12496</v>
      </c>
      <c r="M252" s="131"/>
      <c r="N252" s="250">
        <f>$N$178</f>
        <v>0.48</v>
      </c>
      <c r="O252" s="231"/>
      <c r="P252" s="131">
        <f>ROUND(N252*$C252,0)</f>
        <v>1648</v>
      </c>
      <c r="Q252" s="131"/>
      <c r="R252" s="250">
        <f>$R$178</f>
        <v>0.63</v>
      </c>
      <c r="S252" s="231"/>
      <c r="T252" s="131">
        <f>ROUND(R252*$C252,0)</f>
        <v>2163</v>
      </c>
      <c r="U252" s="131"/>
      <c r="V252" s="250">
        <f>$V$178</f>
        <v>2.54</v>
      </c>
      <c r="W252" s="231"/>
      <c r="X252" s="131">
        <f>ROUND(V252*$C252,0)</f>
        <v>8720</v>
      </c>
      <c r="Y252" s="53"/>
      <c r="Z252" s="110"/>
      <c r="AA252" s="110"/>
      <c r="AB252" s="110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U252" s="135"/>
    </row>
    <row r="253" spans="1:47" hidden="1">
      <c r="A253" s="169" t="s">
        <v>149</v>
      </c>
      <c r="B253" s="227"/>
      <c r="C253" s="227">
        <v>4790266.1001077108</v>
      </c>
      <c r="D253" s="195">
        <v>9.766</v>
      </c>
      <c r="E253" s="231" t="s">
        <v>107</v>
      </c>
      <c r="F253" s="131">
        <f>ROUND(D253*$C253/100,0)</f>
        <v>467817</v>
      </c>
      <c r="G253" s="195">
        <v>10.359</v>
      </c>
      <c r="H253" s="231" t="s">
        <v>107</v>
      </c>
      <c r="I253" s="131">
        <f>ROUND(G253*C253/100,0)</f>
        <v>496224</v>
      </c>
      <c r="J253" s="195">
        <f>$J$179</f>
        <v>10.449</v>
      </c>
      <c r="K253" s="231" t="s">
        <v>107</v>
      </c>
      <c r="L253" s="131">
        <f>ROUND(J253*$C253/100,0)</f>
        <v>500535</v>
      </c>
      <c r="M253" s="131"/>
      <c r="N253" s="195">
        <f>$N$179</f>
        <v>1.3644187751662151</v>
      </c>
      <c r="O253" s="231" t="s">
        <v>107</v>
      </c>
      <c r="P253" s="131">
        <f>ROUND(N253*$C253/100,0)</f>
        <v>65359</v>
      </c>
      <c r="Q253" s="131"/>
      <c r="R253" s="195">
        <f>$R$179</f>
        <v>1.7973223544650079</v>
      </c>
      <c r="S253" s="231" t="s">
        <v>107</v>
      </c>
      <c r="T253" s="131">
        <f>ROUND(R253*$C253/100,0)</f>
        <v>86097</v>
      </c>
      <c r="U253" s="131"/>
      <c r="V253" s="195">
        <f>$V$179</f>
        <v>7.2874254450520697</v>
      </c>
      <c r="W253" s="231" t="s">
        <v>107</v>
      </c>
      <c r="X253" s="131">
        <f>ROUND(V253*$C253/100,0)</f>
        <v>349087</v>
      </c>
      <c r="Y253" s="274"/>
      <c r="Z253" s="110"/>
      <c r="AA253" s="110"/>
      <c r="AB253" s="110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U253" s="135"/>
    </row>
    <row r="254" spans="1:47" hidden="1">
      <c r="A254" s="169" t="s">
        <v>150</v>
      </c>
      <c r="B254" s="227"/>
      <c r="C254" s="227">
        <v>1927075.6940961913</v>
      </c>
      <c r="D254" s="195">
        <v>6.7460000000000004</v>
      </c>
      <c r="E254" s="231" t="s">
        <v>107</v>
      </c>
      <c r="F254" s="131">
        <f>ROUND(D254*$C254/100,0)</f>
        <v>130001</v>
      </c>
      <c r="G254" s="195">
        <v>7.1559999999999997</v>
      </c>
      <c r="H254" s="231" t="s">
        <v>107</v>
      </c>
      <c r="I254" s="131">
        <f t="shared" ref="I254:I256" si="85">ROUND(G254*C254/100,0)</f>
        <v>137902</v>
      </c>
      <c r="J254" s="195">
        <f>$J$180</f>
        <v>7.218</v>
      </c>
      <c r="K254" s="231" t="s">
        <v>107</v>
      </c>
      <c r="L254" s="131">
        <f>ROUND(J254*$C254/100,0)</f>
        <v>139096</v>
      </c>
      <c r="M254" s="131"/>
      <c r="N254" s="195">
        <f>$N$180</f>
        <v>0.94251839115112013</v>
      </c>
      <c r="O254" s="231" t="s">
        <v>107</v>
      </c>
      <c r="P254" s="131">
        <f>ROUND(N254*$C254/100,0)</f>
        <v>18163</v>
      </c>
      <c r="Q254" s="131"/>
      <c r="R254" s="195">
        <f>$R$180</f>
        <v>1.2418703884281421</v>
      </c>
      <c r="S254" s="231" t="s">
        <v>107</v>
      </c>
      <c r="T254" s="131">
        <f>ROUND(R254*$C254/100,0)</f>
        <v>23932</v>
      </c>
      <c r="U254" s="131"/>
      <c r="V254" s="195">
        <f>$V$180</f>
        <v>5.0333446832527242</v>
      </c>
      <c r="W254" s="231" t="s">
        <v>107</v>
      </c>
      <c r="X254" s="131">
        <f>ROUND(V254*$C254/100,0)</f>
        <v>96996</v>
      </c>
      <c r="Y254" s="274"/>
      <c r="Z254" s="110"/>
      <c r="AA254" s="110"/>
      <c r="AB254" s="110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U254" s="135"/>
    </row>
    <row r="255" spans="1:47" hidden="1">
      <c r="A255" s="169" t="s">
        <v>151</v>
      </c>
      <c r="B255" s="227"/>
      <c r="C255" s="227">
        <v>297732.95603028813</v>
      </c>
      <c r="D255" s="195">
        <v>5.8120000000000003</v>
      </c>
      <c r="E255" s="231" t="s">
        <v>107</v>
      </c>
      <c r="F255" s="131">
        <f>ROUND(D255*$C255/100,0)</f>
        <v>17304</v>
      </c>
      <c r="G255" s="195">
        <v>6.1660000000000004</v>
      </c>
      <c r="H255" s="231" t="s">
        <v>107</v>
      </c>
      <c r="I255" s="131">
        <f t="shared" si="85"/>
        <v>18358</v>
      </c>
      <c r="J255" s="195">
        <f>$J$181</f>
        <v>6.218</v>
      </c>
      <c r="K255" s="231" t="s">
        <v>107</v>
      </c>
      <c r="L255" s="131">
        <f>ROUND(J255*$C255/100,0)</f>
        <v>18513</v>
      </c>
      <c r="M255" s="131"/>
      <c r="N255" s="195">
        <f>$N$181</f>
        <v>0.81193939748297494</v>
      </c>
      <c r="O255" s="231" t="s">
        <v>107</v>
      </c>
      <c r="P255" s="131">
        <f>ROUND(N255*$C255/100,0)</f>
        <v>2417</v>
      </c>
      <c r="Q255" s="131"/>
      <c r="R255" s="195">
        <f>$R$181</f>
        <v>1.0689569190308457</v>
      </c>
      <c r="S255" s="231" t="s">
        <v>107</v>
      </c>
      <c r="T255" s="131">
        <f>ROUND(R255*$C255/100,0)</f>
        <v>3183</v>
      </c>
      <c r="U255" s="131"/>
      <c r="V255" s="195">
        <f>$V$181</f>
        <v>4.3370117827017491</v>
      </c>
      <c r="W255" s="231" t="s">
        <v>107</v>
      </c>
      <c r="X255" s="131">
        <f>ROUND(V255*$C255/100,0)</f>
        <v>12913</v>
      </c>
      <c r="Y255" s="274"/>
      <c r="Z255" s="110"/>
      <c r="AA255" s="110"/>
      <c r="AB255" s="110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U255" s="135"/>
    </row>
    <row r="256" spans="1:47" hidden="1">
      <c r="A256" s="169" t="s">
        <v>152</v>
      </c>
      <c r="B256" s="189"/>
      <c r="C256" s="227">
        <v>15</v>
      </c>
      <c r="D256" s="237">
        <v>56</v>
      </c>
      <c r="E256" s="229" t="s">
        <v>107</v>
      </c>
      <c r="F256" s="131">
        <f>ROUND(D256*$C256/100,0)</f>
        <v>8</v>
      </c>
      <c r="G256" s="237">
        <v>56</v>
      </c>
      <c r="H256" s="231" t="s">
        <v>107</v>
      </c>
      <c r="I256" s="131">
        <f t="shared" si="85"/>
        <v>8</v>
      </c>
      <c r="J256" s="237">
        <f>$J$182</f>
        <v>56</v>
      </c>
      <c r="K256" s="231" t="s">
        <v>107</v>
      </c>
      <c r="L256" s="131">
        <f>ROUND(J256*$C256/100,0)</f>
        <v>8</v>
      </c>
      <c r="M256" s="131"/>
      <c r="N256" s="237" t="str">
        <f>$N$182</f>
        <v xml:space="preserve"> </v>
      </c>
      <c r="O256" s="231" t="s">
        <v>107</v>
      </c>
      <c r="P256" s="131">
        <f>ROUND(N256*$C256/100,0)</f>
        <v>0</v>
      </c>
      <c r="Q256" s="131"/>
      <c r="R256" s="237">
        <f>$R$182</f>
        <v>11</v>
      </c>
      <c r="S256" s="231" t="s">
        <v>107</v>
      </c>
      <c r="T256" s="131">
        <f>ROUND(R256*$C256/100,0)</f>
        <v>2</v>
      </c>
      <c r="U256" s="131"/>
      <c r="V256" s="237">
        <f>$V$182</f>
        <v>45</v>
      </c>
      <c r="W256" s="231" t="s">
        <v>107</v>
      </c>
      <c r="X256" s="131">
        <f>ROUND(V256*$C256/100,0)</f>
        <v>7</v>
      </c>
      <c r="Y256" s="53"/>
      <c r="Z256" s="110"/>
      <c r="AA256" s="110"/>
      <c r="AB256" s="110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U256" s="135"/>
    </row>
    <row r="257" spans="1:47" s="141" customFormat="1" hidden="1">
      <c r="A257" s="140" t="s">
        <v>153</v>
      </c>
      <c r="C257" s="142">
        <f>C253</f>
        <v>4790266.1001077108</v>
      </c>
      <c r="D257" s="138"/>
      <c r="E257" s="143"/>
      <c r="F257" s="144"/>
      <c r="G257" s="138"/>
      <c r="H257" s="143"/>
      <c r="I257" s="144"/>
      <c r="J257" s="145">
        <f>J183</f>
        <v>0</v>
      </c>
      <c r="K257" s="240" t="s">
        <v>107</v>
      </c>
      <c r="L257" s="144">
        <f t="shared" ref="L257:L259" si="86">ROUND(J257*$C257/100,0)</f>
        <v>0</v>
      </c>
      <c r="M257" s="144"/>
      <c r="N257" s="145" t="str">
        <f>N183</f>
        <v xml:space="preserve"> </v>
      </c>
      <c r="O257" s="240" t="s">
        <v>107</v>
      </c>
      <c r="P257" s="144">
        <f t="shared" ref="P257:P259" si="87">ROUND(N257*$C257/100,0)</f>
        <v>0</v>
      </c>
      <c r="Q257" s="144"/>
      <c r="R257" s="145" t="str">
        <f>R183</f>
        <v xml:space="preserve"> </v>
      </c>
      <c r="S257" s="240" t="s">
        <v>107</v>
      </c>
      <c r="T257" s="144">
        <f t="shared" ref="T257:T259" si="88">ROUND(R257*$C257/100,0)</f>
        <v>0</v>
      </c>
      <c r="U257" s="144"/>
      <c r="V257" s="145">
        <f>V183</f>
        <v>0</v>
      </c>
      <c r="W257" s="240" t="s">
        <v>107</v>
      </c>
      <c r="X257" s="144">
        <f t="shared" ref="X257:X259" si="89">ROUND(V257*$C257/100,0)</f>
        <v>0</v>
      </c>
      <c r="Z257" s="132"/>
      <c r="AC257" s="148"/>
      <c r="AD257" s="148"/>
      <c r="AI257" s="143"/>
      <c r="AJ257" s="143"/>
      <c r="AK257" s="143"/>
      <c r="AL257" s="143"/>
      <c r="AM257" s="143"/>
      <c r="AN257" s="143"/>
      <c r="AO257" s="143"/>
      <c r="AP257" s="143"/>
      <c r="AQ257" s="143"/>
      <c r="AR257" s="143"/>
      <c r="AS257" s="143"/>
      <c r="AU257" s="147"/>
    </row>
    <row r="258" spans="1:47" s="141" customFormat="1" hidden="1">
      <c r="A258" s="140" t="s">
        <v>154</v>
      </c>
      <c r="C258" s="142">
        <f>C254</f>
        <v>1927075.6940961913</v>
      </c>
      <c r="D258" s="138"/>
      <c r="E258" s="143"/>
      <c r="F258" s="144"/>
      <c r="G258" s="138"/>
      <c r="H258" s="143"/>
      <c r="I258" s="144"/>
      <c r="J258" s="145">
        <f>J184</f>
        <v>0</v>
      </c>
      <c r="K258" s="240" t="s">
        <v>107</v>
      </c>
      <c r="L258" s="144">
        <f t="shared" si="86"/>
        <v>0</v>
      </c>
      <c r="M258" s="144"/>
      <c r="N258" s="145" t="str">
        <f>N184</f>
        <v xml:space="preserve"> </v>
      </c>
      <c r="O258" s="240" t="s">
        <v>107</v>
      </c>
      <c r="P258" s="144">
        <f t="shared" si="87"/>
        <v>0</v>
      </c>
      <c r="Q258" s="144"/>
      <c r="R258" s="145" t="str">
        <f>R184</f>
        <v xml:space="preserve"> </v>
      </c>
      <c r="S258" s="240" t="s">
        <v>107</v>
      </c>
      <c r="T258" s="144">
        <f t="shared" si="88"/>
        <v>0</v>
      </c>
      <c r="U258" s="144"/>
      <c r="V258" s="145">
        <f>V184</f>
        <v>0</v>
      </c>
      <c r="W258" s="240" t="s">
        <v>107</v>
      </c>
      <c r="X258" s="144">
        <f t="shared" si="89"/>
        <v>0</v>
      </c>
      <c r="Z258" s="132"/>
      <c r="AC258" s="148"/>
      <c r="AD258" s="148"/>
      <c r="AI258" s="143"/>
      <c r="AJ258" s="143"/>
      <c r="AK258" s="143"/>
      <c r="AL258" s="143"/>
      <c r="AM258" s="143"/>
      <c r="AN258" s="143"/>
      <c r="AO258" s="143"/>
      <c r="AP258" s="143"/>
      <c r="AQ258" s="143"/>
      <c r="AR258" s="143"/>
      <c r="AS258" s="143"/>
      <c r="AU258" s="147"/>
    </row>
    <row r="259" spans="1:47" s="141" customFormat="1" hidden="1">
      <c r="A259" s="140" t="s">
        <v>155</v>
      </c>
      <c r="C259" s="142">
        <f>C255</f>
        <v>297732.95603028813</v>
      </c>
      <c r="D259" s="138"/>
      <c r="E259" s="143"/>
      <c r="F259" s="144"/>
      <c r="G259" s="138"/>
      <c r="H259" s="143"/>
      <c r="I259" s="144"/>
      <c r="J259" s="145">
        <f>J185</f>
        <v>0</v>
      </c>
      <c r="K259" s="240" t="s">
        <v>107</v>
      </c>
      <c r="L259" s="144">
        <f t="shared" si="86"/>
        <v>0</v>
      </c>
      <c r="M259" s="144"/>
      <c r="N259" s="145" t="str">
        <f>N185</f>
        <v xml:space="preserve"> </v>
      </c>
      <c r="O259" s="240" t="s">
        <v>107</v>
      </c>
      <c r="P259" s="144">
        <f t="shared" si="87"/>
        <v>0</v>
      </c>
      <c r="Q259" s="144"/>
      <c r="R259" s="145" t="str">
        <f>R185</f>
        <v xml:space="preserve"> </v>
      </c>
      <c r="S259" s="240" t="s">
        <v>107</v>
      </c>
      <c r="T259" s="144">
        <f t="shared" si="88"/>
        <v>0</v>
      </c>
      <c r="U259" s="144"/>
      <c r="V259" s="145">
        <f>V185</f>
        <v>0</v>
      </c>
      <c r="W259" s="240" t="s">
        <v>107</v>
      </c>
      <c r="X259" s="144">
        <f t="shared" si="89"/>
        <v>0</v>
      </c>
      <c r="Z259" s="132"/>
      <c r="AC259" s="148"/>
      <c r="AD259" s="148"/>
      <c r="AI259" s="143"/>
      <c r="AJ259" s="143"/>
      <c r="AK259" s="143"/>
      <c r="AL259" s="143"/>
      <c r="AM259" s="143"/>
      <c r="AN259" s="143"/>
      <c r="AO259" s="143"/>
      <c r="AP259" s="143"/>
      <c r="AQ259" s="143"/>
      <c r="AR259" s="143"/>
      <c r="AS259" s="143"/>
      <c r="AU259" s="147"/>
    </row>
    <row r="260" spans="1:47" hidden="1">
      <c r="A260" s="244" t="s">
        <v>159</v>
      </c>
      <c r="B260" s="189"/>
      <c r="C260" s="227"/>
      <c r="D260" s="245">
        <v>-0.01</v>
      </c>
      <c r="E260" s="229"/>
      <c r="F260" s="131"/>
      <c r="G260" s="245">
        <v>-0.01</v>
      </c>
      <c r="H260" s="231"/>
      <c r="I260" s="131"/>
      <c r="J260" s="245">
        <v>-0.01</v>
      </c>
      <c r="K260" s="231"/>
      <c r="L260" s="131"/>
      <c r="M260" s="131"/>
      <c r="N260" s="245">
        <v>-0.01</v>
      </c>
      <c r="O260" s="231"/>
      <c r="P260" s="131"/>
      <c r="Q260" s="131"/>
      <c r="R260" s="245">
        <v>-0.01</v>
      </c>
      <c r="S260" s="231"/>
      <c r="T260" s="131"/>
      <c r="U260" s="131"/>
      <c r="V260" s="245">
        <v>-0.01</v>
      </c>
      <c r="W260" s="231"/>
      <c r="X260" s="131"/>
      <c r="Y260" s="53"/>
      <c r="Z260" s="110"/>
      <c r="AA260" s="110"/>
      <c r="AB260" s="110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U260" s="135"/>
    </row>
    <row r="261" spans="1:47" hidden="1">
      <c r="A261" s="169" t="s">
        <v>143</v>
      </c>
      <c r="B261" s="169"/>
      <c r="C261" s="227">
        <v>0</v>
      </c>
      <c r="D261" s="247">
        <v>8.7100000000000009</v>
      </c>
      <c r="E261" s="229"/>
      <c r="F261" s="131">
        <f>-ROUND(D261*$C261/100,0)</f>
        <v>0</v>
      </c>
      <c r="G261" s="247">
        <v>8.7100000000000009</v>
      </c>
      <c r="H261" s="229"/>
      <c r="I261" s="131">
        <f>-ROUND(G261*$C261/100,0)</f>
        <v>0</v>
      </c>
      <c r="J261" s="247">
        <f>J248</f>
        <v>9.6</v>
      </c>
      <c r="K261" s="229"/>
      <c r="L261" s="131">
        <f>-ROUND(J261*$C261/100,0)</f>
        <v>0</v>
      </c>
      <c r="M261" s="131"/>
      <c r="N261" s="247">
        <f>N248</f>
        <v>9.6</v>
      </c>
      <c r="O261" s="229"/>
      <c r="P261" s="131">
        <f>-ROUND(N261*$C261/100,0)</f>
        <v>0</v>
      </c>
      <c r="Q261" s="131"/>
      <c r="R261" s="247" t="str">
        <f>R248</f>
        <v xml:space="preserve"> </v>
      </c>
      <c r="S261" s="229"/>
      <c r="T261" s="131">
        <f>-ROUND(R261*$C261/100,0)</f>
        <v>0</v>
      </c>
      <c r="U261" s="131"/>
      <c r="V261" s="247" t="str">
        <f>V248</f>
        <v xml:space="preserve"> </v>
      </c>
      <c r="W261" s="229"/>
      <c r="X261" s="131">
        <f>-ROUND(V261*$C261/100,0)</f>
        <v>0</v>
      </c>
      <c r="Y261" s="53"/>
      <c r="Z261" s="110"/>
      <c r="AA261" s="110"/>
      <c r="AB261" s="110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U261" s="135"/>
    </row>
    <row r="262" spans="1:47" hidden="1">
      <c r="A262" s="169" t="s">
        <v>144</v>
      </c>
      <c r="B262" s="169"/>
      <c r="C262" s="227">
        <v>9</v>
      </c>
      <c r="D262" s="247">
        <v>12.98</v>
      </c>
      <c r="E262" s="229"/>
      <c r="F262" s="131">
        <f>-ROUND(D262*$C262/100,0)</f>
        <v>-1</v>
      </c>
      <c r="G262" s="247">
        <v>12.98</v>
      </c>
      <c r="H262" s="229"/>
      <c r="I262" s="131">
        <f t="shared" ref="I262:I264" si="90">-ROUND(G262*$C262/100,0)</f>
        <v>-1</v>
      </c>
      <c r="J262" s="247">
        <f>J249</f>
        <v>14.3</v>
      </c>
      <c r="K262" s="229"/>
      <c r="L262" s="131">
        <f>-ROUND(J262*$C262/100,0)</f>
        <v>-1</v>
      </c>
      <c r="M262" s="131"/>
      <c r="N262" s="247">
        <f>N249</f>
        <v>14.3</v>
      </c>
      <c r="O262" s="229"/>
      <c r="P262" s="131">
        <f>-ROUND(N262*$C262/100,0)</f>
        <v>-1</v>
      </c>
      <c r="Q262" s="131"/>
      <c r="R262" s="247" t="str">
        <f>R249</f>
        <v xml:space="preserve"> </v>
      </c>
      <c r="S262" s="229"/>
      <c r="T262" s="131">
        <f>-ROUND(R262*$C262/100,0)</f>
        <v>0</v>
      </c>
      <c r="U262" s="131"/>
      <c r="V262" s="247" t="str">
        <f>V249</f>
        <v xml:space="preserve"> </v>
      </c>
      <c r="W262" s="229"/>
      <c r="X262" s="131">
        <f>-ROUND(V262*$C262/100,0)</f>
        <v>0</v>
      </c>
      <c r="Y262" s="53"/>
      <c r="Z262" s="110"/>
      <c r="AA262" s="110"/>
      <c r="AB262" s="110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U262" s="135"/>
    </row>
    <row r="263" spans="1:47" hidden="1">
      <c r="A263" s="169" t="s">
        <v>160</v>
      </c>
      <c r="B263" s="169"/>
      <c r="C263" s="227">
        <v>0</v>
      </c>
      <c r="D263" s="247">
        <v>0.92</v>
      </c>
      <c r="E263" s="229"/>
      <c r="F263" s="131">
        <f>-ROUND(D263*$C263/100,0)</f>
        <v>0</v>
      </c>
      <c r="G263" s="247">
        <v>0.92</v>
      </c>
      <c r="H263" s="229"/>
      <c r="I263" s="131">
        <f t="shared" si="90"/>
        <v>0</v>
      </c>
      <c r="J263" s="247">
        <f>J250</f>
        <v>1</v>
      </c>
      <c r="K263" s="229"/>
      <c r="L263" s="131">
        <f>-ROUND(J263*$C263/100,0)</f>
        <v>0</v>
      </c>
      <c r="M263" s="131"/>
      <c r="N263" s="247">
        <f>N250</f>
        <v>1</v>
      </c>
      <c r="O263" s="229"/>
      <c r="P263" s="131">
        <f>-ROUND(N263*$C263/100,0)</f>
        <v>0</v>
      </c>
      <c r="Q263" s="131"/>
      <c r="R263" s="247" t="str">
        <f>R250</f>
        <v xml:space="preserve"> </v>
      </c>
      <c r="S263" s="229"/>
      <c r="T263" s="131">
        <f>-ROUND(R263*$C263/100,0)</f>
        <v>0</v>
      </c>
      <c r="U263" s="131"/>
      <c r="V263" s="247" t="str">
        <f>V250</f>
        <v xml:space="preserve"> </v>
      </c>
      <c r="W263" s="229"/>
      <c r="X263" s="131">
        <f>-ROUND(V263*$C263/100,0)</f>
        <v>0</v>
      </c>
      <c r="Y263" s="53"/>
      <c r="Z263" s="110"/>
      <c r="AA263" s="110"/>
      <c r="AB263" s="110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U263" s="135"/>
    </row>
    <row r="264" spans="1:47" hidden="1">
      <c r="A264" s="169" t="s">
        <v>168</v>
      </c>
      <c r="B264" s="169"/>
      <c r="C264" s="227">
        <f>0</f>
        <v>0</v>
      </c>
      <c r="D264" s="247">
        <v>3.4</v>
      </c>
      <c r="E264" s="231"/>
      <c r="F264" s="131">
        <f>-ROUND(D264*$C264/100,0)</f>
        <v>0</v>
      </c>
      <c r="G264" s="247">
        <v>3.61</v>
      </c>
      <c r="H264" s="231"/>
      <c r="I264" s="131">
        <f t="shared" si="90"/>
        <v>0</v>
      </c>
      <c r="J264" s="247">
        <f>J252</f>
        <v>3.64</v>
      </c>
      <c r="K264" s="231"/>
      <c r="L264" s="131">
        <f>-ROUND(J264*$C264/100,0)</f>
        <v>0</v>
      </c>
      <c r="M264" s="131"/>
      <c r="N264" s="247">
        <f>N252</f>
        <v>0.48</v>
      </c>
      <c r="O264" s="231"/>
      <c r="P264" s="131">
        <f>-ROUND(N264*$C264/100,0)</f>
        <v>0</v>
      </c>
      <c r="Q264" s="131"/>
      <c r="R264" s="247">
        <f>R252</f>
        <v>0.63</v>
      </c>
      <c r="S264" s="231"/>
      <c r="T264" s="131">
        <f>-ROUND(R264*$C264/100,0)</f>
        <v>0</v>
      </c>
      <c r="U264" s="131"/>
      <c r="V264" s="247">
        <f>V252</f>
        <v>2.54</v>
      </c>
      <c r="W264" s="231"/>
      <c r="X264" s="131">
        <f>-ROUND(V264*$C264/100,0)</f>
        <v>0</v>
      </c>
      <c r="Y264" s="53"/>
      <c r="Z264" s="110"/>
      <c r="AA264" s="110"/>
      <c r="AB264" s="110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U264" s="135"/>
    </row>
    <row r="265" spans="1:47" hidden="1">
      <c r="A265" s="169" t="s">
        <v>162</v>
      </c>
      <c r="B265" s="169"/>
      <c r="C265" s="227">
        <v>0</v>
      </c>
      <c r="D265" s="248">
        <v>9.766</v>
      </c>
      <c r="E265" s="231" t="s">
        <v>107</v>
      </c>
      <c r="F265" s="131">
        <f>ROUND(D265*$C265/100*D260,0)</f>
        <v>0</v>
      </c>
      <c r="G265" s="248">
        <v>10.359</v>
      </c>
      <c r="H265" s="231" t="s">
        <v>107</v>
      </c>
      <c r="I265" s="131">
        <f>ROUND(G265*$C265/100*G260,0)</f>
        <v>0</v>
      </c>
      <c r="J265" s="248">
        <f>J253</f>
        <v>10.449</v>
      </c>
      <c r="K265" s="231" t="s">
        <v>107</v>
      </c>
      <c r="L265" s="131">
        <f>ROUND(J265*$C265/100*J260,0)</f>
        <v>0</v>
      </c>
      <c r="M265" s="131"/>
      <c r="N265" s="248">
        <f>N253</f>
        <v>1.3644187751662151</v>
      </c>
      <c r="O265" s="231" t="s">
        <v>107</v>
      </c>
      <c r="P265" s="131">
        <f>ROUND(N265*$C265/100*N260,0)</f>
        <v>0</v>
      </c>
      <c r="Q265" s="131"/>
      <c r="R265" s="248">
        <f>R253</f>
        <v>1.7973223544650079</v>
      </c>
      <c r="S265" s="231" t="s">
        <v>107</v>
      </c>
      <c r="T265" s="131">
        <f>ROUND(R265*$C265/100*R260,0)</f>
        <v>0</v>
      </c>
      <c r="U265" s="131"/>
      <c r="V265" s="248">
        <f>V253</f>
        <v>7.2874254450520697</v>
      </c>
      <c r="W265" s="231" t="s">
        <v>107</v>
      </c>
      <c r="X265" s="131">
        <f>ROUND(V265*$C265/100*V260,0)</f>
        <v>0</v>
      </c>
      <c r="Y265" s="53"/>
      <c r="Z265" s="110"/>
      <c r="AA265" s="110"/>
      <c r="AB265" s="110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U265" s="135"/>
    </row>
    <row r="266" spans="1:47" hidden="1">
      <c r="A266" s="169" t="s">
        <v>150</v>
      </c>
      <c r="B266" s="169"/>
      <c r="C266" s="227">
        <v>0</v>
      </c>
      <c r="D266" s="248">
        <v>6.7460000000000004</v>
      </c>
      <c r="E266" s="231" t="s">
        <v>107</v>
      </c>
      <c r="F266" s="131">
        <f>ROUND(D266*$C266/100*D260,0)</f>
        <v>0</v>
      </c>
      <c r="G266" s="248">
        <v>7.1559999999999997</v>
      </c>
      <c r="H266" s="231" t="s">
        <v>107</v>
      </c>
      <c r="I266" s="131">
        <f>ROUND(G266*$C266/100*G260,0)</f>
        <v>0</v>
      </c>
      <c r="J266" s="248">
        <f>J254</f>
        <v>7.218</v>
      </c>
      <c r="K266" s="231" t="s">
        <v>107</v>
      </c>
      <c r="L266" s="131">
        <f>ROUND(J266*$C266/100*J260,0)</f>
        <v>0</v>
      </c>
      <c r="M266" s="131"/>
      <c r="N266" s="248">
        <f>N254</f>
        <v>0.94251839115112013</v>
      </c>
      <c r="O266" s="231" t="s">
        <v>107</v>
      </c>
      <c r="P266" s="131">
        <f>ROUND(N266*$C266/100*N260,0)</f>
        <v>0</v>
      </c>
      <c r="Q266" s="131"/>
      <c r="R266" s="248">
        <f>R254</f>
        <v>1.2418703884281421</v>
      </c>
      <c r="S266" s="231" t="s">
        <v>107</v>
      </c>
      <c r="T266" s="131">
        <f>ROUND(R266*$C266/100*R260,0)</f>
        <v>0</v>
      </c>
      <c r="U266" s="131"/>
      <c r="V266" s="248">
        <f>V254</f>
        <v>5.0333446832527242</v>
      </c>
      <c r="W266" s="231" t="s">
        <v>107</v>
      </c>
      <c r="X266" s="131">
        <f>ROUND(V266*$C266/100*V260,0)</f>
        <v>0</v>
      </c>
      <c r="Y266" s="53"/>
      <c r="Z266" s="110"/>
      <c r="AA266" s="110"/>
      <c r="AB266" s="110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U266" s="135"/>
    </row>
    <row r="267" spans="1:47" hidden="1">
      <c r="A267" s="169" t="s">
        <v>151</v>
      </c>
      <c r="B267" s="169"/>
      <c r="C267" s="227">
        <v>0</v>
      </c>
      <c r="D267" s="248">
        <v>5.8120000000000003</v>
      </c>
      <c r="E267" s="231" t="s">
        <v>107</v>
      </c>
      <c r="F267" s="131">
        <f>ROUND(D267*$C267/100*D260,0)</f>
        <v>0</v>
      </c>
      <c r="G267" s="248">
        <v>6.1660000000000004</v>
      </c>
      <c r="H267" s="231" t="s">
        <v>107</v>
      </c>
      <c r="I267" s="131">
        <f>ROUND(G267*$C267/100*G260,0)</f>
        <v>0</v>
      </c>
      <c r="J267" s="248">
        <f>J255</f>
        <v>6.218</v>
      </c>
      <c r="K267" s="231" t="s">
        <v>107</v>
      </c>
      <c r="L267" s="131">
        <f>ROUND(J267*$C267/100*J260,0)</f>
        <v>0</v>
      </c>
      <c r="M267" s="131"/>
      <c r="N267" s="248">
        <f>N255</f>
        <v>0.81193939748297494</v>
      </c>
      <c r="O267" s="231" t="s">
        <v>107</v>
      </c>
      <c r="P267" s="131">
        <f>ROUND(N267*$C267/100*N260,0)</f>
        <v>0</v>
      </c>
      <c r="Q267" s="131"/>
      <c r="R267" s="248">
        <f>R255</f>
        <v>1.0689569190308457</v>
      </c>
      <c r="S267" s="231" t="s">
        <v>107</v>
      </c>
      <c r="T267" s="131">
        <f>ROUND(R267*$C267/100*R260,0)</f>
        <v>0</v>
      </c>
      <c r="U267" s="131"/>
      <c r="V267" s="248">
        <f>V255</f>
        <v>4.3370117827017491</v>
      </c>
      <c r="W267" s="231" t="s">
        <v>107</v>
      </c>
      <c r="X267" s="131">
        <f>ROUND(V267*$C267/100*V260,0)</f>
        <v>0</v>
      </c>
      <c r="Y267" s="53"/>
      <c r="Z267" s="110"/>
      <c r="AA267" s="110"/>
      <c r="AB267" s="110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U267" s="135"/>
    </row>
    <row r="268" spans="1:47" hidden="1">
      <c r="A268" s="169" t="s">
        <v>152</v>
      </c>
      <c r="B268" s="169"/>
      <c r="C268" s="227">
        <v>0</v>
      </c>
      <c r="D268" s="249">
        <v>56</v>
      </c>
      <c r="E268" s="231" t="s">
        <v>107</v>
      </c>
      <c r="F268" s="131">
        <f>ROUND(D268*$C268/100*D260,0)</f>
        <v>0</v>
      </c>
      <c r="G268" s="249">
        <v>56</v>
      </c>
      <c r="H268" s="231" t="s">
        <v>107</v>
      </c>
      <c r="I268" s="131">
        <f>ROUND(G268*$C268/100*G260,0)</f>
        <v>0</v>
      </c>
      <c r="J268" s="249">
        <f>J256</f>
        <v>56</v>
      </c>
      <c r="K268" s="231" t="s">
        <v>107</v>
      </c>
      <c r="L268" s="131">
        <f>ROUND(J268*$C268/100*J260,0)</f>
        <v>0</v>
      </c>
      <c r="M268" s="131"/>
      <c r="N268" s="249" t="str">
        <f>N256</f>
        <v xml:space="preserve"> </v>
      </c>
      <c r="O268" s="231" t="s">
        <v>107</v>
      </c>
      <c r="P268" s="131">
        <f>ROUND(N268*$C268/100*N260,0)</f>
        <v>0</v>
      </c>
      <c r="Q268" s="131"/>
      <c r="R268" s="249">
        <f>R256</f>
        <v>11</v>
      </c>
      <c r="S268" s="231" t="s">
        <v>107</v>
      </c>
      <c r="T268" s="131">
        <f>ROUND(R268*$C268/100*R260,0)</f>
        <v>0</v>
      </c>
      <c r="U268" s="131"/>
      <c r="V268" s="249">
        <f>V256</f>
        <v>45</v>
      </c>
      <c r="W268" s="231" t="s">
        <v>107</v>
      </c>
      <c r="X268" s="131">
        <f>ROUND(V268*$C268/100*V260,0)</f>
        <v>0</v>
      </c>
      <c r="Y268" s="53"/>
      <c r="Z268" s="110"/>
      <c r="AA268" s="110"/>
      <c r="AB268" s="110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U268" s="135"/>
    </row>
    <row r="269" spans="1:47" hidden="1">
      <c r="A269" s="169" t="s">
        <v>163</v>
      </c>
      <c r="B269" s="169"/>
      <c r="C269" s="227">
        <v>0</v>
      </c>
      <c r="D269" s="250">
        <v>60</v>
      </c>
      <c r="E269" s="229"/>
      <c r="F269" s="131">
        <f>ROUND(D269*$C269,0)</f>
        <v>0</v>
      </c>
      <c r="G269" s="250">
        <v>60</v>
      </c>
      <c r="H269" s="231"/>
      <c r="I269" s="131">
        <f>ROUND(G269*C269,0)</f>
        <v>0</v>
      </c>
      <c r="J269" s="250">
        <f>$J$198</f>
        <v>60</v>
      </c>
      <c r="K269" s="231"/>
      <c r="L269" s="131">
        <f>ROUND(J269*$C269,0)</f>
        <v>0</v>
      </c>
      <c r="M269" s="131"/>
      <c r="N269" s="250" t="str">
        <f>$N$198</f>
        <v xml:space="preserve"> </v>
      </c>
      <c r="O269" s="231"/>
      <c r="P269" s="131">
        <f>ROUND(N269*$C269,0)</f>
        <v>0</v>
      </c>
      <c r="Q269" s="131"/>
      <c r="R269" s="250">
        <f>$R$198</f>
        <v>11.86</v>
      </c>
      <c r="S269" s="231"/>
      <c r="T269" s="131">
        <f>ROUND(R269*$C269,0)</f>
        <v>0</v>
      </c>
      <c r="U269" s="131"/>
      <c r="V269" s="250">
        <f>$V$198</f>
        <v>48.14</v>
      </c>
      <c r="W269" s="231"/>
      <c r="X269" s="131">
        <f>ROUND(V269*$C269,0)</f>
        <v>0</v>
      </c>
      <c r="Y269" s="53"/>
      <c r="Z269" s="110"/>
      <c r="AA269" s="110"/>
      <c r="AB269" s="110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U269" s="135"/>
    </row>
    <row r="270" spans="1:47" hidden="1">
      <c r="A270" s="169" t="s">
        <v>164</v>
      </c>
      <c r="B270" s="169"/>
      <c r="C270" s="227">
        <v>0</v>
      </c>
      <c r="D270" s="251">
        <v>-30</v>
      </c>
      <c r="E270" s="229" t="s">
        <v>107</v>
      </c>
      <c r="F270" s="131">
        <f>ROUND(D270*$C270/100,0)</f>
        <v>0</v>
      </c>
      <c r="G270" s="251">
        <v>-30</v>
      </c>
      <c r="H270" s="231" t="s">
        <v>107</v>
      </c>
      <c r="I270" s="131">
        <f>ROUND(G270*C270/100,0)</f>
        <v>0</v>
      </c>
      <c r="J270" s="251">
        <f>$J$199</f>
        <v>-30</v>
      </c>
      <c r="K270" s="231" t="s">
        <v>107</v>
      </c>
      <c r="L270" s="131">
        <f>ROUND(J270*$C270/100,0)</f>
        <v>0</v>
      </c>
      <c r="M270" s="131"/>
      <c r="N270" s="251">
        <f>$N$199</f>
        <v>-30</v>
      </c>
      <c r="O270" s="231" t="s">
        <v>107</v>
      </c>
      <c r="P270" s="131">
        <f>ROUND(N270*$C270/100,0)</f>
        <v>0</v>
      </c>
      <c r="Q270" s="131"/>
      <c r="R270" s="251" t="str">
        <f>$R$199</f>
        <v xml:space="preserve"> </v>
      </c>
      <c r="S270" s="231" t="s">
        <v>107</v>
      </c>
      <c r="T270" s="131">
        <f>ROUND(R270*$C270/100,0)</f>
        <v>0</v>
      </c>
      <c r="U270" s="131"/>
      <c r="V270" s="251" t="str">
        <f>$V$199</f>
        <v xml:space="preserve"> </v>
      </c>
      <c r="W270" s="231" t="s">
        <v>107</v>
      </c>
      <c r="X270" s="131">
        <f>ROUND(V270*$C270/100,0)</f>
        <v>0</v>
      </c>
      <c r="Y270" s="53"/>
      <c r="Z270" s="110"/>
      <c r="AA270" s="110"/>
      <c r="AB270" s="110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U270" s="135"/>
    </row>
    <row r="271" spans="1:47" s="141" customFormat="1" hidden="1">
      <c r="A271" s="140" t="s">
        <v>153</v>
      </c>
      <c r="C271" s="142">
        <f>C253</f>
        <v>4790266.1001077108</v>
      </c>
      <c r="D271" s="138"/>
      <c r="E271" s="143"/>
      <c r="F271" s="144"/>
      <c r="G271" s="138"/>
      <c r="H271" s="143"/>
      <c r="I271" s="144"/>
      <c r="J271" s="145">
        <f>J183</f>
        <v>0</v>
      </c>
      <c r="K271" s="240" t="s">
        <v>107</v>
      </c>
      <c r="L271" s="144">
        <f>ROUND(J271*$C271/100*J260,0)</f>
        <v>0</v>
      </c>
      <c r="M271" s="144"/>
      <c r="N271" s="145" t="str">
        <f>N183</f>
        <v xml:space="preserve"> </v>
      </c>
      <c r="O271" s="240" t="s">
        <v>107</v>
      </c>
      <c r="P271" s="144">
        <f>ROUND(N271*$C271/100*N260,0)</f>
        <v>0</v>
      </c>
      <c r="Q271" s="144"/>
      <c r="R271" s="145" t="str">
        <f>R183</f>
        <v xml:space="preserve"> </v>
      </c>
      <c r="S271" s="240" t="s">
        <v>107</v>
      </c>
      <c r="T271" s="144">
        <f>ROUND(R271*$C271/100*R260,0)</f>
        <v>0</v>
      </c>
      <c r="U271" s="144"/>
      <c r="V271" s="145">
        <f>V183</f>
        <v>0</v>
      </c>
      <c r="W271" s="240" t="s">
        <v>107</v>
      </c>
      <c r="X271" s="144">
        <f>ROUND(V271*$C271/100*V260,0)</f>
        <v>0</v>
      </c>
      <c r="Z271" s="132"/>
      <c r="AC271" s="148"/>
      <c r="AD271" s="148"/>
      <c r="AI271" s="143"/>
      <c r="AJ271" s="143"/>
      <c r="AK271" s="143"/>
      <c r="AL271" s="143"/>
      <c r="AM271" s="143"/>
      <c r="AN271" s="143"/>
      <c r="AO271" s="143"/>
      <c r="AP271" s="143"/>
      <c r="AQ271" s="143"/>
      <c r="AR271" s="143"/>
      <c r="AS271" s="143"/>
      <c r="AU271" s="147"/>
    </row>
    <row r="272" spans="1:47" s="141" customFormat="1" hidden="1">
      <c r="A272" s="140" t="s">
        <v>154</v>
      </c>
      <c r="C272" s="142">
        <f>C254</f>
        <v>1927075.6940961913</v>
      </c>
      <c r="D272" s="138"/>
      <c r="E272" s="143"/>
      <c r="F272" s="144"/>
      <c r="G272" s="138"/>
      <c r="H272" s="143"/>
      <c r="I272" s="144"/>
      <c r="J272" s="145">
        <f>J184</f>
        <v>0</v>
      </c>
      <c r="K272" s="240" t="s">
        <v>107</v>
      </c>
      <c r="L272" s="144">
        <f>ROUND(J272*$C272/100*J260,0)</f>
        <v>0</v>
      </c>
      <c r="M272" s="144"/>
      <c r="N272" s="145" t="str">
        <f>N184</f>
        <v xml:space="preserve"> </v>
      </c>
      <c r="O272" s="240" t="s">
        <v>107</v>
      </c>
      <c r="P272" s="144">
        <f>ROUND(N272*$C272/100*N260,0)</f>
        <v>0</v>
      </c>
      <c r="Q272" s="144"/>
      <c r="R272" s="145" t="str">
        <f>R184</f>
        <v xml:space="preserve"> </v>
      </c>
      <c r="S272" s="240" t="s">
        <v>107</v>
      </c>
      <c r="T272" s="144">
        <f>ROUND(R272*$C272/100*R260,0)</f>
        <v>0</v>
      </c>
      <c r="U272" s="144"/>
      <c r="V272" s="145">
        <f>V184</f>
        <v>0</v>
      </c>
      <c r="W272" s="240" t="s">
        <v>107</v>
      </c>
      <c r="X272" s="144">
        <f>ROUND(V272*$C272/100*V260,0)</f>
        <v>0</v>
      </c>
      <c r="Z272" s="132"/>
      <c r="AC272" s="148"/>
      <c r="AD272" s="148"/>
      <c r="AI272" s="143"/>
      <c r="AJ272" s="143"/>
      <c r="AK272" s="143"/>
      <c r="AL272" s="143"/>
      <c r="AM272" s="143"/>
      <c r="AN272" s="143"/>
      <c r="AO272" s="143"/>
      <c r="AP272" s="143"/>
      <c r="AQ272" s="143"/>
      <c r="AR272" s="143"/>
      <c r="AS272" s="143"/>
      <c r="AU272" s="147"/>
    </row>
    <row r="273" spans="1:47" s="141" customFormat="1" hidden="1">
      <c r="A273" s="140" t="s">
        <v>155</v>
      </c>
      <c r="C273" s="142">
        <f>C255</f>
        <v>297732.95603028813</v>
      </c>
      <c r="D273" s="138"/>
      <c r="E273" s="143"/>
      <c r="F273" s="144"/>
      <c r="G273" s="138"/>
      <c r="H273" s="143"/>
      <c r="I273" s="144"/>
      <c r="J273" s="145">
        <f>J185</f>
        <v>0</v>
      </c>
      <c r="K273" s="240" t="s">
        <v>107</v>
      </c>
      <c r="L273" s="144">
        <f>ROUND(J273*$C273/100*J260,0)</f>
        <v>0</v>
      </c>
      <c r="M273" s="144"/>
      <c r="N273" s="145" t="str">
        <f>N185</f>
        <v xml:space="preserve"> </v>
      </c>
      <c r="O273" s="240" t="s">
        <v>107</v>
      </c>
      <c r="P273" s="144">
        <f>ROUND(N273*$C273/100*N260,0)</f>
        <v>0</v>
      </c>
      <c r="Q273" s="144"/>
      <c r="R273" s="145" t="str">
        <f>R185</f>
        <v xml:space="preserve"> </v>
      </c>
      <c r="S273" s="240" t="s">
        <v>107</v>
      </c>
      <c r="T273" s="144">
        <f>ROUND(R273*$C273/100*R260,0)</f>
        <v>0</v>
      </c>
      <c r="U273" s="144"/>
      <c r="V273" s="145">
        <f>V185</f>
        <v>0</v>
      </c>
      <c r="W273" s="240" t="s">
        <v>107</v>
      </c>
      <c r="X273" s="144">
        <f>ROUND(V273*$C273/100*V260,0)</f>
        <v>0</v>
      </c>
      <c r="Z273" s="132"/>
      <c r="AC273" s="148"/>
      <c r="AD273" s="148"/>
      <c r="AI273" s="143"/>
      <c r="AJ273" s="143"/>
      <c r="AK273" s="143"/>
      <c r="AL273" s="143"/>
      <c r="AM273" s="143"/>
      <c r="AN273" s="143"/>
      <c r="AO273" s="143"/>
      <c r="AP273" s="143"/>
      <c r="AQ273" s="143"/>
      <c r="AR273" s="143"/>
      <c r="AS273" s="143"/>
      <c r="AU273" s="147"/>
    </row>
    <row r="274" spans="1:47" hidden="1">
      <c r="A274" s="169" t="s">
        <v>133</v>
      </c>
      <c r="B274" s="212"/>
      <c r="C274" s="227">
        <f>SUM(C253:C255)</f>
        <v>7015074.7502341894</v>
      </c>
      <c r="D274" s="237"/>
      <c r="E274" s="131"/>
      <c r="F274" s="131">
        <f>SUM(F248:F270)</f>
        <v>781954</v>
      </c>
      <c r="G274" s="237"/>
      <c r="H274" s="231"/>
      <c r="I274" s="131">
        <f>SUM(I248:I270)</f>
        <v>820037</v>
      </c>
      <c r="J274" s="237"/>
      <c r="K274" s="231"/>
      <c r="L274" s="131">
        <f>SUM(L248:L273)</f>
        <v>841585</v>
      </c>
      <c r="M274" s="131"/>
      <c r="N274" s="237"/>
      <c r="O274" s="231"/>
      <c r="P274" s="131">
        <f>SUM(P248:P273)</f>
        <v>258524</v>
      </c>
      <c r="Q274" s="131"/>
      <c r="R274" s="237"/>
      <c r="S274" s="231"/>
      <c r="T274" s="131">
        <f>SUM(T248:T273)</f>
        <v>115377</v>
      </c>
      <c r="U274" s="131"/>
      <c r="V274" s="237"/>
      <c r="W274" s="231"/>
      <c r="X274" s="131">
        <f>SUM(X248:X273)</f>
        <v>467723</v>
      </c>
      <c r="Y274" s="166"/>
      <c r="Z274" s="110"/>
      <c r="AA274" s="110"/>
      <c r="AB274" s="110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U274" s="135"/>
    </row>
    <row r="275" spans="1:47" hidden="1">
      <c r="A275" s="169" t="s">
        <v>111</v>
      </c>
      <c r="B275" s="169"/>
      <c r="C275" s="275">
        <v>-25719.640630090842</v>
      </c>
      <c r="D275" s="154"/>
      <c r="E275" s="154"/>
      <c r="F275" s="254">
        <f>I275</f>
        <v>-1618.0760226777425</v>
      </c>
      <c r="G275" s="154"/>
      <c r="H275" s="154"/>
      <c r="I275" s="254">
        <v>-1618.0760226777425</v>
      </c>
      <c r="J275" s="154"/>
      <c r="K275" s="154"/>
      <c r="L275" s="254">
        <f>I275</f>
        <v>-1618.0760226777425</v>
      </c>
      <c r="M275" s="230"/>
      <c r="N275" s="154"/>
      <c r="O275" s="154"/>
      <c r="P275" s="254">
        <f>P204/L204*L275</f>
        <v>-318.97359594951752</v>
      </c>
      <c r="Q275" s="230"/>
      <c r="R275" s="154"/>
      <c r="S275" s="154"/>
      <c r="T275" s="254">
        <f>T204/L204*L275</f>
        <v>-256.87536944848745</v>
      </c>
      <c r="U275" s="230"/>
      <c r="V275" s="154"/>
      <c r="W275" s="154"/>
      <c r="X275" s="254">
        <f>X204/L204*L275</f>
        <v>-1042.2270572797374</v>
      </c>
      <c r="Y275" s="185"/>
      <c r="Z275" s="183"/>
      <c r="AA275" s="110"/>
      <c r="AB275" s="110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U275" s="135"/>
    </row>
    <row r="276" spans="1:47" ht="16.5" hidden="1" thickBot="1">
      <c r="A276" s="169" t="s">
        <v>134</v>
      </c>
      <c r="B276" s="169"/>
      <c r="C276" s="214">
        <f>SUM(C274:C275)</f>
        <v>6989355.1096040988</v>
      </c>
      <c r="D276" s="272"/>
      <c r="E276" s="256"/>
      <c r="F276" s="257">
        <f>F274+F275</f>
        <v>780335.92397732229</v>
      </c>
      <c r="G276" s="272"/>
      <c r="H276" s="258"/>
      <c r="I276" s="257">
        <f>I274+I275</f>
        <v>818418.92397732229</v>
      </c>
      <c r="J276" s="272"/>
      <c r="K276" s="258"/>
      <c r="L276" s="257">
        <f>L274+L275</f>
        <v>839966.92397732229</v>
      </c>
      <c r="M276" s="257"/>
      <c r="N276" s="272"/>
      <c r="O276" s="258"/>
      <c r="P276" s="257">
        <f>P274+P275</f>
        <v>258205.02640405047</v>
      </c>
      <c r="Q276" s="257"/>
      <c r="R276" s="272"/>
      <c r="S276" s="258"/>
      <c r="T276" s="257">
        <f>T274+T275</f>
        <v>115120.12463055151</v>
      </c>
      <c r="U276" s="257"/>
      <c r="V276" s="272"/>
      <c r="W276" s="258"/>
      <c r="X276" s="257">
        <f>X274+X275</f>
        <v>466680.77294272027</v>
      </c>
      <c r="Y276" s="186"/>
      <c r="Z276" s="187"/>
      <c r="AA276" s="110"/>
      <c r="AB276" s="110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U276" s="135"/>
    </row>
    <row r="277" spans="1:47" hidden="1">
      <c r="A277" s="169"/>
      <c r="B277" s="169"/>
      <c r="C277" s="189"/>
      <c r="D277" s="250"/>
      <c r="E277" s="131"/>
      <c r="F277" s="131"/>
      <c r="G277" s="250"/>
      <c r="H277" s="169"/>
      <c r="I277" s="131"/>
      <c r="J277" s="250"/>
      <c r="K277" s="169"/>
      <c r="L277" s="131" t="s">
        <v>0</v>
      </c>
      <c r="M277" s="131"/>
      <c r="N277" s="250"/>
      <c r="O277" s="169"/>
      <c r="P277" s="131" t="s">
        <v>0</v>
      </c>
      <c r="Q277" s="131"/>
      <c r="R277" s="250"/>
      <c r="S277" s="169"/>
      <c r="T277" s="131" t="s">
        <v>0</v>
      </c>
      <c r="U277" s="131"/>
      <c r="V277" s="250"/>
      <c r="W277" s="169"/>
      <c r="X277" s="131" t="s">
        <v>0</v>
      </c>
      <c r="Y277" s="53"/>
      <c r="Z277" s="110"/>
      <c r="AA277" s="110"/>
      <c r="AB277" s="110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U277" s="135"/>
    </row>
    <row r="278" spans="1:47" hidden="1">
      <c r="A278" s="169"/>
      <c r="B278" s="169"/>
      <c r="C278" s="189"/>
      <c r="D278" s="250"/>
      <c r="E278" s="131"/>
      <c r="F278" s="131"/>
      <c r="G278" s="250"/>
      <c r="H278" s="169"/>
      <c r="I278" s="131"/>
      <c r="J278" s="250"/>
      <c r="K278" s="169"/>
      <c r="L278" s="131" t="s">
        <v>0</v>
      </c>
      <c r="M278" s="131"/>
      <c r="N278" s="250"/>
      <c r="O278" s="169"/>
      <c r="P278" s="131" t="s">
        <v>0</v>
      </c>
      <c r="Q278" s="131"/>
      <c r="R278" s="250"/>
      <c r="S278" s="169"/>
      <c r="T278" s="131" t="s">
        <v>0</v>
      </c>
      <c r="U278" s="131"/>
      <c r="V278" s="250"/>
      <c r="W278" s="169"/>
      <c r="X278" s="131" t="s">
        <v>0</v>
      </c>
      <c r="Y278" s="53"/>
      <c r="Z278" s="110"/>
      <c r="AA278" s="110"/>
      <c r="AB278" s="110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U278" s="135"/>
    </row>
    <row r="279" spans="1:47" hidden="1">
      <c r="A279" s="188" t="s">
        <v>140</v>
      </c>
      <c r="B279" s="169"/>
      <c r="C279" s="169"/>
      <c r="D279" s="131"/>
      <c r="E279" s="131"/>
      <c r="F279" s="169" t="s">
        <v>0</v>
      </c>
      <c r="G279" s="131"/>
      <c r="H279" s="169"/>
      <c r="I279" s="169"/>
      <c r="J279" s="131"/>
      <c r="K279" s="169"/>
      <c r="L279" s="169"/>
      <c r="M279" s="169"/>
      <c r="N279" s="131"/>
      <c r="O279" s="169"/>
      <c r="P279" s="169"/>
      <c r="Q279" s="169"/>
      <c r="R279" s="131"/>
      <c r="S279" s="169"/>
      <c r="T279" s="169"/>
      <c r="U279" s="169"/>
      <c r="V279" s="131"/>
      <c r="W279" s="169"/>
      <c r="X279" s="169"/>
      <c r="Y279" s="53"/>
      <c r="Z279" s="110"/>
      <c r="AA279" s="110"/>
      <c r="AB279" s="110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U279" s="135"/>
    </row>
    <row r="280" spans="1:47" hidden="1">
      <c r="A280" s="169" t="s">
        <v>169</v>
      </c>
      <c r="B280" s="169"/>
      <c r="C280" s="169"/>
      <c r="D280" s="131"/>
      <c r="E280" s="131"/>
      <c r="F280" s="169"/>
      <c r="G280" s="131"/>
      <c r="H280" s="169"/>
      <c r="I280" s="169"/>
      <c r="J280" s="131"/>
      <c r="K280" s="169"/>
      <c r="L280" s="169"/>
      <c r="M280" s="169"/>
      <c r="N280" s="131"/>
      <c r="O280" s="169"/>
      <c r="P280" s="169"/>
      <c r="Q280" s="169"/>
      <c r="R280" s="131"/>
      <c r="S280" s="169"/>
      <c r="T280" s="169"/>
      <c r="U280" s="169"/>
      <c r="V280" s="131"/>
      <c r="W280" s="169"/>
      <c r="X280" s="169"/>
      <c r="Y280" s="53"/>
      <c r="Z280" s="110"/>
      <c r="AA280" s="110"/>
      <c r="AB280" s="110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U280" s="135"/>
    </row>
    <row r="281" spans="1:47" hidden="1">
      <c r="A281" s="221" t="s">
        <v>170</v>
      </c>
      <c r="B281" s="169"/>
      <c r="C281" s="189"/>
      <c r="D281" s="131"/>
      <c r="E281" s="131"/>
      <c r="F281" s="169"/>
      <c r="G281" s="131"/>
      <c r="H281" s="169"/>
      <c r="I281" s="169"/>
      <c r="J281" s="131"/>
      <c r="K281" s="169"/>
      <c r="L281" s="169"/>
      <c r="M281" s="169"/>
      <c r="N281" s="131"/>
      <c r="O281" s="169"/>
      <c r="P281" s="169"/>
      <c r="Q281" s="169"/>
      <c r="R281" s="131"/>
      <c r="S281" s="169"/>
      <c r="T281" s="169"/>
      <c r="U281" s="169"/>
      <c r="V281" s="131"/>
      <c r="W281" s="169"/>
      <c r="X281" s="169"/>
      <c r="Y281" s="53"/>
      <c r="Z281" s="110"/>
      <c r="AA281" s="110"/>
      <c r="AB281" s="110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U281" s="135"/>
    </row>
    <row r="282" spans="1:47" hidden="1">
      <c r="A282" s="169" t="s">
        <v>146</v>
      </c>
      <c r="B282" s="169"/>
      <c r="C282" s="227"/>
      <c r="D282" s="131"/>
      <c r="E282" s="131"/>
      <c r="F282" s="169"/>
      <c r="G282" s="131"/>
      <c r="H282" s="169"/>
      <c r="I282" s="169"/>
      <c r="J282" s="131"/>
      <c r="K282" s="169"/>
      <c r="L282" s="169"/>
      <c r="M282" s="169"/>
      <c r="N282" s="131"/>
      <c r="O282" s="169"/>
      <c r="P282" s="169"/>
      <c r="Q282" s="169"/>
      <c r="R282" s="131"/>
      <c r="S282" s="169"/>
      <c r="T282" s="169"/>
      <c r="U282" s="169"/>
      <c r="V282" s="131"/>
      <c r="W282" s="169"/>
      <c r="X282" s="169"/>
      <c r="Y282" s="53"/>
      <c r="Z282" s="110"/>
      <c r="AA282" s="110"/>
      <c r="AB282" s="110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U282" s="135"/>
    </row>
    <row r="283" spans="1:47" hidden="1">
      <c r="A283" s="169" t="s">
        <v>143</v>
      </c>
      <c r="B283" s="169"/>
      <c r="C283" s="227">
        <v>141741.26666666631</v>
      </c>
      <c r="D283" s="193">
        <v>8.7100000000000009</v>
      </c>
      <c r="E283" s="229"/>
      <c r="F283" s="131">
        <f>ROUND(D283*$C283,0)</f>
        <v>1234566</v>
      </c>
      <c r="G283" s="193">
        <v>8.7100000000000009</v>
      </c>
      <c r="H283" s="231"/>
      <c r="I283" s="131">
        <f>ROUND(G283*$C283,0)</f>
        <v>1234566</v>
      </c>
      <c r="J283" s="193">
        <f>$J$173</f>
        <v>9.6</v>
      </c>
      <c r="K283" s="231"/>
      <c r="L283" s="131">
        <f>ROUND(J283*$C283,0)</f>
        <v>1360716</v>
      </c>
      <c r="M283" s="131"/>
      <c r="N283" s="193">
        <f>$N$173</f>
        <v>9.6</v>
      </c>
      <c r="O283" s="231"/>
      <c r="P283" s="131">
        <f>ROUND(N283*$C283,0)</f>
        <v>1360716</v>
      </c>
      <c r="Q283" s="131"/>
      <c r="R283" s="193" t="str">
        <f>$R$173</f>
        <v xml:space="preserve"> </v>
      </c>
      <c r="S283" s="231"/>
      <c r="T283" s="131">
        <f>ROUND(R283*$C283,0)</f>
        <v>0</v>
      </c>
      <c r="U283" s="131"/>
      <c r="V283" s="193" t="str">
        <f>$V$173</f>
        <v xml:space="preserve"> </v>
      </c>
      <c r="W283" s="231"/>
      <c r="X283" s="131">
        <f>ROUND(V283*$C283,0)</f>
        <v>0</v>
      </c>
      <c r="Y283" s="53"/>
      <c r="Z283" s="110"/>
      <c r="AA283" s="110"/>
      <c r="AB283" s="110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U283" s="135"/>
    </row>
    <row r="284" spans="1:47" hidden="1">
      <c r="A284" s="169" t="s">
        <v>144</v>
      </c>
      <c r="B284" s="169"/>
      <c r="C284" s="227">
        <v>59416.999999999964</v>
      </c>
      <c r="D284" s="193">
        <v>12.98</v>
      </c>
      <c r="E284" s="232"/>
      <c r="F284" s="131">
        <f>ROUND(D284*$C284,0)</f>
        <v>771233</v>
      </c>
      <c r="G284" s="193">
        <v>12.98</v>
      </c>
      <c r="H284" s="233"/>
      <c r="I284" s="131">
        <f t="shared" ref="I284:I285" si="91">ROUND(G284*$C284,0)</f>
        <v>771233</v>
      </c>
      <c r="J284" s="193">
        <f>$J$174</f>
        <v>14.3</v>
      </c>
      <c r="K284" s="233"/>
      <c r="L284" s="131">
        <f>ROUND(J284*$C284,0)</f>
        <v>849663</v>
      </c>
      <c r="M284" s="131"/>
      <c r="N284" s="193">
        <f>$N$174</f>
        <v>14.3</v>
      </c>
      <c r="O284" s="233"/>
      <c r="P284" s="131">
        <f>ROUND(N284*$C284,0)</f>
        <v>849663</v>
      </c>
      <c r="Q284" s="131"/>
      <c r="R284" s="193" t="str">
        <f>$R$174</f>
        <v xml:space="preserve"> </v>
      </c>
      <c r="S284" s="233"/>
      <c r="T284" s="131">
        <f>ROUND(R284*$C284,0)</f>
        <v>0</v>
      </c>
      <c r="U284" s="131"/>
      <c r="V284" s="193" t="str">
        <f>$V$174</f>
        <v xml:space="preserve"> </v>
      </c>
      <c r="W284" s="233"/>
      <c r="X284" s="131">
        <f>ROUND(V284*$C284,0)</f>
        <v>0</v>
      </c>
      <c r="Y284" s="53"/>
      <c r="Z284" s="110"/>
      <c r="AA284" s="110"/>
      <c r="AB284" s="110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U284" s="135"/>
    </row>
    <row r="285" spans="1:47" hidden="1">
      <c r="A285" s="169" t="s">
        <v>145</v>
      </c>
      <c r="B285" s="169"/>
      <c r="C285" s="227">
        <v>1187077</v>
      </c>
      <c r="D285" s="193">
        <v>0.92</v>
      </c>
      <c r="E285" s="232"/>
      <c r="F285" s="131">
        <f>ROUND(D285*$C285,0)</f>
        <v>1092111</v>
      </c>
      <c r="G285" s="193">
        <v>0.92</v>
      </c>
      <c r="H285" s="233"/>
      <c r="I285" s="131">
        <f t="shared" si="91"/>
        <v>1092111</v>
      </c>
      <c r="J285" s="193">
        <f>$J$175</f>
        <v>1</v>
      </c>
      <c r="K285" s="233"/>
      <c r="L285" s="131">
        <f>ROUND(J285*$C285,0)</f>
        <v>1187077</v>
      </c>
      <c r="M285" s="131"/>
      <c r="N285" s="193">
        <f>$N$175</f>
        <v>1</v>
      </c>
      <c r="O285" s="233"/>
      <c r="P285" s="131">
        <f>ROUND(N285*$C285,0)</f>
        <v>1187077</v>
      </c>
      <c r="Q285" s="131"/>
      <c r="R285" s="193" t="str">
        <f>$R$175</f>
        <v xml:space="preserve"> </v>
      </c>
      <c r="S285" s="233"/>
      <c r="T285" s="131">
        <f>ROUND(R285*$C285,0)</f>
        <v>0</v>
      </c>
      <c r="U285" s="131"/>
      <c r="V285" s="193" t="str">
        <f>$V$175</f>
        <v xml:space="preserve"> </v>
      </c>
      <c r="W285" s="233"/>
      <c r="X285" s="131">
        <f>ROUND(V285*$C285,0)</f>
        <v>0</v>
      </c>
      <c r="Y285" s="53"/>
      <c r="Z285" s="110"/>
      <c r="AA285" s="110"/>
      <c r="AB285" s="110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U285" s="135"/>
    </row>
    <row r="286" spans="1:47" hidden="1">
      <c r="A286" s="169" t="s">
        <v>147</v>
      </c>
      <c r="B286" s="169"/>
      <c r="C286" s="227">
        <f>SUM(C283:C284)</f>
        <v>201158.26666666628</v>
      </c>
      <c r="D286" s="193"/>
      <c r="E286" s="229"/>
      <c r="F286" s="131"/>
      <c r="G286" s="193"/>
      <c r="H286" s="231"/>
      <c r="I286" s="131"/>
      <c r="J286" s="193"/>
      <c r="K286" s="231"/>
      <c r="L286" s="131"/>
      <c r="M286" s="131"/>
      <c r="N286" s="193"/>
      <c r="O286" s="231"/>
      <c r="P286" s="131"/>
      <c r="Q286" s="131"/>
      <c r="R286" s="193"/>
      <c r="S286" s="231"/>
      <c r="T286" s="131"/>
      <c r="U286" s="131"/>
      <c r="V286" s="193"/>
      <c r="W286" s="231"/>
      <c r="X286" s="131"/>
      <c r="Y286" s="53"/>
      <c r="Z286" s="110"/>
      <c r="AA286" s="110"/>
      <c r="AB286" s="110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U286" s="135"/>
    </row>
    <row r="287" spans="1:47" hidden="1">
      <c r="A287" s="169" t="s">
        <v>148</v>
      </c>
      <c r="B287" s="169"/>
      <c r="C287" s="227">
        <v>803395</v>
      </c>
      <c r="D287" s="250">
        <v>3.4</v>
      </c>
      <c r="E287" s="231"/>
      <c r="F287" s="131">
        <f>ROUND(D287*$C287,0)</f>
        <v>2731543</v>
      </c>
      <c r="G287" s="250">
        <v>3.61</v>
      </c>
      <c r="H287" s="231"/>
      <c r="I287" s="131">
        <f>ROUND(G287*C287,0)</f>
        <v>2900256</v>
      </c>
      <c r="J287" s="250">
        <f>$J$178</f>
        <v>3.64</v>
      </c>
      <c r="K287" s="231"/>
      <c r="L287" s="131">
        <f>ROUND(J287*$C287,0)</f>
        <v>2924358</v>
      </c>
      <c r="M287" s="131"/>
      <c r="N287" s="250">
        <f>$N$178</f>
        <v>0.48</v>
      </c>
      <c r="O287" s="231"/>
      <c r="P287" s="131">
        <f>ROUND(N287*$C287,0)</f>
        <v>385630</v>
      </c>
      <c r="Q287" s="131"/>
      <c r="R287" s="250">
        <f>$R$178</f>
        <v>0.63</v>
      </c>
      <c r="S287" s="231"/>
      <c r="T287" s="131">
        <f>ROUND(R287*$C287,0)</f>
        <v>506139</v>
      </c>
      <c r="U287" s="131"/>
      <c r="V287" s="250">
        <f>$V$178</f>
        <v>2.54</v>
      </c>
      <c r="W287" s="231"/>
      <c r="X287" s="131">
        <f>ROUND(V287*$C287,0)</f>
        <v>2040623</v>
      </c>
      <c r="Y287" s="53"/>
      <c r="Z287" s="110"/>
      <c r="AA287" s="110"/>
      <c r="AB287" s="110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U287" s="135"/>
    </row>
    <row r="288" spans="1:47" hidden="1">
      <c r="A288" s="169" t="s">
        <v>149</v>
      </c>
      <c r="B288" s="227"/>
      <c r="C288" s="227">
        <v>122485429.32105364</v>
      </c>
      <c r="D288" s="195">
        <v>9.766</v>
      </c>
      <c r="E288" s="231" t="s">
        <v>107</v>
      </c>
      <c r="F288" s="131">
        <f>ROUND(D288*$C288/100,0)</f>
        <v>11961927</v>
      </c>
      <c r="G288" s="195">
        <v>10.359</v>
      </c>
      <c r="H288" s="231" t="s">
        <v>107</v>
      </c>
      <c r="I288" s="131">
        <f>ROUND(G288*C288/100,0)</f>
        <v>12688266</v>
      </c>
      <c r="J288" s="195">
        <f>$J$179</f>
        <v>10.449</v>
      </c>
      <c r="K288" s="231" t="s">
        <v>107</v>
      </c>
      <c r="L288" s="131">
        <f>ROUND(J288*$C288/100,0)</f>
        <v>12798503</v>
      </c>
      <c r="M288" s="131"/>
      <c r="N288" s="195">
        <f>$N$179</f>
        <v>1.3644187751662151</v>
      </c>
      <c r="O288" s="231" t="s">
        <v>107</v>
      </c>
      <c r="P288" s="131">
        <f>ROUND(N288*$C288/100,0)</f>
        <v>1671214</v>
      </c>
      <c r="Q288" s="131"/>
      <c r="R288" s="195">
        <f>$R$179</f>
        <v>1.7973223544650079</v>
      </c>
      <c r="S288" s="231" t="s">
        <v>107</v>
      </c>
      <c r="T288" s="131">
        <f>ROUND(R288*$C288/100,0)</f>
        <v>2201458</v>
      </c>
      <c r="U288" s="131"/>
      <c r="V288" s="195">
        <f>$V$179</f>
        <v>7.2874254450520697</v>
      </c>
      <c r="W288" s="231" t="s">
        <v>107</v>
      </c>
      <c r="X288" s="131">
        <f>ROUND(V288*$C288/100,0)</f>
        <v>8926034</v>
      </c>
      <c r="Y288" s="274"/>
      <c r="Z288" s="110"/>
      <c r="AA288" s="110"/>
      <c r="AB288" s="110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U288" s="135"/>
    </row>
    <row r="289" spans="1:47" hidden="1">
      <c r="A289" s="169" t="s">
        <v>150</v>
      </c>
      <c r="B289" s="227"/>
      <c r="C289" s="227">
        <v>277023851.80810446</v>
      </c>
      <c r="D289" s="195">
        <v>6.7460000000000004</v>
      </c>
      <c r="E289" s="231" t="s">
        <v>107</v>
      </c>
      <c r="F289" s="131">
        <f>ROUND(D289*$C289/100,0)</f>
        <v>18688029</v>
      </c>
      <c r="G289" s="195">
        <v>7.1559999999999997</v>
      </c>
      <c r="H289" s="231" t="s">
        <v>107</v>
      </c>
      <c r="I289" s="131">
        <f t="shared" ref="I289:I291" si="92">ROUND(G289*C289/100,0)</f>
        <v>19823827</v>
      </c>
      <c r="J289" s="195">
        <f>$J$180</f>
        <v>7.218</v>
      </c>
      <c r="K289" s="231" t="s">
        <v>107</v>
      </c>
      <c r="L289" s="131">
        <f>ROUND(J289*$C289/100,0)</f>
        <v>19995582</v>
      </c>
      <c r="M289" s="131"/>
      <c r="N289" s="195">
        <f>$N$180</f>
        <v>0.94251839115112013</v>
      </c>
      <c r="O289" s="231" t="s">
        <v>107</v>
      </c>
      <c r="P289" s="131">
        <f>ROUND(N289*$C289/100,0)</f>
        <v>2611001</v>
      </c>
      <c r="Q289" s="131"/>
      <c r="R289" s="195">
        <f>$R$180</f>
        <v>1.2418703884281421</v>
      </c>
      <c r="S289" s="231" t="s">
        <v>107</v>
      </c>
      <c r="T289" s="131">
        <f>ROUND(R289*$C289/100,0)</f>
        <v>3440277</v>
      </c>
      <c r="U289" s="131"/>
      <c r="V289" s="195">
        <f>$V$180</f>
        <v>5.0333446832527242</v>
      </c>
      <c r="W289" s="231" t="s">
        <v>107</v>
      </c>
      <c r="X289" s="131">
        <f>ROUND(V289*$C289/100,0)</f>
        <v>13943565</v>
      </c>
      <c r="Y289" s="274"/>
      <c r="Z289" s="110"/>
      <c r="AA289" s="110"/>
      <c r="AB289" s="110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U289" s="135"/>
    </row>
    <row r="290" spans="1:47" hidden="1">
      <c r="A290" s="169" t="s">
        <v>151</v>
      </c>
      <c r="B290" s="227"/>
      <c r="C290" s="227">
        <v>118022195.46634004</v>
      </c>
      <c r="D290" s="195">
        <v>5.8120000000000003</v>
      </c>
      <c r="E290" s="231" t="s">
        <v>107</v>
      </c>
      <c r="F290" s="131">
        <f>ROUND(D290*$C290/100,0)</f>
        <v>6859450</v>
      </c>
      <c r="G290" s="195">
        <v>6.1660000000000004</v>
      </c>
      <c r="H290" s="231" t="s">
        <v>107</v>
      </c>
      <c r="I290" s="131">
        <f t="shared" si="92"/>
        <v>7277249</v>
      </c>
      <c r="J290" s="195">
        <f>$J$181</f>
        <v>6.218</v>
      </c>
      <c r="K290" s="231" t="s">
        <v>107</v>
      </c>
      <c r="L290" s="131">
        <f>ROUND(J290*$C290/100,0)</f>
        <v>7338620</v>
      </c>
      <c r="M290" s="131"/>
      <c r="N290" s="195">
        <f>$N$181</f>
        <v>0.81193939748297494</v>
      </c>
      <c r="O290" s="231" t="s">
        <v>107</v>
      </c>
      <c r="P290" s="131">
        <f>ROUND(N290*$C290/100,0)</f>
        <v>958269</v>
      </c>
      <c r="Q290" s="131"/>
      <c r="R290" s="195">
        <f>$R$181</f>
        <v>1.0689569190308457</v>
      </c>
      <c r="S290" s="231" t="s">
        <v>107</v>
      </c>
      <c r="T290" s="131">
        <f>ROUND(R290*$C290/100,0)</f>
        <v>1261606</v>
      </c>
      <c r="U290" s="131"/>
      <c r="V290" s="195">
        <f>$V$181</f>
        <v>4.3370117827017491</v>
      </c>
      <c r="W290" s="231" t="s">
        <v>107</v>
      </c>
      <c r="X290" s="131">
        <f>ROUND(V290*$C290/100,0)</f>
        <v>5118637</v>
      </c>
      <c r="Y290" s="274"/>
      <c r="Z290" s="110"/>
      <c r="AA290" s="110"/>
      <c r="AB290" s="110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U290" s="135"/>
    </row>
    <row r="291" spans="1:47" hidden="1">
      <c r="A291" s="169" t="s">
        <v>152</v>
      </c>
      <c r="B291" s="189"/>
      <c r="C291" s="227">
        <v>104260.76666666665</v>
      </c>
      <c r="D291" s="237">
        <v>56</v>
      </c>
      <c r="E291" s="229" t="s">
        <v>107</v>
      </c>
      <c r="F291" s="131">
        <f>ROUND(D291*$C291/100,0)</f>
        <v>58386</v>
      </c>
      <c r="G291" s="237">
        <v>56</v>
      </c>
      <c r="H291" s="231" t="s">
        <v>107</v>
      </c>
      <c r="I291" s="131">
        <f t="shared" si="92"/>
        <v>58386</v>
      </c>
      <c r="J291" s="237">
        <f>$J$182</f>
        <v>56</v>
      </c>
      <c r="K291" s="231" t="s">
        <v>107</v>
      </c>
      <c r="L291" s="131">
        <f>ROUND(J291*$C291/100,0)</f>
        <v>58386</v>
      </c>
      <c r="M291" s="131"/>
      <c r="N291" s="237" t="str">
        <f>$N$182</f>
        <v xml:space="preserve"> </v>
      </c>
      <c r="O291" s="231" t="s">
        <v>107</v>
      </c>
      <c r="P291" s="131">
        <f>ROUND(N291*$C291/100,0)</f>
        <v>0</v>
      </c>
      <c r="Q291" s="131"/>
      <c r="R291" s="237">
        <f>$R$182</f>
        <v>11</v>
      </c>
      <c r="S291" s="231" t="s">
        <v>107</v>
      </c>
      <c r="T291" s="131">
        <f>ROUND(R291*$C291/100,0)</f>
        <v>11469</v>
      </c>
      <c r="U291" s="131"/>
      <c r="V291" s="237">
        <f>$V$182</f>
        <v>45</v>
      </c>
      <c r="W291" s="231" t="s">
        <v>107</v>
      </c>
      <c r="X291" s="131">
        <f>ROUND(V291*$C291/100,0)</f>
        <v>46917</v>
      </c>
      <c r="Y291" s="53"/>
      <c r="Z291" s="110"/>
      <c r="AA291" s="110"/>
      <c r="AB291" s="110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U291" s="135"/>
    </row>
    <row r="292" spans="1:47" s="141" customFormat="1" hidden="1">
      <c r="A292" s="140" t="s">
        <v>153</v>
      </c>
      <c r="C292" s="142">
        <f>C288</f>
        <v>122485429.32105364</v>
      </c>
      <c r="D292" s="138"/>
      <c r="E292" s="143"/>
      <c r="F292" s="144"/>
      <c r="G292" s="138"/>
      <c r="H292" s="143"/>
      <c r="I292" s="144"/>
      <c r="J292" s="145">
        <f>J183</f>
        <v>0</v>
      </c>
      <c r="K292" s="240" t="s">
        <v>107</v>
      </c>
      <c r="L292" s="144">
        <f t="shared" ref="L292:L294" si="93">ROUND(J292*$C292/100,0)</f>
        <v>0</v>
      </c>
      <c r="M292" s="144"/>
      <c r="N292" s="145" t="str">
        <f>N183</f>
        <v xml:space="preserve"> </v>
      </c>
      <c r="O292" s="240" t="s">
        <v>107</v>
      </c>
      <c r="P292" s="144">
        <f t="shared" ref="P292:P294" si="94">ROUND(N292*$C292/100,0)</f>
        <v>0</v>
      </c>
      <c r="Q292" s="144"/>
      <c r="R292" s="145" t="str">
        <f>R183</f>
        <v xml:space="preserve"> </v>
      </c>
      <c r="S292" s="240" t="s">
        <v>107</v>
      </c>
      <c r="T292" s="144">
        <f t="shared" ref="T292:T294" si="95">ROUND(R292*$C292/100,0)</f>
        <v>0</v>
      </c>
      <c r="U292" s="144"/>
      <c r="V292" s="145">
        <f>V183</f>
        <v>0</v>
      </c>
      <c r="W292" s="240" t="s">
        <v>107</v>
      </c>
      <c r="X292" s="144">
        <f t="shared" ref="X292:X294" si="96">ROUND(V292*$C292/100,0)</f>
        <v>0</v>
      </c>
      <c r="Z292" s="132"/>
      <c r="AC292" s="148"/>
      <c r="AD292" s="148"/>
      <c r="AI292" s="143"/>
      <c r="AJ292" s="143"/>
      <c r="AK292" s="143"/>
      <c r="AL292" s="143"/>
      <c r="AM292" s="143"/>
      <c r="AN292" s="143"/>
      <c r="AO292" s="143"/>
      <c r="AP292" s="143"/>
      <c r="AQ292" s="143"/>
      <c r="AR292" s="143"/>
      <c r="AS292" s="143"/>
      <c r="AU292" s="147"/>
    </row>
    <row r="293" spans="1:47" s="141" customFormat="1" hidden="1">
      <c r="A293" s="140" t="s">
        <v>154</v>
      </c>
      <c r="C293" s="142">
        <f>C289</f>
        <v>277023851.80810446</v>
      </c>
      <c r="D293" s="138"/>
      <c r="E293" s="143"/>
      <c r="F293" s="144"/>
      <c r="G293" s="138"/>
      <c r="H293" s="143"/>
      <c r="I293" s="144"/>
      <c r="J293" s="145">
        <f>J184</f>
        <v>0</v>
      </c>
      <c r="K293" s="240" t="s">
        <v>107</v>
      </c>
      <c r="L293" s="144">
        <f t="shared" si="93"/>
        <v>0</v>
      </c>
      <c r="M293" s="144"/>
      <c r="N293" s="145" t="str">
        <f>N184</f>
        <v xml:space="preserve"> </v>
      </c>
      <c r="O293" s="240" t="s">
        <v>107</v>
      </c>
      <c r="P293" s="144">
        <f t="shared" si="94"/>
        <v>0</v>
      </c>
      <c r="Q293" s="144"/>
      <c r="R293" s="145" t="str">
        <f>R184</f>
        <v xml:space="preserve"> </v>
      </c>
      <c r="S293" s="240" t="s">
        <v>107</v>
      </c>
      <c r="T293" s="144">
        <f t="shared" si="95"/>
        <v>0</v>
      </c>
      <c r="U293" s="144"/>
      <c r="V293" s="145">
        <f>V184</f>
        <v>0</v>
      </c>
      <c r="W293" s="240" t="s">
        <v>107</v>
      </c>
      <c r="X293" s="144">
        <f t="shared" si="96"/>
        <v>0</v>
      </c>
      <c r="Z293" s="132"/>
      <c r="AC293" s="148"/>
      <c r="AD293" s="148"/>
      <c r="AI293" s="143"/>
      <c r="AJ293" s="143"/>
      <c r="AK293" s="143"/>
      <c r="AL293" s="143"/>
      <c r="AM293" s="143"/>
      <c r="AN293" s="143"/>
      <c r="AO293" s="143"/>
      <c r="AP293" s="143"/>
      <c r="AQ293" s="143"/>
      <c r="AR293" s="143"/>
      <c r="AS293" s="143"/>
      <c r="AU293" s="147"/>
    </row>
    <row r="294" spans="1:47" s="141" customFormat="1" hidden="1">
      <c r="A294" s="140" t="s">
        <v>155</v>
      </c>
      <c r="C294" s="142">
        <f>C290</f>
        <v>118022195.46634004</v>
      </c>
      <c r="D294" s="138"/>
      <c r="E294" s="143"/>
      <c r="F294" s="144"/>
      <c r="G294" s="138"/>
      <c r="H294" s="143"/>
      <c r="I294" s="144"/>
      <c r="J294" s="145">
        <f>J185</f>
        <v>0</v>
      </c>
      <c r="K294" s="240" t="s">
        <v>107</v>
      </c>
      <c r="L294" s="144">
        <f t="shared" si="93"/>
        <v>0</v>
      </c>
      <c r="M294" s="144"/>
      <c r="N294" s="145" t="str">
        <f>N185</f>
        <v xml:space="preserve"> </v>
      </c>
      <c r="O294" s="240" t="s">
        <v>107</v>
      </c>
      <c r="P294" s="144">
        <f t="shared" si="94"/>
        <v>0</v>
      </c>
      <c r="Q294" s="144"/>
      <c r="R294" s="145" t="str">
        <f>R185</f>
        <v xml:space="preserve"> </v>
      </c>
      <c r="S294" s="240" t="s">
        <v>107</v>
      </c>
      <c r="T294" s="144">
        <f t="shared" si="95"/>
        <v>0</v>
      </c>
      <c r="U294" s="144"/>
      <c r="V294" s="145">
        <f>V185</f>
        <v>0</v>
      </c>
      <c r="W294" s="240" t="s">
        <v>107</v>
      </c>
      <c r="X294" s="144">
        <f t="shared" si="96"/>
        <v>0</v>
      </c>
      <c r="Z294" s="132"/>
      <c r="AC294" s="148"/>
      <c r="AD294" s="148"/>
      <c r="AI294" s="143"/>
      <c r="AJ294" s="143"/>
      <c r="AK294" s="143"/>
      <c r="AL294" s="143"/>
      <c r="AM294" s="143"/>
      <c r="AN294" s="143"/>
      <c r="AO294" s="143"/>
      <c r="AP294" s="143"/>
      <c r="AQ294" s="143"/>
      <c r="AR294" s="143"/>
      <c r="AS294" s="143"/>
      <c r="AU294" s="147"/>
    </row>
    <row r="295" spans="1:47" hidden="1">
      <c r="A295" s="244" t="s">
        <v>159</v>
      </c>
      <c r="B295" s="189"/>
      <c r="C295" s="227"/>
      <c r="D295" s="245">
        <v>-0.01</v>
      </c>
      <c r="E295" s="229"/>
      <c r="F295" s="131"/>
      <c r="G295" s="245">
        <v>-0.01</v>
      </c>
      <c r="H295" s="231"/>
      <c r="I295" s="131"/>
      <c r="J295" s="245">
        <v>-0.01</v>
      </c>
      <c r="K295" s="231"/>
      <c r="L295" s="131"/>
      <c r="M295" s="131"/>
      <c r="N295" s="245">
        <v>-0.01</v>
      </c>
      <c r="O295" s="231"/>
      <c r="P295" s="131"/>
      <c r="Q295" s="131"/>
      <c r="R295" s="245">
        <v>-0.01</v>
      </c>
      <c r="S295" s="231"/>
      <c r="T295" s="131"/>
      <c r="U295" s="131"/>
      <c r="V295" s="245">
        <v>-0.01</v>
      </c>
      <c r="W295" s="231"/>
      <c r="X295" s="131"/>
      <c r="Y295" s="53"/>
      <c r="Z295" s="110"/>
      <c r="AA295" s="110"/>
      <c r="AB295" s="110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U295" s="135"/>
    </row>
    <row r="296" spans="1:47" hidden="1">
      <c r="A296" s="169" t="s">
        <v>143</v>
      </c>
      <c r="B296" s="169"/>
      <c r="C296" s="227">
        <v>71.966666666666697</v>
      </c>
      <c r="D296" s="247">
        <v>8.7100000000000009</v>
      </c>
      <c r="E296" s="229"/>
      <c r="F296" s="131">
        <f>-ROUND(D296*$C296/100,0)</f>
        <v>-6</v>
      </c>
      <c r="G296" s="247">
        <v>8.7100000000000009</v>
      </c>
      <c r="H296" s="229"/>
      <c r="I296" s="131">
        <f>-ROUND(G296*$C296/100,0)</f>
        <v>-6</v>
      </c>
      <c r="J296" s="247">
        <f>J283</f>
        <v>9.6</v>
      </c>
      <c r="K296" s="229"/>
      <c r="L296" s="131">
        <f>-ROUND(J296*$C296/100,0)</f>
        <v>-7</v>
      </c>
      <c r="M296" s="131"/>
      <c r="N296" s="247">
        <f>N283</f>
        <v>9.6</v>
      </c>
      <c r="O296" s="229"/>
      <c r="P296" s="131">
        <f>-ROUND(N296*$C296/100,0)</f>
        <v>-7</v>
      </c>
      <c r="Q296" s="131"/>
      <c r="R296" s="247" t="str">
        <f>R283</f>
        <v xml:space="preserve"> </v>
      </c>
      <c r="S296" s="229"/>
      <c r="T296" s="131">
        <f>-ROUND(R296*$C296/100,0)</f>
        <v>0</v>
      </c>
      <c r="U296" s="131"/>
      <c r="V296" s="247" t="str">
        <f>V283</f>
        <v xml:space="preserve"> </v>
      </c>
      <c r="W296" s="229"/>
      <c r="X296" s="131">
        <f>-ROUND(V296*$C296/100,0)</f>
        <v>0</v>
      </c>
      <c r="Y296" s="53"/>
      <c r="Z296" s="110"/>
      <c r="AA296" s="110"/>
      <c r="AB296" s="110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U296" s="135"/>
    </row>
    <row r="297" spans="1:47" hidden="1">
      <c r="A297" s="169" t="s">
        <v>144</v>
      </c>
      <c r="B297" s="169"/>
      <c r="C297" s="227">
        <v>27</v>
      </c>
      <c r="D297" s="247">
        <v>12.98</v>
      </c>
      <c r="E297" s="229"/>
      <c r="F297" s="131">
        <f>-ROUND(D297*$C297/100,0)</f>
        <v>-4</v>
      </c>
      <c r="G297" s="247">
        <v>12.98</v>
      </c>
      <c r="H297" s="229"/>
      <c r="I297" s="131">
        <f t="shared" ref="I297:I299" si="97">-ROUND(G297*$C297/100,0)</f>
        <v>-4</v>
      </c>
      <c r="J297" s="247">
        <f>J284</f>
        <v>14.3</v>
      </c>
      <c r="K297" s="229"/>
      <c r="L297" s="131">
        <f>-ROUND(J297*$C297/100,0)</f>
        <v>-4</v>
      </c>
      <c r="M297" s="131"/>
      <c r="N297" s="247">
        <f>N284</f>
        <v>14.3</v>
      </c>
      <c r="O297" s="229"/>
      <c r="P297" s="131">
        <f>-ROUND(N297*$C297/100,0)</f>
        <v>-4</v>
      </c>
      <c r="Q297" s="131"/>
      <c r="R297" s="247" t="str">
        <f>R284</f>
        <v xml:space="preserve"> </v>
      </c>
      <c r="S297" s="229"/>
      <c r="T297" s="131">
        <f>-ROUND(R297*$C297/100,0)</f>
        <v>0</v>
      </c>
      <c r="U297" s="131"/>
      <c r="V297" s="247" t="str">
        <f>V284</f>
        <v xml:space="preserve"> </v>
      </c>
      <c r="W297" s="229"/>
      <c r="X297" s="131">
        <f>-ROUND(V297*$C297/100,0)</f>
        <v>0</v>
      </c>
      <c r="Y297" s="53"/>
      <c r="Z297" s="110"/>
      <c r="AA297" s="110"/>
      <c r="AB297" s="110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U297" s="135"/>
    </row>
    <row r="298" spans="1:47" hidden="1">
      <c r="A298" s="169" t="s">
        <v>160</v>
      </c>
      <c r="B298" s="169"/>
      <c r="C298" s="227">
        <v>936</v>
      </c>
      <c r="D298" s="247">
        <v>0.92</v>
      </c>
      <c r="E298" s="229"/>
      <c r="F298" s="131">
        <f>-ROUND(D298*$C298/100,0)</f>
        <v>-9</v>
      </c>
      <c r="G298" s="247">
        <v>0.92</v>
      </c>
      <c r="H298" s="229"/>
      <c r="I298" s="131">
        <f t="shared" si="97"/>
        <v>-9</v>
      </c>
      <c r="J298" s="247">
        <f>J285</f>
        <v>1</v>
      </c>
      <c r="K298" s="229"/>
      <c r="L298" s="131">
        <f>-ROUND(J298*$C298/100,0)</f>
        <v>-9</v>
      </c>
      <c r="M298" s="131"/>
      <c r="N298" s="247">
        <f>N285</f>
        <v>1</v>
      </c>
      <c r="O298" s="229"/>
      <c r="P298" s="131">
        <f>-ROUND(N298*$C298/100,0)</f>
        <v>-9</v>
      </c>
      <c r="Q298" s="131"/>
      <c r="R298" s="247" t="str">
        <f>R285</f>
        <v xml:space="preserve"> </v>
      </c>
      <c r="S298" s="229"/>
      <c r="T298" s="131">
        <f>-ROUND(R298*$C298/100,0)</f>
        <v>0</v>
      </c>
      <c r="U298" s="131"/>
      <c r="V298" s="247" t="str">
        <f>V285</f>
        <v xml:space="preserve"> </v>
      </c>
      <c r="W298" s="229"/>
      <c r="X298" s="131">
        <f>-ROUND(V298*$C298/100,0)</f>
        <v>0</v>
      </c>
      <c r="Y298" s="53"/>
      <c r="Z298" s="110"/>
      <c r="AA298" s="110"/>
      <c r="AB298" s="110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U298" s="135"/>
    </row>
    <row r="299" spans="1:47" hidden="1">
      <c r="A299" s="169" t="s">
        <v>168</v>
      </c>
      <c r="B299" s="169"/>
      <c r="C299" s="227">
        <v>767</v>
      </c>
      <c r="D299" s="247">
        <v>3.4</v>
      </c>
      <c r="E299" s="231"/>
      <c r="F299" s="131">
        <f>-ROUND(D299*$C299/100,0)</f>
        <v>-26</v>
      </c>
      <c r="G299" s="247">
        <v>3.61</v>
      </c>
      <c r="H299" s="231"/>
      <c r="I299" s="131">
        <f t="shared" si="97"/>
        <v>-28</v>
      </c>
      <c r="J299" s="247">
        <f>J287</f>
        <v>3.64</v>
      </c>
      <c r="K299" s="231"/>
      <c r="L299" s="131">
        <f>-ROUND(J299*$C299/100,0)</f>
        <v>-28</v>
      </c>
      <c r="M299" s="131"/>
      <c r="N299" s="247">
        <f>N287</f>
        <v>0.48</v>
      </c>
      <c r="O299" s="231"/>
      <c r="P299" s="131">
        <f>-ROUND(N299*$C299/100,0)</f>
        <v>-4</v>
      </c>
      <c r="Q299" s="131"/>
      <c r="R299" s="247">
        <f>R287</f>
        <v>0.63</v>
      </c>
      <c r="S299" s="231"/>
      <c r="T299" s="131">
        <f>-ROUND(R299*$C299/100,0)</f>
        <v>-5</v>
      </c>
      <c r="U299" s="131"/>
      <c r="V299" s="247">
        <f>V287</f>
        <v>2.54</v>
      </c>
      <c r="W299" s="231"/>
      <c r="X299" s="131">
        <f>-ROUND(V299*$C299/100,0)</f>
        <v>-19</v>
      </c>
      <c r="Y299" s="53"/>
      <c r="Z299" s="110"/>
      <c r="AA299" s="110"/>
      <c r="AB299" s="110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U299" s="135"/>
    </row>
    <row r="300" spans="1:47" hidden="1">
      <c r="A300" s="169" t="s">
        <v>162</v>
      </c>
      <c r="B300" s="169"/>
      <c r="C300" s="227">
        <v>88042.333333333299</v>
      </c>
      <c r="D300" s="248">
        <v>9.766</v>
      </c>
      <c r="E300" s="231" t="s">
        <v>107</v>
      </c>
      <c r="F300" s="131">
        <f>ROUND(D300*$C300/100*D295,0)</f>
        <v>-86</v>
      </c>
      <c r="G300" s="248">
        <v>10.359</v>
      </c>
      <c r="H300" s="231" t="s">
        <v>107</v>
      </c>
      <c r="I300" s="131">
        <f>ROUND(G300*$C300/100*G295,0)</f>
        <v>-91</v>
      </c>
      <c r="J300" s="248">
        <f>J288</f>
        <v>10.449</v>
      </c>
      <c r="K300" s="231" t="s">
        <v>107</v>
      </c>
      <c r="L300" s="131">
        <f>ROUND(J300*$C300/100*J295,0)</f>
        <v>-92</v>
      </c>
      <c r="M300" s="131"/>
      <c r="N300" s="248">
        <f>N288</f>
        <v>1.3644187751662151</v>
      </c>
      <c r="O300" s="231" t="s">
        <v>107</v>
      </c>
      <c r="P300" s="131">
        <f>ROUND(N300*$C300/100*N295,0)</f>
        <v>-12</v>
      </c>
      <c r="Q300" s="131"/>
      <c r="R300" s="248">
        <f>R288</f>
        <v>1.7973223544650079</v>
      </c>
      <c r="S300" s="231" t="s">
        <v>107</v>
      </c>
      <c r="T300" s="131">
        <f>ROUND(R300*$C300/100*R295,0)</f>
        <v>-16</v>
      </c>
      <c r="U300" s="131"/>
      <c r="V300" s="248">
        <f>V288</f>
        <v>7.2874254450520697</v>
      </c>
      <c r="W300" s="231" t="s">
        <v>107</v>
      </c>
      <c r="X300" s="131">
        <f>ROUND(V300*$C300/100*V295,0)</f>
        <v>-64</v>
      </c>
      <c r="Y300" s="53"/>
      <c r="Z300" s="110"/>
      <c r="AA300" s="110"/>
      <c r="AB300" s="110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U300" s="135"/>
    </row>
    <row r="301" spans="1:47" hidden="1">
      <c r="A301" s="169" t="s">
        <v>150</v>
      </c>
      <c r="B301" s="169"/>
      <c r="C301" s="227">
        <v>435023.66666666698</v>
      </c>
      <c r="D301" s="248">
        <v>6.7460000000000004</v>
      </c>
      <c r="E301" s="231" t="s">
        <v>107</v>
      </c>
      <c r="F301" s="131">
        <f>ROUND(D301*$C301/100*D295,0)</f>
        <v>-293</v>
      </c>
      <c r="G301" s="248">
        <v>7.1559999999999997</v>
      </c>
      <c r="H301" s="231" t="s">
        <v>107</v>
      </c>
      <c r="I301" s="131">
        <f>ROUND(G301*$C301/100*G295,0)</f>
        <v>-311</v>
      </c>
      <c r="J301" s="248">
        <f>J289</f>
        <v>7.218</v>
      </c>
      <c r="K301" s="231" t="s">
        <v>107</v>
      </c>
      <c r="L301" s="131">
        <f>ROUND(J301*$C301/100*J295,0)</f>
        <v>-314</v>
      </c>
      <c r="M301" s="131"/>
      <c r="N301" s="248">
        <f>N289</f>
        <v>0.94251839115112013</v>
      </c>
      <c r="O301" s="231" t="s">
        <v>107</v>
      </c>
      <c r="P301" s="131">
        <f>ROUND(N301*$C301/100*N295,0)</f>
        <v>-41</v>
      </c>
      <c r="Q301" s="131"/>
      <c r="R301" s="248">
        <f>R289</f>
        <v>1.2418703884281421</v>
      </c>
      <c r="S301" s="231" t="s">
        <v>107</v>
      </c>
      <c r="T301" s="131">
        <f>ROUND(R301*$C301/100*R295,0)</f>
        <v>-54</v>
      </c>
      <c r="U301" s="131"/>
      <c r="V301" s="248">
        <f>V289</f>
        <v>5.0333446832527242</v>
      </c>
      <c r="W301" s="231" t="s">
        <v>107</v>
      </c>
      <c r="X301" s="131">
        <f>ROUND(V301*$C301/100*V295,0)</f>
        <v>-219</v>
      </c>
      <c r="Y301" s="53"/>
      <c r="Z301" s="110"/>
      <c r="AA301" s="110"/>
      <c r="AB301" s="110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U301" s="135"/>
    </row>
    <row r="302" spans="1:47" hidden="1">
      <c r="A302" s="169" t="s">
        <v>151</v>
      </c>
      <c r="B302" s="169"/>
      <c r="C302" s="227">
        <v>108979.99999999972</v>
      </c>
      <c r="D302" s="248">
        <v>5.8120000000000003</v>
      </c>
      <c r="E302" s="231" t="s">
        <v>107</v>
      </c>
      <c r="F302" s="131">
        <f>ROUND(D302*$C302/100*D295,0)</f>
        <v>-63</v>
      </c>
      <c r="G302" s="248">
        <v>6.1660000000000004</v>
      </c>
      <c r="H302" s="231" t="s">
        <v>107</v>
      </c>
      <c r="I302" s="131">
        <f>ROUND(G302*$C302/100*G295,0)</f>
        <v>-67</v>
      </c>
      <c r="J302" s="248">
        <f>J290</f>
        <v>6.218</v>
      </c>
      <c r="K302" s="231" t="s">
        <v>107</v>
      </c>
      <c r="L302" s="131">
        <f>ROUND(J302*$C302/100*J295,0)</f>
        <v>-68</v>
      </c>
      <c r="M302" s="131"/>
      <c r="N302" s="248">
        <f>N290</f>
        <v>0.81193939748297494</v>
      </c>
      <c r="O302" s="231" t="s">
        <v>107</v>
      </c>
      <c r="P302" s="131">
        <f>ROUND(N302*$C302/100*N295,0)</f>
        <v>-9</v>
      </c>
      <c r="Q302" s="131"/>
      <c r="R302" s="248">
        <f>R290</f>
        <v>1.0689569190308457</v>
      </c>
      <c r="S302" s="231" t="s">
        <v>107</v>
      </c>
      <c r="T302" s="131">
        <f>ROUND(R302*$C302/100*R295,0)</f>
        <v>-12</v>
      </c>
      <c r="U302" s="131"/>
      <c r="V302" s="248">
        <f>V290</f>
        <v>4.3370117827017491</v>
      </c>
      <c r="W302" s="231" t="s">
        <v>107</v>
      </c>
      <c r="X302" s="131">
        <f>ROUND(V302*$C302/100*V295,0)</f>
        <v>-47</v>
      </c>
      <c r="Y302" s="53"/>
      <c r="Z302" s="110"/>
      <c r="AA302" s="110"/>
      <c r="AB302" s="110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U302" s="135"/>
    </row>
    <row r="303" spans="1:47" hidden="1">
      <c r="A303" s="169" t="s">
        <v>152</v>
      </c>
      <c r="B303" s="169"/>
      <c r="C303" s="227">
        <v>1148.3</v>
      </c>
      <c r="D303" s="249">
        <v>56</v>
      </c>
      <c r="E303" s="231" t="s">
        <v>107</v>
      </c>
      <c r="F303" s="131">
        <f>ROUND(D303*$C303/100*D295,0)</f>
        <v>-6</v>
      </c>
      <c r="G303" s="249">
        <v>56</v>
      </c>
      <c r="H303" s="231" t="s">
        <v>107</v>
      </c>
      <c r="I303" s="131">
        <f>ROUND(G303*$C303/100*G295,0)</f>
        <v>-6</v>
      </c>
      <c r="J303" s="249">
        <f>J291</f>
        <v>56</v>
      </c>
      <c r="K303" s="231" t="s">
        <v>107</v>
      </c>
      <c r="L303" s="131">
        <f>ROUND(J303*$C303/100*J295,0)</f>
        <v>-6</v>
      </c>
      <c r="M303" s="131"/>
      <c r="N303" s="249" t="str">
        <f>N291</f>
        <v xml:space="preserve"> </v>
      </c>
      <c r="O303" s="231" t="s">
        <v>107</v>
      </c>
      <c r="P303" s="131">
        <f>ROUND(N303*$C303/100*N295,0)</f>
        <v>0</v>
      </c>
      <c r="Q303" s="131"/>
      <c r="R303" s="249">
        <f>R291</f>
        <v>11</v>
      </c>
      <c r="S303" s="231" t="s">
        <v>107</v>
      </c>
      <c r="T303" s="131">
        <f>ROUND(R303*$C303/100*R295,0)</f>
        <v>-1</v>
      </c>
      <c r="U303" s="131"/>
      <c r="V303" s="249">
        <f>V291</f>
        <v>45</v>
      </c>
      <c r="W303" s="231" t="s">
        <v>107</v>
      </c>
      <c r="X303" s="131">
        <f>ROUND(V303*$C303/100*V295,0)</f>
        <v>-5</v>
      </c>
      <c r="Y303" s="53"/>
      <c r="Z303" s="110"/>
      <c r="AA303" s="110"/>
      <c r="AB303" s="110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U303" s="135"/>
    </row>
    <row r="304" spans="1:47" hidden="1">
      <c r="A304" s="169" t="s">
        <v>163</v>
      </c>
      <c r="B304" s="169"/>
      <c r="C304" s="227">
        <v>120.8666666666667</v>
      </c>
      <c r="D304" s="250">
        <v>60</v>
      </c>
      <c r="E304" s="229"/>
      <c r="F304" s="131">
        <f>ROUND(D304*$C304,0)</f>
        <v>7252</v>
      </c>
      <c r="G304" s="250">
        <v>60</v>
      </c>
      <c r="H304" s="231"/>
      <c r="I304" s="131">
        <f>ROUND(G304*C304,0)</f>
        <v>7252</v>
      </c>
      <c r="J304" s="250">
        <f>$J$198</f>
        <v>60</v>
      </c>
      <c r="K304" s="231"/>
      <c r="L304" s="131">
        <f>ROUND(J304*$C304,0)</f>
        <v>7252</v>
      </c>
      <c r="M304" s="131"/>
      <c r="N304" s="250" t="str">
        <f>$N$198</f>
        <v xml:space="preserve"> </v>
      </c>
      <c r="O304" s="231"/>
      <c r="P304" s="131">
        <f>ROUND(N304*$C304,0)</f>
        <v>0</v>
      </c>
      <c r="Q304" s="131"/>
      <c r="R304" s="250">
        <f>$R$198</f>
        <v>11.86</v>
      </c>
      <c r="S304" s="231"/>
      <c r="T304" s="131">
        <f>ROUND(R304*$C304,0)</f>
        <v>1433</v>
      </c>
      <c r="U304" s="131"/>
      <c r="V304" s="250">
        <f>$V$198</f>
        <v>48.14</v>
      </c>
      <c r="W304" s="231"/>
      <c r="X304" s="131">
        <f>ROUND(V304*$C304,0)</f>
        <v>5819</v>
      </c>
      <c r="Y304" s="53"/>
      <c r="Z304" s="110"/>
      <c r="AA304" s="110"/>
      <c r="AB304" s="110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U304" s="135"/>
    </row>
    <row r="305" spans="1:47" hidden="1">
      <c r="A305" s="169" t="s">
        <v>164</v>
      </c>
      <c r="B305" s="169"/>
      <c r="C305" s="227">
        <v>936</v>
      </c>
      <c r="D305" s="251">
        <v>-30</v>
      </c>
      <c r="E305" s="229" t="s">
        <v>107</v>
      </c>
      <c r="F305" s="131">
        <f>ROUND(D305*$C305/100,0)</f>
        <v>-281</v>
      </c>
      <c r="G305" s="251">
        <v>-30</v>
      </c>
      <c r="H305" s="231" t="s">
        <v>107</v>
      </c>
      <c r="I305" s="131">
        <f>ROUND(G305*C305/100,0)</f>
        <v>-281</v>
      </c>
      <c r="J305" s="251">
        <f>$J$199</f>
        <v>-30</v>
      </c>
      <c r="K305" s="231" t="s">
        <v>107</v>
      </c>
      <c r="L305" s="131">
        <f>ROUND(J305*$C305/100,0)</f>
        <v>-281</v>
      </c>
      <c r="M305" s="131"/>
      <c r="N305" s="251">
        <f>$N$199</f>
        <v>-30</v>
      </c>
      <c r="O305" s="231" t="s">
        <v>107</v>
      </c>
      <c r="P305" s="131">
        <f>ROUND(N305*$C305/100,0)</f>
        <v>-281</v>
      </c>
      <c r="Q305" s="131"/>
      <c r="R305" s="251" t="str">
        <f>$R$199</f>
        <v xml:space="preserve"> </v>
      </c>
      <c r="S305" s="231" t="s">
        <v>107</v>
      </c>
      <c r="T305" s="131">
        <f>ROUND(R305*$C305/100,0)</f>
        <v>0</v>
      </c>
      <c r="U305" s="131"/>
      <c r="V305" s="251" t="str">
        <f>$V$199</f>
        <v xml:space="preserve"> </v>
      </c>
      <c r="W305" s="231" t="s">
        <v>107</v>
      </c>
      <c r="X305" s="131">
        <f>ROUND(V305*$C305/100,0)</f>
        <v>0</v>
      </c>
      <c r="Y305" s="53"/>
      <c r="Z305" s="110"/>
      <c r="AA305" s="110"/>
      <c r="AB305" s="110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U305" s="135"/>
    </row>
    <row r="306" spans="1:47" s="141" customFormat="1" hidden="1">
      <c r="A306" s="140" t="s">
        <v>153</v>
      </c>
      <c r="C306" s="142">
        <f>C300</f>
        <v>88042.333333333299</v>
      </c>
      <c r="D306" s="138"/>
      <c r="E306" s="143"/>
      <c r="F306" s="144"/>
      <c r="G306" s="138"/>
      <c r="H306" s="143"/>
      <c r="I306" s="144"/>
      <c r="J306" s="145">
        <f>J183</f>
        <v>0</v>
      </c>
      <c r="K306" s="240" t="s">
        <v>107</v>
      </c>
      <c r="L306" s="144">
        <f>ROUND(J306*$C306/100*J295,0)</f>
        <v>0</v>
      </c>
      <c r="M306" s="144"/>
      <c r="N306" s="145" t="str">
        <f>N183</f>
        <v xml:space="preserve"> </v>
      </c>
      <c r="O306" s="240" t="s">
        <v>107</v>
      </c>
      <c r="P306" s="144">
        <f>ROUND(N306*$C306/100*N295,0)</f>
        <v>0</v>
      </c>
      <c r="Q306" s="144"/>
      <c r="R306" s="145" t="str">
        <f>R183</f>
        <v xml:space="preserve"> </v>
      </c>
      <c r="S306" s="240" t="s">
        <v>107</v>
      </c>
      <c r="T306" s="144">
        <f>ROUND(R306*$C306/100*R295,0)</f>
        <v>0</v>
      </c>
      <c r="U306" s="144"/>
      <c r="V306" s="145">
        <f>V183</f>
        <v>0</v>
      </c>
      <c r="W306" s="240" t="s">
        <v>107</v>
      </c>
      <c r="X306" s="144">
        <f>ROUND(V306*$C306/100*V295,0)</f>
        <v>0</v>
      </c>
      <c r="Z306" s="132"/>
      <c r="AC306" s="148"/>
      <c r="AD306" s="148"/>
      <c r="AI306" s="143"/>
      <c r="AJ306" s="143"/>
      <c r="AK306" s="143"/>
      <c r="AL306" s="143"/>
      <c r="AM306" s="143"/>
      <c r="AN306" s="143"/>
      <c r="AO306" s="143"/>
      <c r="AP306" s="143"/>
      <c r="AQ306" s="143"/>
      <c r="AR306" s="143"/>
      <c r="AS306" s="143"/>
      <c r="AU306" s="147"/>
    </row>
    <row r="307" spans="1:47" s="141" customFormat="1" hidden="1">
      <c r="A307" s="140" t="s">
        <v>154</v>
      </c>
      <c r="C307" s="142">
        <f>C301</f>
        <v>435023.66666666698</v>
      </c>
      <c r="D307" s="138"/>
      <c r="E307" s="143"/>
      <c r="F307" s="144"/>
      <c r="G307" s="138"/>
      <c r="H307" s="143"/>
      <c r="I307" s="144"/>
      <c r="J307" s="145">
        <f>J184</f>
        <v>0</v>
      </c>
      <c r="K307" s="240" t="s">
        <v>107</v>
      </c>
      <c r="L307" s="144">
        <f>ROUND(J307*$C307/100*J295,0)</f>
        <v>0</v>
      </c>
      <c r="M307" s="144"/>
      <c r="N307" s="145" t="str">
        <f>N184</f>
        <v xml:space="preserve"> </v>
      </c>
      <c r="O307" s="240" t="s">
        <v>107</v>
      </c>
      <c r="P307" s="144">
        <f>ROUND(N307*$C307/100*N295,0)</f>
        <v>0</v>
      </c>
      <c r="Q307" s="144"/>
      <c r="R307" s="145" t="str">
        <f>R184</f>
        <v xml:space="preserve"> </v>
      </c>
      <c r="S307" s="240" t="s">
        <v>107</v>
      </c>
      <c r="T307" s="144">
        <f>ROUND(R307*$C307/100*R295,0)</f>
        <v>0</v>
      </c>
      <c r="U307" s="144"/>
      <c r="V307" s="145">
        <f>V184</f>
        <v>0</v>
      </c>
      <c r="W307" s="240" t="s">
        <v>107</v>
      </c>
      <c r="X307" s="144">
        <f>ROUND(V307*$C307/100*V295,0)</f>
        <v>0</v>
      </c>
      <c r="Z307" s="132"/>
      <c r="AC307" s="148"/>
      <c r="AD307" s="148"/>
      <c r="AI307" s="143"/>
      <c r="AJ307" s="143"/>
      <c r="AK307" s="143"/>
      <c r="AL307" s="143"/>
      <c r="AM307" s="143"/>
      <c r="AN307" s="143"/>
      <c r="AO307" s="143"/>
      <c r="AP307" s="143"/>
      <c r="AQ307" s="143"/>
      <c r="AR307" s="143"/>
      <c r="AS307" s="143"/>
      <c r="AU307" s="147"/>
    </row>
    <row r="308" spans="1:47" s="141" customFormat="1" hidden="1">
      <c r="A308" s="140" t="s">
        <v>155</v>
      </c>
      <c r="C308" s="142">
        <f>C302</f>
        <v>108979.99999999972</v>
      </c>
      <c r="D308" s="138"/>
      <c r="E308" s="143"/>
      <c r="F308" s="144"/>
      <c r="G308" s="138"/>
      <c r="H308" s="143"/>
      <c r="I308" s="144"/>
      <c r="J308" s="145">
        <f>J185</f>
        <v>0</v>
      </c>
      <c r="K308" s="240" t="s">
        <v>107</v>
      </c>
      <c r="L308" s="144">
        <f>ROUND(J308*$C308/100*J295,0)</f>
        <v>0</v>
      </c>
      <c r="M308" s="144"/>
      <c r="N308" s="145" t="str">
        <f>N185</f>
        <v xml:space="preserve"> </v>
      </c>
      <c r="O308" s="240" t="s">
        <v>107</v>
      </c>
      <c r="P308" s="144">
        <f>ROUND(N308*$C308/100*N297*N295,0)</f>
        <v>0</v>
      </c>
      <c r="Q308" s="144"/>
      <c r="R308" s="145" t="str">
        <f>R185</f>
        <v xml:space="preserve"> </v>
      </c>
      <c r="S308" s="240" t="s">
        <v>107</v>
      </c>
      <c r="T308" s="144">
        <f>ROUND(R308*$C308/100*R297*R295,0)</f>
        <v>0</v>
      </c>
      <c r="U308" s="144"/>
      <c r="V308" s="145">
        <f>V185</f>
        <v>0</v>
      </c>
      <c r="W308" s="240" t="s">
        <v>107</v>
      </c>
      <c r="X308" s="144">
        <f>ROUND(V308*$C308/100*V295,0)</f>
        <v>0</v>
      </c>
      <c r="Z308" s="132"/>
      <c r="AC308" s="148"/>
      <c r="AD308" s="148"/>
      <c r="AI308" s="143"/>
      <c r="AJ308" s="143"/>
      <c r="AK308" s="143"/>
      <c r="AL308" s="143"/>
      <c r="AM308" s="143"/>
      <c r="AN308" s="143"/>
      <c r="AO308" s="143"/>
      <c r="AP308" s="143"/>
      <c r="AQ308" s="143"/>
      <c r="AR308" s="143"/>
      <c r="AS308" s="143"/>
      <c r="AU308" s="147"/>
    </row>
    <row r="309" spans="1:47" hidden="1">
      <c r="A309" s="169" t="s">
        <v>133</v>
      </c>
      <c r="B309" s="212"/>
      <c r="C309" s="227">
        <f>SUM(C288:C290)</f>
        <v>517531476.59549809</v>
      </c>
      <c r="D309" s="237"/>
      <c r="E309" s="131"/>
      <c r="F309" s="131">
        <f>SUM(F283:F305)</f>
        <v>43403723</v>
      </c>
      <c r="G309" s="237"/>
      <c r="H309" s="231"/>
      <c r="I309" s="131">
        <f>SUM(I283:I305)</f>
        <v>45852343</v>
      </c>
      <c r="J309" s="237"/>
      <c r="K309" s="231"/>
      <c r="L309" s="131">
        <f>SUM(L283:L308)</f>
        <v>46519348</v>
      </c>
      <c r="M309" s="131"/>
      <c r="N309" s="237"/>
      <c r="O309" s="231"/>
      <c r="P309" s="131">
        <f>SUM(P283:P308)</f>
        <v>9023203</v>
      </c>
      <c r="Q309" s="131"/>
      <c r="R309" s="237"/>
      <c r="S309" s="231"/>
      <c r="T309" s="131">
        <f>SUM(T283:T308)</f>
        <v>7422294</v>
      </c>
      <c r="U309" s="131"/>
      <c r="V309" s="237"/>
      <c r="W309" s="231"/>
      <c r="X309" s="131">
        <f>SUM(X283:X308)</f>
        <v>30081241</v>
      </c>
      <c r="Y309" s="166"/>
      <c r="Z309" s="110"/>
      <c r="AA309" s="110"/>
      <c r="AB309" s="110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U309" s="135"/>
    </row>
    <row r="310" spans="1:47" hidden="1">
      <c r="A310" s="169" t="s">
        <v>111</v>
      </c>
      <c r="B310" s="169"/>
      <c r="C310" s="275">
        <v>-1485757.4271905404</v>
      </c>
      <c r="D310" s="154"/>
      <c r="E310" s="154"/>
      <c r="F310" s="254">
        <f>I310</f>
        <v>-108790.9692585204</v>
      </c>
      <c r="G310" s="154"/>
      <c r="H310" s="154"/>
      <c r="I310" s="254">
        <v>-108790.9692585204</v>
      </c>
      <c r="J310" s="154"/>
      <c r="K310" s="154"/>
      <c r="L310" s="254">
        <f>I310</f>
        <v>-108790.9692585204</v>
      </c>
      <c r="M310" s="230"/>
      <c r="N310" s="154"/>
      <c r="O310" s="154"/>
      <c r="P310" s="254">
        <f>P204/L204*L310</f>
        <v>-21446.11636590257</v>
      </c>
      <c r="Q310" s="230"/>
      <c r="R310" s="154"/>
      <c r="S310" s="154"/>
      <c r="T310" s="254">
        <f>T204/L204*L310</f>
        <v>-17270.956388497925</v>
      </c>
      <c r="U310" s="230"/>
      <c r="V310" s="154"/>
      <c r="W310" s="154"/>
      <c r="X310" s="254">
        <f>X204/L204*L310</f>
        <v>-70073.896504119897</v>
      </c>
      <c r="Y310" s="185"/>
      <c r="Z310" s="183"/>
      <c r="AA310" s="110"/>
      <c r="AB310" s="110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U310" s="135"/>
    </row>
    <row r="311" spans="1:47" ht="16.5" hidden="1" thickBot="1">
      <c r="A311" s="169" t="s">
        <v>134</v>
      </c>
      <c r="B311" s="169"/>
      <c r="C311" s="214">
        <f>SUM(C309:C310)</f>
        <v>516045719.16830754</v>
      </c>
      <c r="D311" s="272"/>
      <c r="E311" s="256"/>
      <c r="F311" s="257">
        <f>F309+F310</f>
        <v>43294932.030741483</v>
      </c>
      <c r="G311" s="272"/>
      <c r="H311" s="258"/>
      <c r="I311" s="257">
        <f>I309+I310</f>
        <v>45743552.030741483</v>
      </c>
      <c r="J311" s="272"/>
      <c r="K311" s="258"/>
      <c r="L311" s="257">
        <f>L309+L310</f>
        <v>46410557.030741483</v>
      </c>
      <c r="M311" s="257"/>
      <c r="N311" s="272"/>
      <c r="O311" s="258"/>
      <c r="P311" s="257">
        <f>P309+P310</f>
        <v>9001756.8836340979</v>
      </c>
      <c r="Q311" s="257"/>
      <c r="R311" s="272"/>
      <c r="S311" s="258"/>
      <c r="T311" s="257">
        <f>T309+T310</f>
        <v>7405023.0436115023</v>
      </c>
      <c r="U311" s="257"/>
      <c r="V311" s="272"/>
      <c r="W311" s="258"/>
      <c r="X311" s="257">
        <f>X309+X310</f>
        <v>30011167.103495881</v>
      </c>
      <c r="Y311" s="186"/>
      <c r="Z311" s="187"/>
      <c r="AA311" s="110"/>
      <c r="AB311" s="110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U311" s="135"/>
    </row>
    <row r="312" spans="1:47" hidden="1">
      <c r="A312" s="169"/>
      <c r="B312" s="169"/>
      <c r="C312" s="189"/>
      <c r="D312" s="250"/>
      <c r="E312" s="131"/>
      <c r="F312" s="131"/>
      <c r="G312" s="250"/>
      <c r="H312" s="169"/>
      <c r="I312" s="131"/>
      <c r="J312" s="250"/>
      <c r="K312" s="169"/>
      <c r="L312" s="131" t="s">
        <v>0</v>
      </c>
      <c r="M312" s="131"/>
      <c r="N312" s="250"/>
      <c r="O312" s="169"/>
      <c r="P312" s="131" t="s">
        <v>0</v>
      </c>
      <c r="Q312" s="131"/>
      <c r="R312" s="250"/>
      <c r="S312" s="169"/>
      <c r="T312" s="131" t="s">
        <v>0</v>
      </c>
      <c r="U312" s="131"/>
      <c r="V312" s="250"/>
      <c r="W312" s="169"/>
      <c r="X312" s="131" t="s">
        <v>0</v>
      </c>
      <c r="Y312" s="53"/>
      <c r="Z312" s="110"/>
      <c r="AA312" s="110"/>
      <c r="AB312" s="110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U312" s="135"/>
    </row>
    <row r="313" spans="1:47" hidden="1">
      <c r="A313" s="188" t="s">
        <v>140</v>
      </c>
      <c r="B313" s="169"/>
      <c r="C313" s="169"/>
      <c r="D313" s="131"/>
      <c r="E313" s="131"/>
      <c r="F313" s="169" t="s">
        <v>0</v>
      </c>
      <c r="G313" s="131"/>
      <c r="H313" s="169"/>
      <c r="I313" s="169"/>
      <c r="J313" s="131"/>
      <c r="K313" s="169"/>
      <c r="L313" s="169"/>
      <c r="M313" s="169"/>
      <c r="N313" s="131"/>
      <c r="O313" s="169"/>
      <c r="P313" s="169"/>
      <c r="Q313" s="169"/>
      <c r="R313" s="131"/>
      <c r="S313" s="169"/>
      <c r="T313" s="169"/>
      <c r="U313" s="169"/>
      <c r="V313" s="131"/>
      <c r="W313" s="169"/>
      <c r="X313" s="169"/>
      <c r="Y313" s="53"/>
      <c r="Z313" s="110"/>
      <c r="AA313" s="110"/>
      <c r="AB313" s="110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U313" s="135"/>
    </row>
    <row r="314" spans="1:47" hidden="1">
      <c r="A314" s="169" t="s">
        <v>171</v>
      </c>
      <c r="B314" s="169"/>
      <c r="C314" s="189"/>
      <c r="D314" s="131"/>
      <c r="E314" s="131"/>
      <c r="F314" s="169"/>
      <c r="G314" s="131"/>
      <c r="H314" s="169"/>
      <c r="I314" s="169"/>
      <c r="J314" s="131"/>
      <c r="K314" s="169"/>
      <c r="L314" s="169"/>
      <c r="M314" s="169"/>
      <c r="N314" s="131"/>
      <c r="O314" s="169"/>
      <c r="P314" s="169"/>
      <c r="Q314" s="169"/>
      <c r="R314" s="131"/>
      <c r="S314" s="169"/>
      <c r="T314" s="169"/>
      <c r="U314" s="169"/>
      <c r="V314" s="131"/>
      <c r="W314" s="169"/>
      <c r="X314" s="169"/>
      <c r="Y314" s="53"/>
      <c r="Z314" s="110"/>
      <c r="AA314" s="110"/>
      <c r="AB314" s="110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U314" s="135"/>
    </row>
    <row r="315" spans="1:47" hidden="1">
      <c r="A315" s="169"/>
      <c r="B315" s="169"/>
      <c r="C315" s="169"/>
      <c r="D315" s="131"/>
      <c r="E315" s="131"/>
      <c r="F315" s="169"/>
      <c r="G315" s="131"/>
      <c r="H315" s="169"/>
      <c r="I315" s="169"/>
      <c r="J315" s="131"/>
      <c r="K315" s="169"/>
      <c r="L315" s="169"/>
      <c r="M315" s="169"/>
      <c r="N315" s="131"/>
      <c r="O315" s="169"/>
      <c r="P315" s="169"/>
      <c r="Q315" s="169"/>
      <c r="R315" s="131"/>
      <c r="S315" s="169"/>
      <c r="T315" s="169"/>
      <c r="U315" s="169"/>
      <c r="V315" s="131"/>
      <c r="W315" s="169"/>
      <c r="X315" s="169"/>
      <c r="Y315" s="53"/>
      <c r="Z315" s="110"/>
      <c r="AA315" s="110"/>
      <c r="AB315" s="110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U315" s="135"/>
    </row>
    <row r="316" spans="1:47" hidden="1">
      <c r="A316" s="169" t="s">
        <v>146</v>
      </c>
      <c r="B316" s="169"/>
      <c r="C316" s="227"/>
      <c r="D316" s="131"/>
      <c r="E316" s="131"/>
      <c r="F316" s="169"/>
      <c r="G316" s="131"/>
      <c r="H316" s="169"/>
      <c r="I316" s="169"/>
      <c r="J316" s="131"/>
      <c r="K316" s="169"/>
      <c r="L316" s="169"/>
      <c r="M316" s="169"/>
      <c r="N316" s="131"/>
      <c r="O316" s="169"/>
      <c r="P316" s="169"/>
      <c r="Q316" s="169"/>
      <c r="R316" s="131"/>
      <c r="S316" s="169"/>
      <c r="T316" s="169"/>
      <c r="U316" s="169"/>
      <c r="V316" s="131"/>
      <c r="W316" s="169"/>
      <c r="X316" s="169"/>
      <c r="Y316" s="53"/>
      <c r="Z316" s="110"/>
      <c r="AA316" s="110"/>
      <c r="AB316" s="110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U316" s="135"/>
    </row>
    <row r="317" spans="1:47" hidden="1">
      <c r="A317" s="169" t="s">
        <v>143</v>
      </c>
      <c r="B317" s="169"/>
      <c r="C317" s="227">
        <v>1861.099999999997</v>
      </c>
      <c r="D317" s="193">
        <v>8.7100000000000009</v>
      </c>
      <c r="E317" s="229"/>
      <c r="F317" s="131">
        <f>ROUND(D317*$C317,0)</f>
        <v>16210</v>
      </c>
      <c r="G317" s="193">
        <v>8.7100000000000009</v>
      </c>
      <c r="H317" s="231"/>
      <c r="I317" s="131">
        <f>ROUND(G317*$C317,0)</f>
        <v>16210</v>
      </c>
      <c r="J317" s="193">
        <f>$J$173</f>
        <v>9.6</v>
      </c>
      <c r="K317" s="231"/>
      <c r="L317" s="131">
        <f>ROUND(J317*$C317,0)</f>
        <v>17867</v>
      </c>
      <c r="M317" s="131"/>
      <c r="N317" s="193">
        <f>$N$173</f>
        <v>9.6</v>
      </c>
      <c r="O317" s="231"/>
      <c r="P317" s="131">
        <f>ROUND(N317*$C317,0)</f>
        <v>17867</v>
      </c>
      <c r="Q317" s="131"/>
      <c r="R317" s="193" t="str">
        <f>$R$173</f>
        <v xml:space="preserve"> </v>
      </c>
      <c r="S317" s="231"/>
      <c r="T317" s="131">
        <f>ROUND(R317*$C317,0)</f>
        <v>0</v>
      </c>
      <c r="U317" s="131"/>
      <c r="V317" s="193" t="str">
        <f>$V$173</f>
        <v xml:space="preserve"> </v>
      </c>
      <c r="W317" s="231"/>
      <c r="X317" s="131">
        <f>ROUND(V317*$C317,0)</f>
        <v>0</v>
      </c>
      <c r="Y317" s="53"/>
      <c r="Z317" s="110"/>
      <c r="AA317" s="110"/>
      <c r="AB317" s="110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U317" s="135"/>
    </row>
    <row r="318" spans="1:47" hidden="1">
      <c r="A318" s="169" t="s">
        <v>144</v>
      </c>
      <c r="B318" s="169"/>
      <c r="C318" s="227">
        <v>2999.8999999999969</v>
      </c>
      <c r="D318" s="193">
        <v>12.98</v>
      </c>
      <c r="E318" s="232"/>
      <c r="F318" s="131">
        <f>ROUND(D318*$C318,0)</f>
        <v>38939</v>
      </c>
      <c r="G318" s="193">
        <v>12.98</v>
      </c>
      <c r="H318" s="233"/>
      <c r="I318" s="131">
        <f t="shared" ref="I318:I319" si="98">ROUND(G318*$C318,0)</f>
        <v>38939</v>
      </c>
      <c r="J318" s="193">
        <f>$J$174</f>
        <v>14.3</v>
      </c>
      <c r="K318" s="233"/>
      <c r="L318" s="131">
        <f>ROUND(J318*$C318,0)</f>
        <v>42899</v>
      </c>
      <c r="M318" s="131"/>
      <c r="N318" s="193">
        <f>$N$174</f>
        <v>14.3</v>
      </c>
      <c r="O318" s="233"/>
      <c r="P318" s="131">
        <f>ROUND(N318*$C318,0)</f>
        <v>42899</v>
      </c>
      <c r="Q318" s="131"/>
      <c r="R318" s="193" t="str">
        <f>$R$174</f>
        <v xml:space="preserve"> </v>
      </c>
      <c r="S318" s="233"/>
      <c r="T318" s="131">
        <f>ROUND(R318*$C318,0)</f>
        <v>0</v>
      </c>
      <c r="U318" s="131"/>
      <c r="V318" s="193" t="str">
        <f>$V$174</f>
        <v xml:space="preserve"> </v>
      </c>
      <c r="W318" s="233"/>
      <c r="X318" s="131">
        <f>ROUND(V318*$C318,0)</f>
        <v>0</v>
      </c>
      <c r="Y318" s="53"/>
      <c r="Z318" s="110"/>
      <c r="AA318" s="110"/>
      <c r="AB318" s="110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U318" s="135"/>
    </row>
    <row r="319" spans="1:47" hidden="1">
      <c r="A319" s="169" t="s">
        <v>145</v>
      </c>
      <c r="B319" s="169"/>
      <c r="C319" s="227">
        <v>60190</v>
      </c>
      <c r="D319" s="193">
        <v>0.92</v>
      </c>
      <c r="E319" s="232"/>
      <c r="F319" s="131">
        <f>ROUND(D319*$C319,0)</f>
        <v>55375</v>
      </c>
      <c r="G319" s="193">
        <v>0.92</v>
      </c>
      <c r="H319" s="233"/>
      <c r="I319" s="131">
        <f t="shared" si="98"/>
        <v>55375</v>
      </c>
      <c r="J319" s="193">
        <f>$J$175</f>
        <v>1</v>
      </c>
      <c r="K319" s="233"/>
      <c r="L319" s="131">
        <f>ROUND(J319*$C319,0)</f>
        <v>60190</v>
      </c>
      <c r="M319" s="131"/>
      <c r="N319" s="193">
        <f>$N$175</f>
        <v>1</v>
      </c>
      <c r="O319" s="233"/>
      <c r="P319" s="131">
        <f>ROUND(N319*$C319,0)</f>
        <v>60190</v>
      </c>
      <c r="Q319" s="131"/>
      <c r="R319" s="193" t="str">
        <f>$R$175</f>
        <v xml:space="preserve"> </v>
      </c>
      <c r="S319" s="233"/>
      <c r="T319" s="131">
        <f>ROUND(R319*$C319,0)</f>
        <v>0</v>
      </c>
      <c r="U319" s="131"/>
      <c r="V319" s="193" t="str">
        <f>$V$175</f>
        <v xml:space="preserve"> </v>
      </c>
      <c r="W319" s="233"/>
      <c r="X319" s="131">
        <f>ROUND(V319*$C319,0)</f>
        <v>0</v>
      </c>
      <c r="Y319" s="53"/>
      <c r="Z319" s="110"/>
      <c r="AA319" s="110"/>
      <c r="AB319" s="110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U319" s="135"/>
    </row>
    <row r="320" spans="1:47" hidden="1">
      <c r="A320" s="169" t="s">
        <v>147</v>
      </c>
      <c r="B320" s="169"/>
      <c r="C320" s="227">
        <f>SUM(C317:C318)</f>
        <v>4860.9999999999936</v>
      </c>
      <c r="D320" s="193"/>
      <c r="E320" s="229"/>
      <c r="F320" s="131"/>
      <c r="G320" s="193"/>
      <c r="H320" s="231"/>
      <c r="I320" s="131"/>
      <c r="J320" s="193"/>
      <c r="K320" s="231"/>
      <c r="L320" s="131"/>
      <c r="M320" s="131"/>
      <c r="N320" s="193"/>
      <c r="O320" s="231"/>
      <c r="P320" s="131"/>
      <c r="Q320" s="131"/>
      <c r="R320" s="193"/>
      <c r="S320" s="231"/>
      <c r="T320" s="131"/>
      <c r="U320" s="131"/>
      <c r="V320" s="193"/>
      <c r="W320" s="231"/>
      <c r="X320" s="131"/>
      <c r="Y320" s="53"/>
      <c r="Z320" s="110"/>
      <c r="AA320" s="110"/>
      <c r="AB320" s="110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U320" s="135"/>
    </row>
    <row r="321" spans="1:47" hidden="1">
      <c r="A321" s="169" t="s">
        <v>148</v>
      </c>
      <c r="B321" s="169"/>
      <c r="C321" s="227">
        <v>40259</v>
      </c>
      <c r="D321" s="250">
        <v>3.4</v>
      </c>
      <c r="E321" s="231"/>
      <c r="F321" s="131">
        <f>ROUND(D321*$C321,0)</f>
        <v>136881</v>
      </c>
      <c r="G321" s="250">
        <v>3.61</v>
      </c>
      <c r="H321" s="231"/>
      <c r="I321" s="131">
        <f>ROUND(G321*C321,0)</f>
        <v>145335</v>
      </c>
      <c r="J321" s="250">
        <f>$J$178</f>
        <v>3.64</v>
      </c>
      <c r="K321" s="231"/>
      <c r="L321" s="131">
        <f>ROUND(J321*$C321,0)</f>
        <v>146543</v>
      </c>
      <c r="M321" s="131"/>
      <c r="N321" s="250">
        <f>$N$178</f>
        <v>0.48</v>
      </c>
      <c r="O321" s="231"/>
      <c r="P321" s="131">
        <f>ROUND(N321*$C321,0)</f>
        <v>19324</v>
      </c>
      <c r="Q321" s="131"/>
      <c r="R321" s="250">
        <f>$R$178</f>
        <v>0.63</v>
      </c>
      <c r="S321" s="231"/>
      <c r="T321" s="131">
        <f>ROUND(R321*$C321,0)</f>
        <v>25363</v>
      </c>
      <c r="U321" s="131"/>
      <c r="V321" s="250">
        <f>$V$178</f>
        <v>2.54</v>
      </c>
      <c r="W321" s="231"/>
      <c r="X321" s="131">
        <f>ROUND(V321*$C321,0)</f>
        <v>102258</v>
      </c>
      <c r="Y321" s="53"/>
      <c r="Z321" s="110"/>
      <c r="AA321" s="110"/>
      <c r="AB321" s="110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U321" s="135"/>
    </row>
    <row r="322" spans="1:47" hidden="1">
      <c r="A322" s="169" t="s">
        <v>149</v>
      </c>
      <c r="B322" s="169"/>
      <c r="C322" s="227">
        <v>3300267</v>
      </c>
      <c r="D322" s="195">
        <v>9.766</v>
      </c>
      <c r="E322" s="231" t="s">
        <v>107</v>
      </c>
      <c r="F322" s="131">
        <f>ROUND(D322*$C322/100,0)</f>
        <v>322304</v>
      </c>
      <c r="G322" s="195">
        <v>10.359</v>
      </c>
      <c r="H322" s="231" t="s">
        <v>107</v>
      </c>
      <c r="I322" s="131">
        <f>ROUND(G322*C322/100,0)</f>
        <v>341875</v>
      </c>
      <c r="J322" s="195">
        <f>$J$179</f>
        <v>10.449</v>
      </c>
      <c r="K322" s="231" t="s">
        <v>107</v>
      </c>
      <c r="L322" s="131">
        <f>ROUND(J322*$C322/100,0)</f>
        <v>344845</v>
      </c>
      <c r="M322" s="131"/>
      <c r="N322" s="195">
        <f>$N$179</f>
        <v>1.3644187751662151</v>
      </c>
      <c r="O322" s="231" t="s">
        <v>107</v>
      </c>
      <c r="P322" s="131">
        <f>ROUND(N322*$C322/100,0)</f>
        <v>45029</v>
      </c>
      <c r="Q322" s="131"/>
      <c r="R322" s="195">
        <f>$R$179</f>
        <v>1.7973223544650079</v>
      </c>
      <c r="S322" s="231" t="s">
        <v>107</v>
      </c>
      <c r="T322" s="131">
        <f>ROUND(R322*$C322/100,0)</f>
        <v>59316</v>
      </c>
      <c r="U322" s="131"/>
      <c r="V322" s="195">
        <f>$V$179</f>
        <v>7.2874254450520697</v>
      </c>
      <c r="W322" s="231" t="s">
        <v>107</v>
      </c>
      <c r="X322" s="131">
        <f>ROUND(V322*$C322/100,0)</f>
        <v>240504</v>
      </c>
      <c r="Y322" s="53"/>
      <c r="Z322" s="110"/>
      <c r="AA322" s="110"/>
      <c r="AB322" s="110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U322" s="135"/>
    </row>
    <row r="323" spans="1:47" hidden="1">
      <c r="A323" s="169" t="s">
        <v>150</v>
      </c>
      <c r="B323" s="169"/>
      <c r="C323" s="227">
        <v>9927982.9999999963</v>
      </c>
      <c r="D323" s="195">
        <v>6.7460000000000004</v>
      </c>
      <c r="E323" s="231" t="s">
        <v>107</v>
      </c>
      <c r="F323" s="131">
        <f>ROUND(D323*$C323/100,0)</f>
        <v>669742</v>
      </c>
      <c r="G323" s="195">
        <v>7.1559999999999997</v>
      </c>
      <c r="H323" s="231" t="s">
        <v>107</v>
      </c>
      <c r="I323" s="131">
        <f t="shared" ref="I323:I325" si="99">ROUND(G323*C323/100,0)</f>
        <v>710446</v>
      </c>
      <c r="J323" s="195">
        <f>$J$180</f>
        <v>7.218</v>
      </c>
      <c r="K323" s="231" t="s">
        <v>107</v>
      </c>
      <c r="L323" s="131">
        <f>ROUND(J323*$C323/100,0)</f>
        <v>716602</v>
      </c>
      <c r="M323" s="131"/>
      <c r="N323" s="195">
        <f>$N$180</f>
        <v>0.94251839115112013</v>
      </c>
      <c r="O323" s="231" t="s">
        <v>107</v>
      </c>
      <c r="P323" s="131">
        <f>ROUND(N323*$C323/100,0)</f>
        <v>93573</v>
      </c>
      <c r="Q323" s="131"/>
      <c r="R323" s="195">
        <f>$R$180</f>
        <v>1.2418703884281421</v>
      </c>
      <c r="S323" s="231" t="s">
        <v>107</v>
      </c>
      <c r="T323" s="131">
        <f>ROUND(R323*$C323/100,0)</f>
        <v>123293</v>
      </c>
      <c r="U323" s="131"/>
      <c r="V323" s="195">
        <f>$V$180</f>
        <v>5.0333446832527242</v>
      </c>
      <c r="W323" s="231" t="s">
        <v>107</v>
      </c>
      <c r="X323" s="131">
        <f>ROUND(V323*$C323/100,0)</f>
        <v>499710</v>
      </c>
      <c r="Y323" s="53"/>
      <c r="Z323" s="110"/>
      <c r="AA323" s="110"/>
      <c r="AB323" s="110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U323" s="135"/>
    </row>
    <row r="324" spans="1:47" hidden="1">
      <c r="A324" s="169" t="s">
        <v>151</v>
      </c>
      <c r="B324" s="169"/>
      <c r="C324" s="227">
        <v>5470687.0000000037</v>
      </c>
      <c r="D324" s="195">
        <v>5.8120000000000003</v>
      </c>
      <c r="E324" s="231" t="s">
        <v>107</v>
      </c>
      <c r="F324" s="131">
        <f>ROUND(D324*$C324/100,0)</f>
        <v>317956</v>
      </c>
      <c r="G324" s="195">
        <v>6.1660000000000004</v>
      </c>
      <c r="H324" s="231" t="s">
        <v>107</v>
      </c>
      <c r="I324" s="131">
        <f t="shared" si="99"/>
        <v>337323</v>
      </c>
      <c r="J324" s="195">
        <f>$J$181</f>
        <v>6.218</v>
      </c>
      <c r="K324" s="231" t="s">
        <v>107</v>
      </c>
      <c r="L324" s="131">
        <f>ROUND(J324*$C324/100,0)</f>
        <v>340167</v>
      </c>
      <c r="M324" s="131"/>
      <c r="N324" s="195">
        <f>$N$181</f>
        <v>0.81193939748297494</v>
      </c>
      <c r="O324" s="231" t="s">
        <v>107</v>
      </c>
      <c r="P324" s="131">
        <f>ROUND(N324*$C324/100,0)</f>
        <v>44419</v>
      </c>
      <c r="Q324" s="131"/>
      <c r="R324" s="195">
        <f>$R$181</f>
        <v>1.0689569190308457</v>
      </c>
      <c r="S324" s="231" t="s">
        <v>107</v>
      </c>
      <c r="T324" s="131">
        <f>ROUND(R324*$C324/100,0)</f>
        <v>58479</v>
      </c>
      <c r="U324" s="131"/>
      <c r="V324" s="195">
        <f>$V$181</f>
        <v>4.3370117827017491</v>
      </c>
      <c r="W324" s="231" t="s">
        <v>107</v>
      </c>
      <c r="X324" s="131">
        <f>ROUND(V324*$C324/100,0)</f>
        <v>237264</v>
      </c>
      <c r="Y324" s="53"/>
      <c r="Z324" s="110"/>
      <c r="AA324" s="110"/>
      <c r="AB324" s="110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U324" s="135"/>
    </row>
    <row r="325" spans="1:47" hidden="1">
      <c r="A325" s="169" t="s">
        <v>152</v>
      </c>
      <c r="B325" s="169"/>
      <c r="C325" s="227">
        <v>13261.766666666701</v>
      </c>
      <c r="D325" s="237">
        <v>56</v>
      </c>
      <c r="E325" s="229" t="s">
        <v>107</v>
      </c>
      <c r="F325" s="131">
        <f>ROUND(D325*$C325/100,0)</f>
        <v>7427</v>
      </c>
      <c r="G325" s="237">
        <v>56</v>
      </c>
      <c r="H325" s="231" t="s">
        <v>107</v>
      </c>
      <c r="I325" s="131">
        <f t="shared" si="99"/>
        <v>7427</v>
      </c>
      <c r="J325" s="237">
        <f>$J$182</f>
        <v>56</v>
      </c>
      <c r="K325" s="231" t="s">
        <v>107</v>
      </c>
      <c r="L325" s="131">
        <f>ROUND(J325*$C325/100,0)</f>
        <v>7427</v>
      </c>
      <c r="M325" s="131"/>
      <c r="N325" s="237" t="str">
        <f>$N$182</f>
        <v xml:space="preserve"> </v>
      </c>
      <c r="O325" s="231" t="s">
        <v>107</v>
      </c>
      <c r="P325" s="131">
        <f>ROUND(N325*$C325/100,0)</f>
        <v>0</v>
      </c>
      <c r="Q325" s="131"/>
      <c r="R325" s="237">
        <f>$R$182</f>
        <v>11</v>
      </c>
      <c r="S325" s="231" t="s">
        <v>107</v>
      </c>
      <c r="T325" s="131">
        <f>ROUND(R325*$C325/100,0)</f>
        <v>1459</v>
      </c>
      <c r="U325" s="131"/>
      <c r="V325" s="237">
        <f>$V$182</f>
        <v>45</v>
      </c>
      <c r="W325" s="231" t="s">
        <v>107</v>
      </c>
      <c r="X325" s="131">
        <f>ROUND(V325*$C325/100,0)</f>
        <v>5968</v>
      </c>
      <c r="Y325" s="53"/>
      <c r="Z325" s="110"/>
      <c r="AA325" s="110"/>
      <c r="AB325" s="110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U325" s="135"/>
    </row>
    <row r="326" spans="1:47" s="141" customFormat="1" hidden="1">
      <c r="A326" s="140" t="s">
        <v>153</v>
      </c>
      <c r="C326" s="142">
        <f>C322</f>
        <v>3300267</v>
      </c>
      <c r="D326" s="138"/>
      <c r="E326" s="143"/>
      <c r="F326" s="144"/>
      <c r="G326" s="138"/>
      <c r="H326" s="143"/>
      <c r="I326" s="144"/>
      <c r="J326" s="145">
        <f>J183</f>
        <v>0</v>
      </c>
      <c r="K326" s="240" t="s">
        <v>107</v>
      </c>
      <c r="L326" s="144">
        <f t="shared" ref="L326:L328" si="100">ROUND(J326*$C326/100,0)</f>
        <v>0</v>
      </c>
      <c r="M326" s="144"/>
      <c r="N326" s="145" t="str">
        <f>N183</f>
        <v xml:space="preserve"> </v>
      </c>
      <c r="O326" s="240" t="s">
        <v>107</v>
      </c>
      <c r="P326" s="144">
        <f t="shared" ref="P326:P328" si="101">ROUND(N326*$C326/100,0)</f>
        <v>0</v>
      </c>
      <c r="Q326" s="144"/>
      <c r="R326" s="145" t="str">
        <f>R183</f>
        <v xml:space="preserve"> </v>
      </c>
      <c r="S326" s="240" t="s">
        <v>107</v>
      </c>
      <c r="T326" s="144">
        <f t="shared" ref="T326:T328" si="102">ROUND(R326*$C326/100,0)</f>
        <v>0</v>
      </c>
      <c r="U326" s="144"/>
      <c r="V326" s="145">
        <f>V183</f>
        <v>0</v>
      </c>
      <c r="W326" s="240" t="s">
        <v>107</v>
      </c>
      <c r="X326" s="144">
        <f t="shared" ref="X326:X328" si="103">ROUND(V326*$C326/100,0)</f>
        <v>0</v>
      </c>
      <c r="Z326" s="132"/>
      <c r="AC326" s="148"/>
      <c r="AD326" s="148"/>
      <c r="AI326" s="143"/>
      <c r="AJ326" s="143"/>
      <c r="AK326" s="143"/>
      <c r="AL326" s="143"/>
      <c r="AM326" s="143"/>
      <c r="AN326" s="143"/>
      <c r="AO326" s="143"/>
      <c r="AP326" s="143"/>
      <c r="AQ326" s="143"/>
      <c r="AR326" s="143"/>
      <c r="AS326" s="143"/>
      <c r="AU326" s="147"/>
    </row>
    <row r="327" spans="1:47" s="141" customFormat="1" hidden="1">
      <c r="A327" s="140" t="s">
        <v>154</v>
      </c>
      <c r="C327" s="142">
        <f>C323</f>
        <v>9927982.9999999963</v>
      </c>
      <c r="D327" s="138"/>
      <c r="E327" s="143"/>
      <c r="F327" s="144"/>
      <c r="G327" s="138"/>
      <c r="H327" s="143"/>
      <c r="I327" s="144"/>
      <c r="J327" s="145">
        <f>J184</f>
        <v>0</v>
      </c>
      <c r="K327" s="240" t="s">
        <v>107</v>
      </c>
      <c r="L327" s="144">
        <f t="shared" si="100"/>
        <v>0</v>
      </c>
      <c r="M327" s="144"/>
      <c r="N327" s="145" t="str">
        <f>N184</f>
        <v xml:space="preserve"> </v>
      </c>
      <c r="O327" s="240" t="s">
        <v>107</v>
      </c>
      <c r="P327" s="144">
        <f t="shared" si="101"/>
        <v>0</v>
      </c>
      <c r="Q327" s="144"/>
      <c r="R327" s="145" t="str">
        <f>R184</f>
        <v xml:space="preserve"> </v>
      </c>
      <c r="S327" s="240" t="s">
        <v>107</v>
      </c>
      <c r="T327" s="144">
        <f t="shared" si="102"/>
        <v>0</v>
      </c>
      <c r="U327" s="144"/>
      <c r="V327" s="145">
        <f>V184</f>
        <v>0</v>
      </c>
      <c r="W327" s="240" t="s">
        <v>107</v>
      </c>
      <c r="X327" s="144">
        <f t="shared" si="103"/>
        <v>0</v>
      </c>
      <c r="Z327" s="132"/>
      <c r="AC327" s="148"/>
      <c r="AD327" s="148"/>
      <c r="AI327" s="143"/>
      <c r="AJ327" s="143"/>
      <c r="AK327" s="143"/>
      <c r="AL327" s="143"/>
      <c r="AM327" s="143"/>
      <c r="AN327" s="143"/>
      <c r="AO327" s="143"/>
      <c r="AP327" s="143"/>
      <c r="AQ327" s="143"/>
      <c r="AR327" s="143"/>
      <c r="AS327" s="143"/>
      <c r="AU327" s="147"/>
    </row>
    <row r="328" spans="1:47" s="141" customFormat="1" hidden="1">
      <c r="A328" s="140" t="s">
        <v>155</v>
      </c>
      <c r="C328" s="142">
        <f>C324</f>
        <v>5470687.0000000037</v>
      </c>
      <c r="D328" s="138"/>
      <c r="E328" s="143"/>
      <c r="F328" s="144"/>
      <c r="G328" s="138"/>
      <c r="H328" s="143"/>
      <c r="I328" s="144"/>
      <c r="J328" s="145">
        <f>J185</f>
        <v>0</v>
      </c>
      <c r="K328" s="240" t="s">
        <v>107</v>
      </c>
      <c r="L328" s="144">
        <f t="shared" si="100"/>
        <v>0</v>
      </c>
      <c r="M328" s="144"/>
      <c r="N328" s="145" t="str">
        <f>N185</f>
        <v xml:space="preserve"> </v>
      </c>
      <c r="O328" s="240" t="s">
        <v>107</v>
      </c>
      <c r="P328" s="144">
        <f t="shared" si="101"/>
        <v>0</v>
      </c>
      <c r="Q328" s="144"/>
      <c r="R328" s="145" t="str">
        <f>R185</f>
        <v xml:space="preserve"> </v>
      </c>
      <c r="S328" s="240" t="s">
        <v>107</v>
      </c>
      <c r="T328" s="144">
        <f t="shared" si="102"/>
        <v>0</v>
      </c>
      <c r="U328" s="144"/>
      <c r="V328" s="145">
        <f>V185</f>
        <v>0</v>
      </c>
      <c r="W328" s="240" t="s">
        <v>107</v>
      </c>
      <c r="X328" s="144">
        <f t="shared" si="103"/>
        <v>0</v>
      </c>
      <c r="Z328" s="132"/>
      <c r="AC328" s="148"/>
      <c r="AD328" s="148"/>
      <c r="AI328" s="143"/>
      <c r="AJ328" s="143"/>
      <c r="AK328" s="143"/>
      <c r="AL328" s="143"/>
      <c r="AM328" s="143"/>
      <c r="AN328" s="143"/>
      <c r="AO328" s="143"/>
      <c r="AP328" s="143"/>
      <c r="AQ328" s="143"/>
      <c r="AR328" s="143"/>
      <c r="AS328" s="143"/>
      <c r="AU328" s="147"/>
    </row>
    <row r="329" spans="1:47" hidden="1">
      <c r="A329" s="244" t="s">
        <v>159</v>
      </c>
      <c r="B329" s="169"/>
      <c r="C329" s="227"/>
      <c r="D329" s="245">
        <v>-0.01</v>
      </c>
      <c r="E329" s="229"/>
      <c r="F329" s="131"/>
      <c r="G329" s="245">
        <v>-0.01</v>
      </c>
      <c r="H329" s="231"/>
      <c r="I329" s="131"/>
      <c r="J329" s="245">
        <v>-0.01</v>
      </c>
      <c r="K329" s="231"/>
      <c r="L329" s="131"/>
      <c r="M329" s="131"/>
      <c r="N329" s="245">
        <v>-0.01</v>
      </c>
      <c r="O329" s="231"/>
      <c r="P329" s="131"/>
      <c r="Q329" s="131"/>
      <c r="R329" s="245">
        <v>-0.01</v>
      </c>
      <c r="S329" s="231"/>
      <c r="T329" s="131"/>
      <c r="U329" s="131"/>
      <c r="V329" s="245">
        <v>-0.01</v>
      </c>
      <c r="W329" s="231"/>
      <c r="X329" s="131"/>
      <c r="Y329" s="53"/>
      <c r="Z329" s="110"/>
      <c r="AA329" s="110"/>
      <c r="AB329" s="110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U329" s="135"/>
    </row>
    <row r="330" spans="1:47" hidden="1">
      <c r="A330" s="169" t="s">
        <v>143</v>
      </c>
      <c r="B330" s="169"/>
      <c r="C330" s="227">
        <v>0</v>
      </c>
      <c r="D330" s="247">
        <v>8.7100000000000009</v>
      </c>
      <c r="E330" s="229"/>
      <c r="F330" s="131">
        <f>-ROUND(D330*$C330/100,0)</f>
        <v>0</v>
      </c>
      <c r="G330" s="247">
        <v>8.7100000000000009</v>
      </c>
      <c r="H330" s="229"/>
      <c r="I330" s="131">
        <f>-ROUND(G330*$C330/100,0)</f>
        <v>0</v>
      </c>
      <c r="J330" s="247">
        <f>J317</f>
        <v>9.6</v>
      </c>
      <c r="K330" s="229"/>
      <c r="L330" s="131">
        <f>-ROUND(J330*$C330/100,0)</f>
        <v>0</v>
      </c>
      <c r="M330" s="131"/>
      <c r="N330" s="247">
        <f>N317</f>
        <v>9.6</v>
      </c>
      <c r="O330" s="229"/>
      <c r="P330" s="131">
        <f>-ROUND(N330*$C330/100,0)</f>
        <v>0</v>
      </c>
      <c r="Q330" s="131"/>
      <c r="R330" s="247" t="str">
        <f>R317</f>
        <v xml:space="preserve"> </v>
      </c>
      <c r="S330" s="229"/>
      <c r="T330" s="131">
        <f>-ROUND(R330*$C330/100,0)</f>
        <v>0</v>
      </c>
      <c r="U330" s="131"/>
      <c r="V330" s="247" t="str">
        <f>V317</f>
        <v xml:space="preserve"> </v>
      </c>
      <c r="W330" s="229"/>
      <c r="X330" s="131">
        <f>-ROUND(V330*$C330/100,0)</f>
        <v>0</v>
      </c>
      <c r="Y330" s="53"/>
      <c r="Z330" s="110"/>
      <c r="AA330" s="110"/>
      <c r="AB330" s="110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U330" s="135"/>
    </row>
    <row r="331" spans="1:47" hidden="1">
      <c r="A331" s="169" t="s">
        <v>144</v>
      </c>
      <c r="B331" s="169"/>
      <c r="C331" s="227">
        <v>2.6</v>
      </c>
      <c r="D331" s="247">
        <v>12.98</v>
      </c>
      <c r="E331" s="229"/>
      <c r="F331" s="131">
        <f>-ROUND(D331*$C331/100,0)</f>
        <v>0</v>
      </c>
      <c r="G331" s="247">
        <v>12.98</v>
      </c>
      <c r="H331" s="229"/>
      <c r="I331" s="131">
        <f t="shared" ref="I331:I333" si="104">-ROUND(G331*$C331/100,0)</f>
        <v>0</v>
      </c>
      <c r="J331" s="247">
        <f>J318</f>
        <v>14.3</v>
      </c>
      <c r="K331" s="229"/>
      <c r="L331" s="131">
        <f>-ROUND(J331*$C331/100,0)</f>
        <v>0</v>
      </c>
      <c r="M331" s="131"/>
      <c r="N331" s="247">
        <f>N318</f>
        <v>14.3</v>
      </c>
      <c r="O331" s="229"/>
      <c r="P331" s="131">
        <f>-ROUND(N331*$C331/100,0)</f>
        <v>0</v>
      </c>
      <c r="Q331" s="131"/>
      <c r="R331" s="247" t="str">
        <f>R318</f>
        <v xml:space="preserve"> </v>
      </c>
      <c r="S331" s="229"/>
      <c r="T331" s="131">
        <f>-ROUND(R331*$C331/100,0)</f>
        <v>0</v>
      </c>
      <c r="U331" s="131"/>
      <c r="V331" s="247" t="str">
        <f>V318</f>
        <v xml:space="preserve"> </v>
      </c>
      <c r="W331" s="229"/>
      <c r="X331" s="131">
        <f>-ROUND(V331*$C331/100,0)</f>
        <v>0</v>
      </c>
      <c r="Y331" s="53"/>
      <c r="Z331" s="110"/>
      <c r="AA331" s="110"/>
      <c r="AB331" s="110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U331" s="135"/>
    </row>
    <row r="332" spans="1:47" hidden="1">
      <c r="A332" s="169" t="s">
        <v>160</v>
      </c>
      <c r="B332" s="169"/>
      <c r="C332" s="227">
        <v>193</v>
      </c>
      <c r="D332" s="247">
        <v>0.92</v>
      </c>
      <c r="E332" s="229"/>
      <c r="F332" s="131">
        <f>-ROUND(D332*$C332/100,0)</f>
        <v>-2</v>
      </c>
      <c r="G332" s="247">
        <v>0.92</v>
      </c>
      <c r="H332" s="229"/>
      <c r="I332" s="131">
        <f t="shared" si="104"/>
        <v>-2</v>
      </c>
      <c r="J332" s="247">
        <f>J319</f>
        <v>1</v>
      </c>
      <c r="K332" s="229"/>
      <c r="L332" s="131">
        <f>-ROUND(J332*$C332/100,0)</f>
        <v>-2</v>
      </c>
      <c r="M332" s="131"/>
      <c r="N332" s="247">
        <f>N319</f>
        <v>1</v>
      </c>
      <c r="O332" s="229"/>
      <c r="P332" s="131">
        <f>-ROUND(N332*$C332/100,0)</f>
        <v>-2</v>
      </c>
      <c r="Q332" s="131"/>
      <c r="R332" s="247" t="str">
        <f>R319</f>
        <v xml:space="preserve"> </v>
      </c>
      <c r="S332" s="229"/>
      <c r="T332" s="131">
        <f>-ROUND(R332*$C332/100,0)</f>
        <v>0</v>
      </c>
      <c r="U332" s="131"/>
      <c r="V332" s="247" t="str">
        <f>V319</f>
        <v xml:space="preserve"> </v>
      </c>
      <c r="W332" s="229"/>
      <c r="X332" s="131">
        <f>-ROUND(V332*$C332/100,0)</f>
        <v>0</v>
      </c>
      <c r="Y332" s="53"/>
      <c r="Z332" s="110"/>
      <c r="AA332" s="110"/>
      <c r="AB332" s="110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U332" s="135"/>
    </row>
    <row r="333" spans="1:47" hidden="1">
      <c r="A333" s="169" t="s">
        <v>161</v>
      </c>
      <c r="B333" s="169"/>
      <c r="C333" s="227">
        <v>181</v>
      </c>
      <c r="D333" s="247">
        <v>3.4</v>
      </c>
      <c r="E333" s="231"/>
      <c r="F333" s="131">
        <f>-ROUND(D333*$C333/100,0)</f>
        <v>-6</v>
      </c>
      <c r="G333" s="247">
        <v>3.61</v>
      </c>
      <c r="H333" s="231"/>
      <c r="I333" s="131">
        <f t="shared" si="104"/>
        <v>-7</v>
      </c>
      <c r="J333" s="247">
        <f>J321</f>
        <v>3.64</v>
      </c>
      <c r="K333" s="231"/>
      <c r="L333" s="131">
        <f>-ROUND(J333*$C333/100,0)</f>
        <v>-7</v>
      </c>
      <c r="M333" s="131"/>
      <c r="N333" s="247">
        <f>N321</f>
        <v>0.48</v>
      </c>
      <c r="O333" s="231"/>
      <c r="P333" s="131">
        <f>-ROUND(N333*$C333/100,0)</f>
        <v>-1</v>
      </c>
      <c r="Q333" s="131"/>
      <c r="R333" s="247">
        <f>R321</f>
        <v>0.63</v>
      </c>
      <c r="S333" s="231"/>
      <c r="T333" s="131">
        <f>-ROUND(R333*$C333/100,0)</f>
        <v>-1</v>
      </c>
      <c r="U333" s="131"/>
      <c r="V333" s="247">
        <f>V321</f>
        <v>2.54</v>
      </c>
      <c r="W333" s="231"/>
      <c r="X333" s="131">
        <f>-ROUND(V333*$C333/100,0)</f>
        <v>-5</v>
      </c>
      <c r="Y333" s="53"/>
      <c r="Z333" s="110"/>
      <c r="AA333" s="110"/>
      <c r="AB333" s="110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U333" s="135"/>
    </row>
    <row r="334" spans="1:47" hidden="1">
      <c r="A334" s="169" t="s">
        <v>162</v>
      </c>
      <c r="B334" s="169"/>
      <c r="C334" s="227">
        <v>2600</v>
      </c>
      <c r="D334" s="248">
        <v>9.766</v>
      </c>
      <c r="E334" s="231" t="s">
        <v>107</v>
      </c>
      <c r="F334" s="131">
        <f>ROUND(D334*$C334/100*D329,0)</f>
        <v>-3</v>
      </c>
      <c r="G334" s="248">
        <v>10.359</v>
      </c>
      <c r="H334" s="231" t="s">
        <v>107</v>
      </c>
      <c r="I334" s="131">
        <f>ROUND(G334*$C334/100*G329,0)</f>
        <v>-3</v>
      </c>
      <c r="J334" s="248">
        <f>J322</f>
        <v>10.449</v>
      </c>
      <c r="K334" s="231" t="s">
        <v>107</v>
      </c>
      <c r="L334" s="131">
        <f>ROUND(J334*$C334/100*J329,0)</f>
        <v>-3</v>
      </c>
      <c r="M334" s="131"/>
      <c r="N334" s="248">
        <f>N322</f>
        <v>1.3644187751662151</v>
      </c>
      <c r="O334" s="231" t="s">
        <v>107</v>
      </c>
      <c r="P334" s="131">
        <f>ROUND(N334*$C334/100*N329,0)</f>
        <v>0</v>
      </c>
      <c r="Q334" s="131"/>
      <c r="R334" s="248">
        <f>R322</f>
        <v>1.7973223544650079</v>
      </c>
      <c r="S334" s="231" t="s">
        <v>107</v>
      </c>
      <c r="T334" s="131">
        <f>ROUND(R334*$C334/100*R329,0)</f>
        <v>0</v>
      </c>
      <c r="U334" s="131"/>
      <c r="V334" s="248">
        <f>V322</f>
        <v>7.2874254450520697</v>
      </c>
      <c r="W334" s="231" t="s">
        <v>107</v>
      </c>
      <c r="X334" s="131">
        <f>ROUND(V334*$C334/100*V329,0)</f>
        <v>-2</v>
      </c>
      <c r="Y334" s="53"/>
      <c r="Z334" s="110"/>
      <c r="AA334" s="110"/>
      <c r="AB334" s="110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U334" s="135"/>
    </row>
    <row r="335" spans="1:47" hidden="1">
      <c r="A335" s="169" t="s">
        <v>150</v>
      </c>
      <c r="B335" s="169"/>
      <c r="C335" s="227">
        <v>20800</v>
      </c>
      <c r="D335" s="248">
        <v>6.7460000000000004</v>
      </c>
      <c r="E335" s="231" t="s">
        <v>107</v>
      </c>
      <c r="F335" s="131">
        <f>ROUND(D335*$C335/100*D329,0)</f>
        <v>-14</v>
      </c>
      <c r="G335" s="248">
        <v>7.1559999999999997</v>
      </c>
      <c r="H335" s="231" t="s">
        <v>107</v>
      </c>
      <c r="I335" s="131">
        <f>ROUND(G335*$C335/100*G329,0)</f>
        <v>-15</v>
      </c>
      <c r="J335" s="248">
        <f>J323</f>
        <v>7.218</v>
      </c>
      <c r="K335" s="231" t="s">
        <v>107</v>
      </c>
      <c r="L335" s="131">
        <f>ROUND(J335*$C335/100*J329,0)</f>
        <v>-15</v>
      </c>
      <c r="M335" s="131"/>
      <c r="N335" s="248">
        <f>N323</f>
        <v>0.94251839115112013</v>
      </c>
      <c r="O335" s="231" t="s">
        <v>107</v>
      </c>
      <c r="P335" s="131">
        <f>ROUND(N335*$C335/100*N329,0)</f>
        <v>-2</v>
      </c>
      <c r="Q335" s="131"/>
      <c r="R335" s="248">
        <f>R323</f>
        <v>1.2418703884281421</v>
      </c>
      <c r="S335" s="231" t="s">
        <v>107</v>
      </c>
      <c r="T335" s="131">
        <f>ROUND(R335*$C335/100*R329,0)</f>
        <v>-3</v>
      </c>
      <c r="U335" s="131"/>
      <c r="V335" s="248">
        <f>V323</f>
        <v>5.0333446832527242</v>
      </c>
      <c r="W335" s="231" t="s">
        <v>107</v>
      </c>
      <c r="X335" s="131">
        <f>ROUND(V335*$C335/100*V329,0)</f>
        <v>-10</v>
      </c>
      <c r="Y335" s="53"/>
      <c r="Z335" s="110"/>
      <c r="AA335" s="110"/>
      <c r="AB335" s="110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U335" s="135"/>
    </row>
    <row r="336" spans="1:47" hidden="1">
      <c r="A336" s="169" t="s">
        <v>151</v>
      </c>
      <c r="B336" s="169"/>
      <c r="C336" s="227">
        <v>67800</v>
      </c>
      <c r="D336" s="248">
        <v>5.8120000000000003</v>
      </c>
      <c r="E336" s="231" t="s">
        <v>107</v>
      </c>
      <c r="F336" s="131">
        <f>ROUND(D336*$C336/100*D329,0)</f>
        <v>-39</v>
      </c>
      <c r="G336" s="248">
        <v>6.1660000000000004</v>
      </c>
      <c r="H336" s="231" t="s">
        <v>107</v>
      </c>
      <c r="I336" s="131">
        <f>ROUND(G336*$C336/100*G329,0)</f>
        <v>-42</v>
      </c>
      <c r="J336" s="248">
        <f>J324</f>
        <v>6.218</v>
      </c>
      <c r="K336" s="231" t="s">
        <v>107</v>
      </c>
      <c r="L336" s="131">
        <f>ROUND(J336*$C336/100*J329,0)</f>
        <v>-42</v>
      </c>
      <c r="M336" s="131"/>
      <c r="N336" s="248">
        <f>N324</f>
        <v>0.81193939748297494</v>
      </c>
      <c r="O336" s="231" t="s">
        <v>107</v>
      </c>
      <c r="P336" s="131">
        <f>ROUND(N336*$C336/100*N329,0)</f>
        <v>-6</v>
      </c>
      <c r="Q336" s="131"/>
      <c r="R336" s="248">
        <f>R324</f>
        <v>1.0689569190308457</v>
      </c>
      <c r="S336" s="231" t="s">
        <v>107</v>
      </c>
      <c r="T336" s="131">
        <f>ROUND(R336*$C336/100*R329,0)</f>
        <v>-7</v>
      </c>
      <c r="U336" s="131"/>
      <c r="V336" s="248">
        <f>V324</f>
        <v>4.3370117827017491</v>
      </c>
      <c r="W336" s="231" t="s">
        <v>107</v>
      </c>
      <c r="X336" s="131">
        <f>ROUND(V336*$C336/100*V329,0)</f>
        <v>-29</v>
      </c>
      <c r="Y336" s="53"/>
      <c r="Z336" s="110"/>
      <c r="AA336" s="110"/>
      <c r="AB336" s="110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U336" s="135"/>
    </row>
    <row r="337" spans="1:47" hidden="1">
      <c r="A337" s="169" t="s">
        <v>152</v>
      </c>
      <c r="B337" s="169"/>
      <c r="C337" s="227">
        <v>0</v>
      </c>
      <c r="D337" s="249">
        <v>56</v>
      </c>
      <c r="E337" s="231" t="s">
        <v>107</v>
      </c>
      <c r="F337" s="131">
        <f>ROUND(D337*$C337/100*D329,0)</f>
        <v>0</v>
      </c>
      <c r="G337" s="249">
        <v>56</v>
      </c>
      <c r="H337" s="231" t="s">
        <v>107</v>
      </c>
      <c r="I337" s="131">
        <f>ROUND(G337*$C337/100*G329,0)</f>
        <v>0</v>
      </c>
      <c r="J337" s="249">
        <f>J325</f>
        <v>56</v>
      </c>
      <c r="K337" s="231" t="s">
        <v>107</v>
      </c>
      <c r="L337" s="131">
        <f>ROUND(J337*$C337/100*J329,0)</f>
        <v>0</v>
      </c>
      <c r="M337" s="131"/>
      <c r="N337" s="249" t="str">
        <f>N325</f>
        <v xml:space="preserve"> </v>
      </c>
      <c r="O337" s="231" t="s">
        <v>107</v>
      </c>
      <c r="P337" s="131">
        <f>ROUND(N337*$C337/100*N329,0)</f>
        <v>0</v>
      </c>
      <c r="Q337" s="131"/>
      <c r="R337" s="249">
        <f>R325</f>
        <v>11</v>
      </c>
      <c r="S337" s="231" t="s">
        <v>107</v>
      </c>
      <c r="T337" s="131">
        <f>ROUND(R337*$C337/100*R329,0)</f>
        <v>0</v>
      </c>
      <c r="U337" s="131"/>
      <c r="V337" s="249">
        <f>V325</f>
        <v>45</v>
      </c>
      <c r="W337" s="231" t="s">
        <v>107</v>
      </c>
      <c r="X337" s="131">
        <f>ROUND(V337*$C337/100*V329,0)</f>
        <v>0</v>
      </c>
      <c r="Y337" s="53"/>
      <c r="Z337" s="110"/>
      <c r="AA337" s="110"/>
      <c r="AB337" s="110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U337" s="135"/>
    </row>
    <row r="338" spans="1:47" hidden="1">
      <c r="A338" s="169" t="s">
        <v>163</v>
      </c>
      <c r="B338" s="169"/>
      <c r="C338" s="227">
        <v>2.6</v>
      </c>
      <c r="D338" s="250">
        <v>60</v>
      </c>
      <c r="E338" s="229"/>
      <c r="F338" s="131">
        <f>ROUND(D338*$C338,0)</f>
        <v>156</v>
      </c>
      <c r="G338" s="250">
        <v>60</v>
      </c>
      <c r="H338" s="231"/>
      <c r="I338" s="131">
        <f>ROUND(G338*C338,0)</f>
        <v>156</v>
      </c>
      <c r="J338" s="250">
        <f>$J$198</f>
        <v>60</v>
      </c>
      <c r="K338" s="231"/>
      <c r="L338" s="131">
        <f>ROUND(J338*$C338,0)</f>
        <v>156</v>
      </c>
      <c r="M338" s="131"/>
      <c r="N338" s="250" t="str">
        <f>$N$198</f>
        <v xml:space="preserve"> </v>
      </c>
      <c r="O338" s="231"/>
      <c r="P338" s="131">
        <f>ROUND(N338*$C338,0)</f>
        <v>0</v>
      </c>
      <c r="Q338" s="131"/>
      <c r="R338" s="250">
        <f>$R$198</f>
        <v>11.86</v>
      </c>
      <c r="S338" s="231"/>
      <c r="T338" s="131">
        <f>ROUND(R338*$C338,0)</f>
        <v>31</v>
      </c>
      <c r="U338" s="131"/>
      <c r="V338" s="250">
        <f>$V$198</f>
        <v>48.14</v>
      </c>
      <c r="W338" s="231"/>
      <c r="X338" s="131">
        <f>ROUND(V338*$C338,0)</f>
        <v>125</v>
      </c>
      <c r="Y338" s="53"/>
      <c r="Z338" s="110"/>
      <c r="AA338" s="110"/>
      <c r="AB338" s="110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U338" s="135"/>
    </row>
    <row r="339" spans="1:47" hidden="1">
      <c r="A339" s="169" t="s">
        <v>164</v>
      </c>
      <c r="B339" s="169"/>
      <c r="C339" s="227">
        <v>193</v>
      </c>
      <c r="D339" s="251">
        <v>-30</v>
      </c>
      <c r="E339" s="229" t="s">
        <v>107</v>
      </c>
      <c r="F339" s="131">
        <f>ROUND(D339*$C339/100,0)</f>
        <v>-58</v>
      </c>
      <c r="G339" s="251">
        <v>-30</v>
      </c>
      <c r="H339" s="231" t="s">
        <v>107</v>
      </c>
      <c r="I339" s="131">
        <f>ROUND(G339*C339/100,0)</f>
        <v>-58</v>
      </c>
      <c r="J339" s="251">
        <f>$J$199</f>
        <v>-30</v>
      </c>
      <c r="K339" s="231" t="s">
        <v>107</v>
      </c>
      <c r="L339" s="131">
        <f>ROUND(J339*$C339/100,0)</f>
        <v>-58</v>
      </c>
      <c r="M339" s="131"/>
      <c r="N339" s="251">
        <f>$N$199</f>
        <v>-30</v>
      </c>
      <c r="O339" s="231" t="s">
        <v>107</v>
      </c>
      <c r="P339" s="131">
        <f>ROUND(N339*$C339/100,0)</f>
        <v>-58</v>
      </c>
      <c r="Q339" s="131"/>
      <c r="R339" s="251" t="str">
        <f>$R$199</f>
        <v xml:space="preserve"> </v>
      </c>
      <c r="S339" s="231" t="s">
        <v>107</v>
      </c>
      <c r="T339" s="131">
        <f>ROUND(R339*$C339/100,0)</f>
        <v>0</v>
      </c>
      <c r="U339" s="131"/>
      <c r="V339" s="251" t="str">
        <f>$V$199</f>
        <v xml:space="preserve"> </v>
      </c>
      <c r="W339" s="231" t="s">
        <v>107</v>
      </c>
      <c r="X339" s="131">
        <f>ROUND(V339*$C339/100,0)</f>
        <v>0</v>
      </c>
      <c r="Y339" s="53"/>
      <c r="Z339" s="110"/>
      <c r="AA339" s="110"/>
      <c r="AB339" s="110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U339" s="135"/>
    </row>
    <row r="340" spans="1:47" s="141" customFormat="1" hidden="1">
      <c r="A340" s="140" t="s">
        <v>153</v>
      </c>
      <c r="C340" s="142">
        <f>C334</f>
        <v>2600</v>
      </c>
      <c r="D340" s="138"/>
      <c r="E340" s="143"/>
      <c r="F340" s="144"/>
      <c r="G340" s="138"/>
      <c r="H340" s="143"/>
      <c r="I340" s="144"/>
      <c r="J340" s="145">
        <f>J183</f>
        <v>0</v>
      </c>
      <c r="K340" s="240" t="s">
        <v>107</v>
      </c>
      <c r="L340" s="144">
        <f>ROUND(J340*$C340/100*J329,0)</f>
        <v>0</v>
      </c>
      <c r="M340" s="144"/>
      <c r="N340" s="145" t="str">
        <f>N183</f>
        <v xml:space="preserve"> </v>
      </c>
      <c r="O340" s="240" t="s">
        <v>107</v>
      </c>
      <c r="P340" s="144">
        <f>ROUND(N340*$C340/100*N329,0)</f>
        <v>0</v>
      </c>
      <c r="Q340" s="144"/>
      <c r="R340" s="145" t="str">
        <f>R183</f>
        <v xml:space="preserve"> </v>
      </c>
      <c r="S340" s="240" t="s">
        <v>107</v>
      </c>
      <c r="T340" s="144">
        <f>ROUND(R340*$C340/100*R329,0)</f>
        <v>0</v>
      </c>
      <c r="U340" s="144"/>
      <c r="V340" s="145">
        <f>V183</f>
        <v>0</v>
      </c>
      <c r="W340" s="240" t="s">
        <v>107</v>
      </c>
      <c r="X340" s="144">
        <f>ROUND(V340*$C340/100*V329,0)</f>
        <v>0</v>
      </c>
      <c r="Z340" s="132"/>
      <c r="AC340" s="148"/>
      <c r="AD340" s="148"/>
      <c r="AI340" s="143"/>
      <c r="AJ340" s="143"/>
      <c r="AK340" s="143"/>
      <c r="AL340" s="143"/>
      <c r="AM340" s="143"/>
      <c r="AN340" s="143"/>
      <c r="AO340" s="143"/>
      <c r="AP340" s="143"/>
      <c r="AQ340" s="143"/>
      <c r="AR340" s="143"/>
      <c r="AS340" s="143"/>
      <c r="AU340" s="147"/>
    </row>
    <row r="341" spans="1:47" s="141" customFormat="1" hidden="1">
      <c r="A341" s="140" t="s">
        <v>154</v>
      </c>
      <c r="C341" s="142">
        <f>C335</f>
        <v>20800</v>
      </c>
      <c r="D341" s="138"/>
      <c r="E341" s="143"/>
      <c r="F341" s="144"/>
      <c r="G341" s="138"/>
      <c r="H341" s="143"/>
      <c r="I341" s="144"/>
      <c r="J341" s="145">
        <f>J184</f>
        <v>0</v>
      </c>
      <c r="K341" s="240" t="s">
        <v>107</v>
      </c>
      <c r="L341" s="144">
        <f>ROUND(J341*$C341/100*J329,0)</f>
        <v>0</v>
      </c>
      <c r="M341" s="144"/>
      <c r="N341" s="145" t="str">
        <f>N184</f>
        <v xml:space="preserve"> </v>
      </c>
      <c r="O341" s="240" t="s">
        <v>107</v>
      </c>
      <c r="P341" s="144">
        <f>ROUND(N341*$C341/100*N329,0)</f>
        <v>0</v>
      </c>
      <c r="Q341" s="144"/>
      <c r="R341" s="145" t="str">
        <f>R184</f>
        <v xml:space="preserve"> </v>
      </c>
      <c r="S341" s="240" t="s">
        <v>107</v>
      </c>
      <c r="T341" s="144">
        <f>ROUND(R341*$C341/100*R329,0)</f>
        <v>0</v>
      </c>
      <c r="U341" s="144"/>
      <c r="V341" s="145">
        <f>V184</f>
        <v>0</v>
      </c>
      <c r="W341" s="240" t="s">
        <v>107</v>
      </c>
      <c r="X341" s="144">
        <f>ROUND(V341*$C341/100*V329,0)</f>
        <v>0</v>
      </c>
      <c r="Z341" s="132"/>
      <c r="AC341" s="148"/>
      <c r="AD341" s="148"/>
      <c r="AI341" s="143"/>
      <c r="AJ341" s="143"/>
      <c r="AK341" s="143"/>
      <c r="AL341" s="143"/>
      <c r="AM341" s="143"/>
      <c r="AN341" s="143"/>
      <c r="AO341" s="143"/>
      <c r="AP341" s="143"/>
      <c r="AQ341" s="143"/>
      <c r="AR341" s="143"/>
      <c r="AS341" s="143"/>
      <c r="AU341" s="147"/>
    </row>
    <row r="342" spans="1:47" s="141" customFormat="1" hidden="1">
      <c r="A342" s="140" t="s">
        <v>155</v>
      </c>
      <c r="C342" s="142">
        <f>C336</f>
        <v>67800</v>
      </c>
      <c r="D342" s="138"/>
      <c r="E342" s="143"/>
      <c r="F342" s="144"/>
      <c r="G342" s="138"/>
      <c r="H342" s="143"/>
      <c r="I342" s="144"/>
      <c r="J342" s="145">
        <f>J185</f>
        <v>0</v>
      </c>
      <c r="K342" s="240" t="s">
        <v>107</v>
      </c>
      <c r="L342" s="144">
        <f>ROUND(J342*$C342/100*J329,0)</f>
        <v>0</v>
      </c>
      <c r="M342" s="144"/>
      <c r="N342" s="145" t="str">
        <f>N185</f>
        <v xml:space="preserve"> </v>
      </c>
      <c r="O342" s="240" t="s">
        <v>107</v>
      </c>
      <c r="P342" s="144">
        <f>ROUND(N342*$C342/100*N329,0)</f>
        <v>0</v>
      </c>
      <c r="Q342" s="144"/>
      <c r="R342" s="145" t="str">
        <f>R185</f>
        <v xml:space="preserve"> </v>
      </c>
      <c r="S342" s="240" t="s">
        <v>107</v>
      </c>
      <c r="T342" s="144">
        <f>ROUND(R342*$C342/100*R329,0)</f>
        <v>0</v>
      </c>
      <c r="U342" s="144"/>
      <c r="V342" s="145">
        <f>V185</f>
        <v>0</v>
      </c>
      <c r="W342" s="240" t="s">
        <v>107</v>
      </c>
      <c r="X342" s="144">
        <f>ROUND(V342*$C342/100*V329,0)</f>
        <v>0</v>
      </c>
      <c r="Z342" s="132"/>
      <c r="AC342" s="148"/>
      <c r="AD342" s="148"/>
      <c r="AI342" s="143"/>
      <c r="AJ342" s="143"/>
      <c r="AK342" s="143"/>
      <c r="AL342" s="143"/>
      <c r="AM342" s="143"/>
      <c r="AN342" s="143"/>
      <c r="AO342" s="143"/>
      <c r="AP342" s="143"/>
      <c r="AQ342" s="143"/>
      <c r="AR342" s="143"/>
      <c r="AS342" s="143"/>
      <c r="AU342" s="147"/>
    </row>
    <row r="343" spans="1:47" hidden="1">
      <c r="A343" s="169" t="s">
        <v>133</v>
      </c>
      <c r="B343" s="169"/>
      <c r="C343" s="227">
        <f>SUM(C322:C324)</f>
        <v>18698937</v>
      </c>
      <c r="D343" s="237"/>
      <c r="E343" s="131"/>
      <c r="F343" s="131">
        <f>SUM(F317:F339)</f>
        <v>1564868</v>
      </c>
      <c r="G343" s="237"/>
      <c r="H343" s="231"/>
      <c r="I343" s="131">
        <f>SUM(I317:I339)</f>
        <v>1652959</v>
      </c>
      <c r="J343" s="237"/>
      <c r="K343" s="231"/>
      <c r="L343" s="131">
        <f>SUM(L317:L342)</f>
        <v>1676569</v>
      </c>
      <c r="M343" s="131"/>
      <c r="N343" s="237"/>
      <c r="O343" s="231"/>
      <c r="P343" s="131">
        <f>SUM(P317:P342)</f>
        <v>323232</v>
      </c>
      <c r="Q343" s="131"/>
      <c r="R343" s="237"/>
      <c r="S343" s="231"/>
      <c r="T343" s="131">
        <f>SUM(T317:T342)</f>
        <v>267930</v>
      </c>
      <c r="U343" s="131"/>
      <c r="V343" s="237"/>
      <c r="W343" s="231"/>
      <c r="X343" s="131">
        <f>SUM(X317:X342)</f>
        <v>1085783</v>
      </c>
      <c r="Y343" s="53"/>
      <c r="Z343" s="110"/>
      <c r="AA343" s="110"/>
      <c r="AB343" s="110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U343" s="135"/>
    </row>
    <row r="344" spans="1:47" hidden="1">
      <c r="A344" s="169" t="s">
        <v>111</v>
      </c>
      <c r="B344" s="169"/>
      <c r="C344" s="275">
        <v>-299510.970415727</v>
      </c>
      <c r="D344" s="154"/>
      <c r="E344" s="154"/>
      <c r="F344" s="254">
        <f>I344</f>
        <v>-34132.350163578827</v>
      </c>
      <c r="G344" s="154"/>
      <c r="H344" s="154"/>
      <c r="I344" s="254">
        <v>-34132.350163578827</v>
      </c>
      <c r="J344" s="154"/>
      <c r="K344" s="154"/>
      <c r="L344" s="254">
        <f>I344</f>
        <v>-34132.350163578827</v>
      </c>
      <c r="M344" s="230"/>
      <c r="N344" s="154"/>
      <c r="O344" s="154"/>
      <c r="P344" s="254">
        <f>P204/L204*L344</f>
        <v>-6728.5580635868364</v>
      </c>
      <c r="Q344" s="230"/>
      <c r="R344" s="154"/>
      <c r="S344" s="154"/>
      <c r="T344" s="254">
        <f>T204/L204*L344</f>
        <v>-5418.6329539107492</v>
      </c>
      <c r="U344" s="230"/>
      <c r="V344" s="154"/>
      <c r="W344" s="154"/>
      <c r="X344" s="254">
        <f>X204/L204*L344</f>
        <v>-21985.159146081238</v>
      </c>
      <c r="Y344" s="185"/>
      <c r="Z344" s="183"/>
      <c r="AA344" s="110"/>
      <c r="AB344" s="110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U344" s="135"/>
    </row>
    <row r="345" spans="1:47" ht="16.5" hidden="1" thickBot="1">
      <c r="A345" s="169" t="s">
        <v>134</v>
      </c>
      <c r="B345" s="169"/>
      <c r="C345" s="214">
        <f>SUM(C343:C344)</f>
        <v>18399426.029584274</v>
      </c>
      <c r="D345" s="272"/>
      <c r="E345" s="256"/>
      <c r="F345" s="257">
        <f>F343+F344</f>
        <v>1530735.6498364212</v>
      </c>
      <c r="G345" s="272"/>
      <c r="H345" s="258"/>
      <c r="I345" s="257">
        <f>I343+I344</f>
        <v>1618826.6498364212</v>
      </c>
      <c r="J345" s="272"/>
      <c r="K345" s="258"/>
      <c r="L345" s="257">
        <f>L343+L344</f>
        <v>1642436.6498364212</v>
      </c>
      <c r="M345" s="257"/>
      <c r="N345" s="272"/>
      <c r="O345" s="258"/>
      <c r="P345" s="257">
        <f>P343+P344</f>
        <v>316503.44193641318</v>
      </c>
      <c r="Q345" s="257"/>
      <c r="R345" s="272"/>
      <c r="S345" s="258"/>
      <c r="T345" s="257">
        <f>T343+T344</f>
        <v>262511.36704608926</v>
      </c>
      <c r="U345" s="257"/>
      <c r="V345" s="272"/>
      <c r="W345" s="258"/>
      <c r="X345" s="257">
        <f>X343+X344</f>
        <v>1063797.8408539188</v>
      </c>
      <c r="Y345" s="186"/>
      <c r="Z345" s="187"/>
      <c r="AA345" s="110"/>
      <c r="AB345" s="110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U345" s="135"/>
    </row>
    <row r="346" spans="1:47" hidden="1">
      <c r="A346" s="169"/>
      <c r="B346" s="169"/>
      <c r="C346" s="164"/>
      <c r="D346" s="276"/>
      <c r="E346" s="263"/>
      <c r="F346" s="230"/>
      <c r="G346" s="276"/>
      <c r="H346" s="264"/>
      <c r="I346" s="230"/>
      <c r="J346" s="276"/>
      <c r="K346" s="264"/>
      <c r="L346" s="230"/>
      <c r="M346" s="230"/>
      <c r="N346" s="276"/>
      <c r="O346" s="264"/>
      <c r="P346" s="230"/>
      <c r="Q346" s="230"/>
      <c r="R346" s="276"/>
      <c r="S346" s="264"/>
      <c r="T346" s="230"/>
      <c r="U346" s="230"/>
      <c r="V346" s="276"/>
      <c r="W346" s="264"/>
      <c r="X346" s="230"/>
      <c r="Y346" s="53"/>
      <c r="Z346" s="110"/>
      <c r="AA346" s="110"/>
      <c r="AB346" s="110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U346" s="135"/>
    </row>
    <row r="347" spans="1:47" hidden="1">
      <c r="A347" s="188" t="s">
        <v>172</v>
      </c>
      <c r="B347" s="169"/>
      <c r="C347" s="169"/>
      <c r="D347" s="131"/>
      <c r="E347" s="131"/>
      <c r="F347" s="169" t="s">
        <v>0</v>
      </c>
      <c r="G347" s="131"/>
      <c r="H347" s="169"/>
      <c r="I347" s="169"/>
      <c r="J347" s="131"/>
      <c r="K347" s="169"/>
      <c r="L347" s="169"/>
      <c r="M347" s="169"/>
      <c r="N347" s="131"/>
      <c r="O347" s="169"/>
      <c r="P347" s="169"/>
      <c r="Q347" s="169"/>
      <c r="R347" s="131"/>
      <c r="S347" s="169"/>
      <c r="T347" s="169"/>
      <c r="U347" s="169"/>
      <c r="V347" s="131"/>
      <c r="W347" s="169"/>
      <c r="X347" s="169"/>
      <c r="Y347" s="53"/>
      <c r="Z347" s="110"/>
      <c r="AA347" s="110"/>
      <c r="AB347" s="110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U347" s="135"/>
    </row>
    <row r="348" spans="1:47" hidden="1">
      <c r="A348" s="169" t="s">
        <v>166</v>
      </c>
      <c r="B348" s="169"/>
      <c r="C348" s="169"/>
      <c r="D348" s="131"/>
      <c r="E348" s="131"/>
      <c r="F348" s="169"/>
      <c r="G348" s="131"/>
      <c r="H348" s="169"/>
      <c r="I348" s="169"/>
      <c r="J348" s="131"/>
      <c r="K348" s="169"/>
      <c r="L348" s="169"/>
      <c r="M348" s="169"/>
      <c r="N348" s="131"/>
      <c r="O348" s="169"/>
      <c r="P348" s="169"/>
      <c r="Q348" s="169"/>
      <c r="R348" s="131"/>
      <c r="S348" s="169"/>
      <c r="T348" s="169"/>
      <c r="U348" s="169"/>
      <c r="V348" s="131"/>
      <c r="W348" s="169"/>
      <c r="X348" s="169"/>
      <c r="Y348" s="53"/>
      <c r="Z348" s="110"/>
      <c r="AA348" s="110"/>
      <c r="AB348" s="110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U348" s="135"/>
    </row>
    <row r="349" spans="1:47" hidden="1">
      <c r="A349" s="169"/>
      <c r="B349" s="169"/>
      <c r="C349" s="169"/>
      <c r="D349" s="131"/>
      <c r="E349" s="131"/>
      <c r="F349" s="169"/>
      <c r="G349" s="131"/>
      <c r="H349" s="169"/>
      <c r="I349" s="169"/>
      <c r="J349" s="131"/>
      <c r="K349" s="169"/>
      <c r="L349" s="169"/>
      <c r="M349" s="169"/>
      <c r="N349" s="131"/>
      <c r="O349" s="169"/>
      <c r="P349" s="169"/>
      <c r="Q349" s="169"/>
      <c r="R349" s="131"/>
      <c r="S349" s="169"/>
      <c r="T349" s="169"/>
      <c r="U349" s="169"/>
      <c r="V349" s="131"/>
      <c r="W349" s="169"/>
      <c r="X349" s="169"/>
      <c r="Y349" s="53"/>
      <c r="Z349" s="110"/>
      <c r="AA349" s="110"/>
      <c r="AB349" s="110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U349" s="135"/>
    </row>
    <row r="350" spans="1:47" hidden="1">
      <c r="A350" s="169" t="s">
        <v>146</v>
      </c>
      <c r="B350" s="169"/>
      <c r="C350" s="227"/>
      <c r="D350" s="131"/>
      <c r="E350" s="131"/>
      <c r="F350" s="169"/>
      <c r="G350" s="131"/>
      <c r="H350" s="169"/>
      <c r="I350" s="169"/>
      <c r="J350" s="131"/>
      <c r="K350" s="169"/>
      <c r="L350" s="169"/>
      <c r="M350" s="169"/>
      <c r="N350" s="131"/>
      <c r="O350" s="169"/>
      <c r="P350" s="169"/>
      <c r="Q350" s="169"/>
      <c r="R350" s="131"/>
      <c r="S350" s="169"/>
      <c r="T350" s="169"/>
      <c r="U350" s="169"/>
      <c r="V350" s="131"/>
      <c r="W350" s="169"/>
      <c r="X350" s="169"/>
      <c r="Y350" s="53"/>
      <c r="Z350" s="110"/>
      <c r="AA350" s="110"/>
      <c r="AB350" s="110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U350" s="135"/>
    </row>
    <row r="351" spans="1:47" hidden="1">
      <c r="A351" s="169" t="s">
        <v>173</v>
      </c>
      <c r="B351" s="169"/>
      <c r="C351" s="227">
        <f>C386+C421</f>
        <v>4565.6865373805158</v>
      </c>
      <c r="D351" s="193">
        <v>8.7100000000000009</v>
      </c>
      <c r="E351" s="229"/>
      <c r="F351" s="131">
        <f>F386+F421</f>
        <v>39767</v>
      </c>
      <c r="G351" s="193">
        <v>8.7100000000000009</v>
      </c>
      <c r="H351" s="231"/>
      <c r="I351" s="131">
        <f>ROUND(G351*$C351,0)</f>
        <v>39767</v>
      </c>
      <c r="J351" s="193">
        <f>$J$173</f>
        <v>9.6</v>
      </c>
      <c r="K351" s="231"/>
      <c r="L351" s="131">
        <f>L386+L421</f>
        <v>43831</v>
      </c>
      <c r="M351" s="131"/>
      <c r="N351" s="193">
        <f>$N$173</f>
        <v>9.6</v>
      </c>
      <c r="O351" s="231"/>
      <c r="P351" s="131">
        <f>P386+P421</f>
        <v>43831</v>
      </c>
      <c r="Q351" s="131"/>
      <c r="R351" s="193" t="str">
        <f>$R$173</f>
        <v xml:space="preserve"> </v>
      </c>
      <c r="S351" s="231"/>
      <c r="T351" s="131">
        <f>T386+T421</f>
        <v>0</v>
      </c>
      <c r="U351" s="131"/>
      <c r="V351" s="193" t="str">
        <f>$V$173</f>
        <v xml:space="preserve"> </v>
      </c>
      <c r="W351" s="231"/>
      <c r="X351" s="131">
        <f>X386+X421</f>
        <v>0</v>
      </c>
      <c r="Y351" s="53"/>
      <c r="Z351" s="110"/>
      <c r="AA351" s="110"/>
      <c r="AB351" s="110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U351" s="135"/>
    </row>
    <row r="352" spans="1:47" hidden="1">
      <c r="A352" s="169" t="s">
        <v>144</v>
      </c>
      <c r="B352" s="169"/>
      <c r="C352" s="227">
        <f>C387+C422</f>
        <v>0</v>
      </c>
      <c r="D352" s="193">
        <v>12.98</v>
      </c>
      <c r="E352" s="232"/>
      <c r="F352" s="131">
        <f>F387+F422</f>
        <v>0</v>
      </c>
      <c r="G352" s="193">
        <v>12.98</v>
      </c>
      <c r="H352" s="233"/>
      <c r="I352" s="131">
        <f t="shared" ref="I352:I353" si="105">ROUND(G352*$C352,0)</f>
        <v>0</v>
      </c>
      <c r="J352" s="193">
        <f>$J$174</f>
        <v>14.3</v>
      </c>
      <c r="K352" s="233"/>
      <c r="L352" s="131">
        <f>L387+L422</f>
        <v>0</v>
      </c>
      <c r="M352" s="131"/>
      <c r="N352" s="193">
        <f>$N$174</f>
        <v>14.3</v>
      </c>
      <c r="O352" s="233"/>
      <c r="P352" s="131">
        <f>P387+P422</f>
        <v>0</v>
      </c>
      <c r="Q352" s="131"/>
      <c r="R352" s="193" t="str">
        <f>$R$174</f>
        <v xml:space="preserve"> </v>
      </c>
      <c r="S352" s="233"/>
      <c r="T352" s="131">
        <f>T387+T422</f>
        <v>0</v>
      </c>
      <c r="U352" s="131"/>
      <c r="V352" s="193" t="str">
        <f>$V$174</f>
        <v xml:space="preserve"> </v>
      </c>
      <c r="W352" s="233"/>
      <c r="X352" s="131">
        <f>X387+X422</f>
        <v>0</v>
      </c>
      <c r="Y352" s="53"/>
      <c r="Z352" s="110"/>
      <c r="AA352" s="110"/>
      <c r="AB352" s="110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U352" s="135"/>
    </row>
    <row r="353" spans="1:47" hidden="1">
      <c r="A353" s="169" t="s">
        <v>145</v>
      </c>
      <c r="B353" s="169"/>
      <c r="C353" s="227">
        <f>C388+C423</f>
        <v>0</v>
      </c>
      <c r="D353" s="193">
        <v>0.92</v>
      </c>
      <c r="E353" s="232"/>
      <c r="F353" s="131">
        <f>F388+F423</f>
        <v>0</v>
      </c>
      <c r="G353" s="193">
        <v>0.92</v>
      </c>
      <c r="H353" s="233"/>
      <c r="I353" s="131">
        <f t="shared" si="105"/>
        <v>0</v>
      </c>
      <c r="J353" s="193">
        <f>$J$175</f>
        <v>1</v>
      </c>
      <c r="K353" s="233"/>
      <c r="L353" s="131">
        <f>L388+L423</f>
        <v>0</v>
      </c>
      <c r="M353" s="131"/>
      <c r="N353" s="193">
        <f>$N$175</f>
        <v>1</v>
      </c>
      <c r="O353" s="233"/>
      <c r="P353" s="131">
        <f>P388+P423</f>
        <v>0</v>
      </c>
      <c r="Q353" s="131"/>
      <c r="R353" s="193" t="str">
        <f>$R$175</f>
        <v xml:space="preserve"> </v>
      </c>
      <c r="S353" s="233"/>
      <c r="T353" s="131">
        <f>T388+T423</f>
        <v>0</v>
      </c>
      <c r="U353" s="131"/>
      <c r="V353" s="193" t="str">
        <f>$V$175</f>
        <v xml:space="preserve"> </v>
      </c>
      <c r="W353" s="233"/>
      <c r="X353" s="131">
        <f>X388+X423</f>
        <v>0</v>
      </c>
      <c r="Y353" s="53"/>
      <c r="Z353" s="110"/>
      <c r="AA353" s="110"/>
      <c r="AB353" s="110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U353" s="135"/>
    </row>
    <row r="354" spans="1:47" hidden="1">
      <c r="A354" s="169" t="s">
        <v>147</v>
      </c>
      <c r="B354" s="169"/>
      <c r="C354" s="227">
        <f>SUM(C351:C352)</f>
        <v>4565.6865373805158</v>
      </c>
      <c r="D354" s="193"/>
      <c r="E354" s="229"/>
      <c r="F354" s="131"/>
      <c r="G354" s="193"/>
      <c r="H354" s="231"/>
      <c r="I354" s="131"/>
      <c r="J354" s="193"/>
      <c r="K354" s="231"/>
      <c r="L354" s="131"/>
      <c r="M354" s="131"/>
      <c r="N354" s="193"/>
      <c r="O354" s="231"/>
      <c r="P354" s="131"/>
      <c r="Q354" s="131"/>
      <c r="R354" s="193"/>
      <c r="S354" s="231"/>
      <c r="T354" s="131"/>
      <c r="U354" s="131"/>
      <c r="V354" s="193"/>
      <c r="W354" s="231"/>
      <c r="X354" s="131"/>
      <c r="Y354" s="53"/>
      <c r="Z354" s="110"/>
      <c r="AA354" s="110"/>
      <c r="AB354" s="110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U354" s="135"/>
    </row>
    <row r="355" spans="1:47" hidden="1">
      <c r="A355" s="169" t="s">
        <v>109</v>
      </c>
      <c r="B355" s="169"/>
      <c r="C355" s="227">
        <f t="shared" ref="C355:C360" si="106">C390+C425</f>
        <v>1452.6333333333369</v>
      </c>
      <c r="D355" s="193"/>
      <c r="E355" s="229"/>
      <c r="F355" s="131"/>
      <c r="G355" s="193"/>
      <c r="H355" s="231"/>
      <c r="I355" s="131"/>
      <c r="J355" s="193"/>
      <c r="K355" s="231"/>
      <c r="L355" s="131"/>
      <c r="M355" s="131"/>
      <c r="N355" s="193"/>
      <c r="O355" s="231"/>
      <c r="P355" s="131"/>
      <c r="Q355" s="131"/>
      <c r="R355" s="193"/>
      <c r="S355" s="231"/>
      <c r="T355" s="131"/>
      <c r="U355" s="131"/>
      <c r="V355" s="193"/>
      <c r="W355" s="231"/>
      <c r="X355" s="131"/>
      <c r="Y355" s="53"/>
      <c r="Z355" s="110"/>
      <c r="AA355" s="110"/>
      <c r="AB355" s="110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U355" s="135"/>
    </row>
    <row r="356" spans="1:47" hidden="1">
      <c r="A356" s="169" t="s">
        <v>148</v>
      </c>
      <c r="B356" s="169"/>
      <c r="C356" s="227">
        <f t="shared" si="106"/>
        <v>0</v>
      </c>
      <c r="D356" s="250">
        <v>3.4</v>
      </c>
      <c r="E356" s="231"/>
      <c r="F356" s="131">
        <f>F391+F426</f>
        <v>0</v>
      </c>
      <c r="G356" s="250">
        <v>3.61</v>
      </c>
      <c r="H356" s="231"/>
      <c r="I356" s="131">
        <f>ROUND(G356*C356,0)</f>
        <v>0</v>
      </c>
      <c r="J356" s="250">
        <f>$J$178</f>
        <v>3.64</v>
      </c>
      <c r="K356" s="231"/>
      <c r="L356" s="131">
        <f>L391+L426</f>
        <v>0</v>
      </c>
      <c r="M356" s="131"/>
      <c r="N356" s="250">
        <f>$N$178</f>
        <v>0.48</v>
      </c>
      <c r="O356" s="231"/>
      <c r="P356" s="131">
        <f>P391+P426</f>
        <v>0</v>
      </c>
      <c r="Q356" s="131"/>
      <c r="R356" s="250">
        <f>$R$178</f>
        <v>0.63</v>
      </c>
      <c r="S356" s="231"/>
      <c r="T356" s="131">
        <f>T391+T426</f>
        <v>0</v>
      </c>
      <c r="U356" s="131"/>
      <c r="V356" s="250">
        <f>$V$178</f>
        <v>2.54</v>
      </c>
      <c r="W356" s="231"/>
      <c r="X356" s="131">
        <f>X391+X426</f>
        <v>0</v>
      </c>
      <c r="Y356" s="53"/>
      <c r="Z356" s="110"/>
      <c r="AA356" s="110"/>
      <c r="AB356" s="110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U356" s="135"/>
    </row>
    <row r="357" spans="1:47" hidden="1">
      <c r="A357" s="169" t="s">
        <v>149</v>
      </c>
      <c r="B357" s="169"/>
      <c r="C357" s="227">
        <f t="shared" si="106"/>
        <v>1237819.6605672329</v>
      </c>
      <c r="D357" s="195">
        <v>9.766</v>
      </c>
      <c r="E357" s="231" t="s">
        <v>107</v>
      </c>
      <c r="F357" s="131">
        <f>F392+F427</f>
        <v>120885</v>
      </c>
      <c r="G357" s="195">
        <v>10.359</v>
      </c>
      <c r="H357" s="231" t="s">
        <v>107</v>
      </c>
      <c r="I357" s="131">
        <f>ROUND(G357*C357/100,0)</f>
        <v>128226</v>
      </c>
      <c r="J357" s="195">
        <f>$J$179</f>
        <v>10.449</v>
      </c>
      <c r="K357" s="231" t="s">
        <v>107</v>
      </c>
      <c r="L357" s="131">
        <f>L392+L427</f>
        <v>129340</v>
      </c>
      <c r="M357" s="131"/>
      <c r="N357" s="195">
        <f>$N$179</f>
        <v>1.3644187751662151</v>
      </c>
      <c r="O357" s="231" t="s">
        <v>107</v>
      </c>
      <c r="P357" s="131">
        <f>P392+P427</f>
        <v>16890</v>
      </c>
      <c r="Q357" s="131"/>
      <c r="R357" s="195">
        <f>$R$179</f>
        <v>1.7973223544650079</v>
      </c>
      <c r="S357" s="231" t="s">
        <v>107</v>
      </c>
      <c r="T357" s="131">
        <f>T392+T427</f>
        <v>22248</v>
      </c>
      <c r="U357" s="131"/>
      <c r="V357" s="195">
        <f>$V$179</f>
        <v>7.2874254450520697</v>
      </c>
      <c r="W357" s="231" t="s">
        <v>107</v>
      </c>
      <c r="X357" s="131">
        <f>X392+X427</f>
        <v>90206</v>
      </c>
      <c r="Y357" s="53"/>
      <c r="Z357" s="110"/>
      <c r="AA357" s="110"/>
      <c r="AB357" s="110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U357" s="135"/>
    </row>
    <row r="358" spans="1:47" hidden="1">
      <c r="A358" s="169" t="s">
        <v>150</v>
      </c>
      <c r="B358" s="169"/>
      <c r="C358" s="227">
        <f t="shared" si="106"/>
        <v>64812</v>
      </c>
      <c r="D358" s="195">
        <v>6.7460000000000004</v>
      </c>
      <c r="E358" s="231" t="s">
        <v>107</v>
      </c>
      <c r="F358" s="131">
        <f>F393+F428</f>
        <v>4372</v>
      </c>
      <c r="G358" s="195">
        <v>7.1559999999999997</v>
      </c>
      <c r="H358" s="231" t="s">
        <v>107</v>
      </c>
      <c r="I358" s="131">
        <f t="shared" ref="I358:I360" si="107">ROUND(G358*C358/100,0)</f>
        <v>4638</v>
      </c>
      <c r="J358" s="195">
        <f>$J$180</f>
        <v>7.218</v>
      </c>
      <c r="K358" s="231" t="s">
        <v>107</v>
      </c>
      <c r="L358" s="131">
        <f>L393+L428</f>
        <v>4678</v>
      </c>
      <c r="M358" s="131"/>
      <c r="N358" s="195">
        <f>$N$180</f>
        <v>0.94251839115112013</v>
      </c>
      <c r="O358" s="231" t="s">
        <v>107</v>
      </c>
      <c r="P358" s="131">
        <f>P393+P428</f>
        <v>611</v>
      </c>
      <c r="Q358" s="131"/>
      <c r="R358" s="195">
        <f>$R$180</f>
        <v>1.2418703884281421</v>
      </c>
      <c r="S358" s="231" t="s">
        <v>107</v>
      </c>
      <c r="T358" s="131">
        <f>T393+T428</f>
        <v>805</v>
      </c>
      <c r="U358" s="131"/>
      <c r="V358" s="195">
        <f>$V$180</f>
        <v>5.0333446832527242</v>
      </c>
      <c r="W358" s="231" t="s">
        <v>107</v>
      </c>
      <c r="X358" s="131">
        <f>X393+X428</f>
        <v>3262</v>
      </c>
      <c r="Y358" s="53"/>
      <c r="Z358" s="110"/>
      <c r="AA358" s="110"/>
      <c r="AB358" s="110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U358" s="135"/>
    </row>
    <row r="359" spans="1:47" hidden="1">
      <c r="A359" s="169" t="s">
        <v>151</v>
      </c>
      <c r="B359" s="169"/>
      <c r="C359" s="227">
        <f t="shared" si="106"/>
        <v>0</v>
      </c>
      <c r="D359" s="195">
        <v>5.8120000000000003</v>
      </c>
      <c r="E359" s="231" t="s">
        <v>107</v>
      </c>
      <c r="F359" s="131">
        <f>F394+F429</f>
        <v>0</v>
      </c>
      <c r="G359" s="195">
        <v>6.1660000000000004</v>
      </c>
      <c r="H359" s="231" t="s">
        <v>107</v>
      </c>
      <c r="I359" s="131">
        <f t="shared" si="107"/>
        <v>0</v>
      </c>
      <c r="J359" s="195">
        <f>$J$181</f>
        <v>6.218</v>
      </c>
      <c r="K359" s="231" t="s">
        <v>107</v>
      </c>
      <c r="L359" s="131">
        <f t="shared" ref="L359:L362" si="108">L394+L429</f>
        <v>0</v>
      </c>
      <c r="M359" s="131"/>
      <c r="N359" s="195">
        <f>$N$181</f>
        <v>0.81193939748297494</v>
      </c>
      <c r="O359" s="231" t="s">
        <v>107</v>
      </c>
      <c r="P359" s="131">
        <f t="shared" ref="P359:P363" si="109">P394+P429</f>
        <v>0</v>
      </c>
      <c r="Q359" s="131"/>
      <c r="R359" s="195">
        <f>$R$181</f>
        <v>1.0689569190308457</v>
      </c>
      <c r="S359" s="231" t="s">
        <v>107</v>
      </c>
      <c r="T359" s="131">
        <f t="shared" ref="T359:T363" si="110">T394+T429</f>
        <v>0</v>
      </c>
      <c r="U359" s="131"/>
      <c r="V359" s="195">
        <f>$V$181</f>
        <v>4.3370117827017491</v>
      </c>
      <c r="W359" s="231" t="s">
        <v>107</v>
      </c>
      <c r="X359" s="131">
        <f t="shared" ref="X359:X362" si="111">X394+X429</f>
        <v>0</v>
      </c>
      <c r="Y359" s="53"/>
      <c r="Z359" s="110"/>
      <c r="AA359" s="110"/>
      <c r="AB359" s="110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U359" s="135"/>
    </row>
    <row r="360" spans="1:47" hidden="1">
      <c r="A360" s="169" t="s">
        <v>152</v>
      </c>
      <c r="B360" s="169"/>
      <c r="C360" s="227">
        <f t="shared" si="106"/>
        <v>0</v>
      </c>
      <c r="D360" s="237">
        <v>56</v>
      </c>
      <c r="E360" s="229" t="s">
        <v>107</v>
      </c>
      <c r="F360" s="131">
        <f>F395+F430</f>
        <v>0</v>
      </c>
      <c r="G360" s="237">
        <v>56</v>
      </c>
      <c r="H360" s="231" t="s">
        <v>107</v>
      </c>
      <c r="I360" s="131">
        <f t="shared" si="107"/>
        <v>0</v>
      </c>
      <c r="J360" s="237">
        <f>$J$182</f>
        <v>56</v>
      </c>
      <c r="K360" s="231" t="s">
        <v>107</v>
      </c>
      <c r="L360" s="131">
        <f t="shared" si="108"/>
        <v>0</v>
      </c>
      <c r="M360" s="131"/>
      <c r="N360" s="237" t="str">
        <f>$N$182</f>
        <v xml:space="preserve"> </v>
      </c>
      <c r="O360" s="231" t="s">
        <v>107</v>
      </c>
      <c r="P360" s="131">
        <f t="shared" si="109"/>
        <v>0</v>
      </c>
      <c r="Q360" s="131"/>
      <c r="R360" s="237">
        <f>$R$182</f>
        <v>11</v>
      </c>
      <c r="S360" s="231" t="s">
        <v>107</v>
      </c>
      <c r="T360" s="131">
        <f t="shared" si="110"/>
        <v>0</v>
      </c>
      <c r="U360" s="131"/>
      <c r="V360" s="237">
        <f>$V$182</f>
        <v>45</v>
      </c>
      <c r="W360" s="231" t="s">
        <v>107</v>
      </c>
      <c r="X360" s="131">
        <f t="shared" si="111"/>
        <v>0</v>
      </c>
      <c r="Y360" s="53"/>
      <c r="Z360" s="110"/>
      <c r="AA360" s="110"/>
      <c r="AB360" s="110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U360" s="135"/>
    </row>
    <row r="361" spans="1:47" s="141" customFormat="1" hidden="1">
      <c r="A361" s="140" t="s">
        <v>153</v>
      </c>
      <c r="C361" s="239">
        <f>C402+C443</f>
        <v>0</v>
      </c>
      <c r="D361" s="138"/>
      <c r="E361" s="143"/>
      <c r="F361" s="144"/>
      <c r="G361" s="138"/>
      <c r="H361" s="143"/>
      <c r="I361" s="144"/>
      <c r="J361" s="145">
        <f>J183</f>
        <v>0</v>
      </c>
      <c r="K361" s="240" t="s">
        <v>107</v>
      </c>
      <c r="L361" s="131">
        <f t="shared" si="108"/>
        <v>0</v>
      </c>
      <c r="M361" s="131"/>
      <c r="N361" s="145" t="str">
        <f>N183</f>
        <v xml:space="preserve"> </v>
      </c>
      <c r="O361" s="240" t="s">
        <v>107</v>
      </c>
      <c r="P361" s="131">
        <f t="shared" si="109"/>
        <v>0</v>
      </c>
      <c r="Q361" s="131"/>
      <c r="R361" s="145" t="str">
        <f>R183</f>
        <v xml:space="preserve"> </v>
      </c>
      <c r="S361" s="240" t="s">
        <v>107</v>
      </c>
      <c r="T361" s="131">
        <f t="shared" si="110"/>
        <v>0</v>
      </c>
      <c r="U361" s="131"/>
      <c r="V361" s="145">
        <f>V183</f>
        <v>0</v>
      </c>
      <c r="W361" s="240" t="s">
        <v>107</v>
      </c>
      <c r="X361" s="131">
        <f t="shared" si="111"/>
        <v>0</v>
      </c>
      <c r="Z361" s="132"/>
      <c r="AC361" s="148"/>
      <c r="AD361" s="148"/>
      <c r="AI361" s="143"/>
      <c r="AJ361" s="143"/>
      <c r="AK361" s="143"/>
      <c r="AL361" s="143"/>
      <c r="AM361" s="143"/>
      <c r="AN361" s="143"/>
      <c r="AO361" s="143"/>
      <c r="AP361" s="143"/>
      <c r="AQ361" s="143"/>
      <c r="AR361" s="143"/>
      <c r="AS361" s="143"/>
      <c r="AU361" s="147"/>
    </row>
    <row r="362" spans="1:47" s="141" customFormat="1" hidden="1">
      <c r="A362" s="140" t="s">
        <v>154</v>
      </c>
      <c r="C362" s="239">
        <f>C403+C444</f>
        <v>0</v>
      </c>
      <c r="D362" s="138"/>
      <c r="E362" s="143"/>
      <c r="F362" s="144"/>
      <c r="G362" s="138"/>
      <c r="H362" s="143"/>
      <c r="I362" s="144"/>
      <c r="J362" s="145">
        <f>J184</f>
        <v>0</v>
      </c>
      <c r="K362" s="240" t="s">
        <v>107</v>
      </c>
      <c r="L362" s="131">
        <f t="shared" si="108"/>
        <v>0</v>
      </c>
      <c r="M362" s="131"/>
      <c r="N362" s="145" t="str">
        <f>N184</f>
        <v xml:space="preserve"> </v>
      </c>
      <c r="O362" s="240" t="s">
        <v>107</v>
      </c>
      <c r="P362" s="131">
        <f t="shared" si="109"/>
        <v>0</v>
      </c>
      <c r="Q362" s="131"/>
      <c r="R362" s="145" t="str">
        <f>R184</f>
        <v xml:space="preserve"> </v>
      </c>
      <c r="S362" s="240" t="s">
        <v>107</v>
      </c>
      <c r="T362" s="131">
        <f t="shared" si="110"/>
        <v>0</v>
      </c>
      <c r="U362" s="131"/>
      <c r="V362" s="145">
        <f>V184</f>
        <v>0</v>
      </c>
      <c r="W362" s="240" t="s">
        <v>107</v>
      </c>
      <c r="X362" s="131">
        <f t="shared" si="111"/>
        <v>0</v>
      </c>
      <c r="Z362" s="132"/>
      <c r="AC362" s="148"/>
      <c r="AD362" s="148"/>
      <c r="AI362" s="143"/>
      <c r="AJ362" s="143"/>
      <c r="AK362" s="143"/>
      <c r="AL362" s="143"/>
      <c r="AM362" s="143"/>
      <c r="AN362" s="143"/>
      <c r="AO362" s="143"/>
      <c r="AP362" s="143"/>
      <c r="AQ362" s="143"/>
      <c r="AR362" s="143"/>
      <c r="AS362" s="143"/>
      <c r="AU362" s="147"/>
    </row>
    <row r="363" spans="1:47" s="141" customFormat="1" hidden="1">
      <c r="A363" s="140" t="s">
        <v>155</v>
      </c>
      <c r="C363" s="239">
        <f>C404+C448</f>
        <v>33313</v>
      </c>
      <c r="D363" s="138"/>
      <c r="E363" s="143"/>
      <c r="F363" s="144"/>
      <c r="G363" s="138"/>
      <c r="H363" s="143"/>
      <c r="I363" s="144"/>
      <c r="J363" s="145">
        <f>J185</f>
        <v>0</v>
      </c>
      <c r="K363" s="240" t="s">
        <v>107</v>
      </c>
      <c r="L363" s="144">
        <f>L404+L448</f>
        <v>8498</v>
      </c>
      <c r="M363" s="144"/>
      <c r="N363" s="145" t="str">
        <f>N185</f>
        <v xml:space="preserve"> </v>
      </c>
      <c r="O363" s="240" t="s">
        <v>107</v>
      </c>
      <c r="P363" s="131">
        <f t="shared" si="109"/>
        <v>0</v>
      </c>
      <c r="Q363" s="144"/>
      <c r="R363" s="145" t="str">
        <f>R185</f>
        <v xml:space="preserve"> </v>
      </c>
      <c r="S363" s="240" t="s">
        <v>107</v>
      </c>
      <c r="T363" s="131">
        <f t="shared" si="110"/>
        <v>0</v>
      </c>
      <c r="U363" s="144"/>
      <c r="V363" s="145">
        <f>V185</f>
        <v>0</v>
      </c>
      <c r="W363" s="240" t="s">
        <v>107</v>
      </c>
      <c r="X363" s="144">
        <f>X404+X448</f>
        <v>2428</v>
      </c>
      <c r="Z363" s="132"/>
      <c r="AC363" s="148"/>
      <c r="AD363" s="148"/>
      <c r="AI363" s="143"/>
      <c r="AJ363" s="143"/>
      <c r="AK363" s="143"/>
      <c r="AL363" s="143"/>
      <c r="AM363" s="143"/>
      <c r="AN363" s="143"/>
      <c r="AO363" s="143"/>
      <c r="AP363" s="143"/>
      <c r="AQ363" s="143"/>
      <c r="AR363" s="143"/>
      <c r="AS363" s="143"/>
      <c r="AU363" s="147"/>
    </row>
    <row r="364" spans="1:47" hidden="1">
      <c r="A364" s="244" t="s">
        <v>159</v>
      </c>
      <c r="B364" s="169"/>
      <c r="C364" s="227"/>
      <c r="D364" s="245">
        <v>-0.01</v>
      </c>
      <c r="E364" s="229"/>
      <c r="F364" s="131"/>
      <c r="G364" s="245">
        <v>-0.01</v>
      </c>
      <c r="H364" s="231"/>
      <c r="I364" s="131"/>
      <c r="J364" s="245">
        <v>-0.01</v>
      </c>
      <c r="K364" s="231"/>
      <c r="L364" s="131"/>
      <c r="M364" s="131"/>
      <c r="N364" s="245">
        <v>-0.01</v>
      </c>
      <c r="O364" s="231"/>
      <c r="P364" s="131"/>
      <c r="Q364" s="131"/>
      <c r="R364" s="245">
        <v>-0.01</v>
      </c>
      <c r="S364" s="231"/>
      <c r="T364" s="131"/>
      <c r="U364" s="131"/>
      <c r="V364" s="245">
        <v>-0.01</v>
      </c>
      <c r="W364" s="231"/>
      <c r="X364" s="131"/>
      <c r="Y364" s="53"/>
      <c r="Z364" s="110"/>
      <c r="AA364" s="110"/>
      <c r="AB364" s="110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U364" s="135"/>
    </row>
    <row r="365" spans="1:47" hidden="1">
      <c r="A365" s="169" t="s">
        <v>143</v>
      </c>
      <c r="B365" s="169"/>
      <c r="C365" s="227">
        <v>0</v>
      </c>
      <c r="D365" s="247">
        <v>8.7100000000000009</v>
      </c>
      <c r="E365" s="229"/>
      <c r="F365" s="131">
        <f t="shared" ref="F365:F374" si="112">F400+F435</f>
        <v>0</v>
      </c>
      <c r="G365" s="247">
        <v>8.7100000000000009</v>
      </c>
      <c r="H365" s="229"/>
      <c r="I365" s="131">
        <f>-ROUND(G365*$C365/100,0)</f>
        <v>0</v>
      </c>
      <c r="J365" s="247">
        <f>J351</f>
        <v>9.6</v>
      </c>
      <c r="K365" s="229"/>
      <c r="L365" s="131">
        <f t="shared" ref="L365:L378" si="113">L400+L435</f>
        <v>0</v>
      </c>
      <c r="M365" s="131"/>
      <c r="N365" s="247">
        <f>N351</f>
        <v>9.6</v>
      </c>
      <c r="O365" s="229"/>
      <c r="P365" s="131">
        <f t="shared" ref="P365:P378" si="114">P400+P435</f>
        <v>0</v>
      </c>
      <c r="Q365" s="131"/>
      <c r="R365" s="247" t="str">
        <f>R351</f>
        <v xml:space="preserve"> </v>
      </c>
      <c r="S365" s="229"/>
      <c r="T365" s="131">
        <f t="shared" ref="T365:T378" si="115">T400+T435</f>
        <v>0</v>
      </c>
      <c r="U365" s="131"/>
      <c r="V365" s="247" t="str">
        <f>V351</f>
        <v xml:space="preserve"> </v>
      </c>
      <c r="W365" s="229"/>
      <c r="X365" s="131">
        <f t="shared" ref="X365:X378" si="116">X400+X435</f>
        <v>0</v>
      </c>
      <c r="Y365" s="53"/>
      <c r="Z365" s="110"/>
      <c r="AA365" s="110"/>
      <c r="AB365" s="110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U365" s="135"/>
    </row>
    <row r="366" spans="1:47" hidden="1">
      <c r="A366" s="169" t="s">
        <v>144</v>
      </c>
      <c r="B366" s="169"/>
      <c r="C366" s="227">
        <v>0</v>
      </c>
      <c r="D366" s="247">
        <v>12.98</v>
      </c>
      <c r="E366" s="229"/>
      <c r="F366" s="131">
        <f t="shared" si="112"/>
        <v>0</v>
      </c>
      <c r="G366" s="247">
        <v>12.98</v>
      </c>
      <c r="H366" s="229"/>
      <c r="I366" s="131">
        <f t="shared" ref="I366:I368" si="117">-ROUND(G366*$C366/100,0)</f>
        <v>0</v>
      </c>
      <c r="J366" s="247">
        <f>J352</f>
        <v>14.3</v>
      </c>
      <c r="K366" s="229"/>
      <c r="L366" s="131">
        <f t="shared" si="113"/>
        <v>0</v>
      </c>
      <c r="M366" s="131"/>
      <c r="N366" s="247">
        <f>N352</f>
        <v>14.3</v>
      </c>
      <c r="O366" s="229"/>
      <c r="P366" s="131">
        <f t="shared" si="114"/>
        <v>0</v>
      </c>
      <c r="Q366" s="131"/>
      <c r="R366" s="247" t="str">
        <f>R352</f>
        <v xml:space="preserve"> </v>
      </c>
      <c r="S366" s="229"/>
      <c r="T366" s="131">
        <f t="shared" si="115"/>
        <v>0</v>
      </c>
      <c r="U366" s="131"/>
      <c r="V366" s="247" t="str">
        <f>V352</f>
        <v xml:space="preserve"> </v>
      </c>
      <c r="W366" s="229"/>
      <c r="X366" s="131">
        <f t="shared" si="116"/>
        <v>0</v>
      </c>
      <c r="Y366" s="53"/>
      <c r="Z366" s="110"/>
      <c r="AA366" s="110"/>
      <c r="AB366" s="110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U366" s="135"/>
    </row>
    <row r="367" spans="1:47" hidden="1">
      <c r="A367" s="169" t="s">
        <v>160</v>
      </c>
      <c r="B367" s="169"/>
      <c r="C367" s="227">
        <v>0</v>
      </c>
      <c r="D367" s="247">
        <v>0.92</v>
      </c>
      <c r="E367" s="229"/>
      <c r="F367" s="131">
        <f t="shared" si="112"/>
        <v>0</v>
      </c>
      <c r="G367" s="247">
        <v>0.92</v>
      </c>
      <c r="H367" s="229"/>
      <c r="I367" s="131">
        <f t="shared" si="117"/>
        <v>0</v>
      </c>
      <c r="J367" s="247">
        <f>J353</f>
        <v>1</v>
      </c>
      <c r="K367" s="229"/>
      <c r="L367" s="131">
        <f t="shared" si="113"/>
        <v>0</v>
      </c>
      <c r="M367" s="131"/>
      <c r="N367" s="247">
        <f>N353</f>
        <v>1</v>
      </c>
      <c r="O367" s="229"/>
      <c r="P367" s="131">
        <f t="shared" si="114"/>
        <v>0</v>
      </c>
      <c r="Q367" s="131"/>
      <c r="R367" s="247" t="str">
        <f>R353</f>
        <v xml:space="preserve"> </v>
      </c>
      <c r="S367" s="229"/>
      <c r="T367" s="131">
        <f t="shared" si="115"/>
        <v>0</v>
      </c>
      <c r="U367" s="131"/>
      <c r="V367" s="247" t="str">
        <f>V353</f>
        <v xml:space="preserve"> </v>
      </c>
      <c r="W367" s="229"/>
      <c r="X367" s="131">
        <f t="shared" si="116"/>
        <v>0</v>
      </c>
      <c r="Y367" s="53"/>
      <c r="Z367" s="110"/>
      <c r="AA367" s="110"/>
      <c r="AB367" s="110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U367" s="135"/>
    </row>
    <row r="368" spans="1:47" hidden="1">
      <c r="A368" s="169" t="s">
        <v>161</v>
      </c>
      <c r="B368" s="169"/>
      <c r="C368" s="227">
        <v>0</v>
      </c>
      <c r="D368" s="247">
        <v>3.4</v>
      </c>
      <c r="E368" s="231"/>
      <c r="F368" s="131">
        <f t="shared" si="112"/>
        <v>0</v>
      </c>
      <c r="G368" s="247">
        <v>3.61</v>
      </c>
      <c r="H368" s="231"/>
      <c r="I368" s="131">
        <f t="shared" si="117"/>
        <v>0</v>
      </c>
      <c r="J368" s="247">
        <f>J356</f>
        <v>3.64</v>
      </c>
      <c r="K368" s="231"/>
      <c r="L368" s="131">
        <f t="shared" si="113"/>
        <v>0</v>
      </c>
      <c r="M368" s="131"/>
      <c r="N368" s="247">
        <f>N356</f>
        <v>0.48</v>
      </c>
      <c r="O368" s="231"/>
      <c r="P368" s="131">
        <f t="shared" si="114"/>
        <v>0</v>
      </c>
      <c r="Q368" s="131"/>
      <c r="R368" s="247">
        <f>R356</f>
        <v>0.63</v>
      </c>
      <c r="S368" s="231"/>
      <c r="T368" s="131">
        <f t="shared" si="115"/>
        <v>0</v>
      </c>
      <c r="U368" s="131"/>
      <c r="V368" s="247">
        <f>V356</f>
        <v>2.54</v>
      </c>
      <c r="W368" s="231"/>
      <c r="X368" s="131">
        <f t="shared" si="116"/>
        <v>0</v>
      </c>
      <c r="Y368" s="53"/>
      <c r="Z368" s="110"/>
      <c r="AA368" s="110"/>
      <c r="AB368" s="110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U368" s="135"/>
    </row>
    <row r="369" spans="1:47" hidden="1">
      <c r="A369" s="169" t="s">
        <v>162</v>
      </c>
      <c r="B369" s="169"/>
      <c r="C369" s="227">
        <v>0</v>
      </c>
      <c r="D369" s="248">
        <v>9.766</v>
      </c>
      <c r="E369" s="231" t="s">
        <v>107</v>
      </c>
      <c r="F369" s="131">
        <f t="shared" si="112"/>
        <v>0</v>
      </c>
      <c r="G369" s="248">
        <v>10.359</v>
      </c>
      <c r="H369" s="231" t="s">
        <v>107</v>
      </c>
      <c r="I369" s="131">
        <f>ROUND(G369*$C369/100*G364,0)</f>
        <v>0</v>
      </c>
      <c r="J369" s="248">
        <f>J357</f>
        <v>10.449</v>
      </c>
      <c r="K369" s="231" t="s">
        <v>107</v>
      </c>
      <c r="L369" s="131">
        <f t="shared" si="113"/>
        <v>0</v>
      </c>
      <c r="M369" s="131"/>
      <c r="N369" s="248">
        <f>N357</f>
        <v>1.3644187751662151</v>
      </c>
      <c r="O369" s="231" t="s">
        <v>107</v>
      </c>
      <c r="P369" s="131">
        <f t="shared" si="114"/>
        <v>0</v>
      </c>
      <c r="Q369" s="131"/>
      <c r="R369" s="248">
        <f>R357</f>
        <v>1.7973223544650079</v>
      </c>
      <c r="S369" s="231" t="s">
        <v>107</v>
      </c>
      <c r="T369" s="131">
        <f t="shared" si="115"/>
        <v>0</v>
      </c>
      <c r="U369" s="131"/>
      <c r="V369" s="248">
        <f>V357</f>
        <v>7.2874254450520697</v>
      </c>
      <c r="W369" s="231" t="s">
        <v>107</v>
      </c>
      <c r="X369" s="131">
        <f t="shared" si="116"/>
        <v>0</v>
      </c>
      <c r="Y369" s="53"/>
      <c r="Z369" s="110"/>
      <c r="AA369" s="110"/>
      <c r="AB369" s="110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U369" s="135"/>
    </row>
    <row r="370" spans="1:47" hidden="1">
      <c r="A370" s="169" t="s">
        <v>150</v>
      </c>
      <c r="B370" s="169"/>
      <c r="C370" s="227">
        <v>0</v>
      </c>
      <c r="D370" s="248">
        <v>6.7460000000000004</v>
      </c>
      <c r="E370" s="231" t="s">
        <v>107</v>
      </c>
      <c r="F370" s="131">
        <f t="shared" si="112"/>
        <v>0</v>
      </c>
      <c r="G370" s="248">
        <v>7.1559999999999997</v>
      </c>
      <c r="H370" s="231" t="s">
        <v>107</v>
      </c>
      <c r="I370" s="131">
        <f>ROUND(G370*$C370/100*G364,0)</f>
        <v>0</v>
      </c>
      <c r="J370" s="248">
        <f>J358</f>
        <v>7.218</v>
      </c>
      <c r="K370" s="231" t="s">
        <v>107</v>
      </c>
      <c r="L370" s="131">
        <f t="shared" si="113"/>
        <v>0</v>
      </c>
      <c r="M370" s="131"/>
      <c r="N370" s="248">
        <f>N358</f>
        <v>0.94251839115112013</v>
      </c>
      <c r="O370" s="231" t="s">
        <v>107</v>
      </c>
      <c r="P370" s="131">
        <f t="shared" si="114"/>
        <v>0</v>
      </c>
      <c r="Q370" s="131"/>
      <c r="R370" s="248">
        <f>R358</f>
        <v>1.2418703884281421</v>
      </c>
      <c r="S370" s="231" t="s">
        <v>107</v>
      </c>
      <c r="T370" s="131">
        <f t="shared" si="115"/>
        <v>0</v>
      </c>
      <c r="U370" s="131"/>
      <c r="V370" s="248">
        <f>V358</f>
        <v>5.0333446832527242</v>
      </c>
      <c r="W370" s="231" t="s">
        <v>107</v>
      </c>
      <c r="X370" s="131">
        <f t="shared" si="116"/>
        <v>0</v>
      </c>
      <c r="Y370" s="53"/>
      <c r="Z370" s="110"/>
      <c r="AA370" s="110"/>
      <c r="AB370" s="110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U370" s="135"/>
    </row>
    <row r="371" spans="1:47" hidden="1">
      <c r="A371" s="169" t="s">
        <v>151</v>
      </c>
      <c r="B371" s="169"/>
      <c r="C371" s="227">
        <v>0</v>
      </c>
      <c r="D371" s="248">
        <v>5.8120000000000003</v>
      </c>
      <c r="E371" s="231" t="s">
        <v>107</v>
      </c>
      <c r="F371" s="131">
        <f t="shared" si="112"/>
        <v>0</v>
      </c>
      <c r="G371" s="248">
        <v>6.1660000000000004</v>
      </c>
      <c r="H371" s="231" t="s">
        <v>107</v>
      </c>
      <c r="I371" s="131">
        <f>ROUND(G371*$C371/100*G364,0)</f>
        <v>0</v>
      </c>
      <c r="J371" s="248">
        <f>J359</f>
        <v>6.218</v>
      </c>
      <c r="K371" s="231" t="s">
        <v>107</v>
      </c>
      <c r="L371" s="131">
        <f t="shared" si="113"/>
        <v>0</v>
      </c>
      <c r="M371" s="131"/>
      <c r="N371" s="248">
        <f>N359</f>
        <v>0.81193939748297494</v>
      </c>
      <c r="O371" s="231" t="s">
        <v>107</v>
      </c>
      <c r="P371" s="131">
        <f t="shared" si="114"/>
        <v>0</v>
      </c>
      <c r="Q371" s="131"/>
      <c r="R371" s="248">
        <f>R359</f>
        <v>1.0689569190308457</v>
      </c>
      <c r="S371" s="231" t="s">
        <v>107</v>
      </c>
      <c r="T371" s="131">
        <f t="shared" si="115"/>
        <v>0</v>
      </c>
      <c r="U371" s="131"/>
      <c r="V371" s="248">
        <f>V359</f>
        <v>4.3370117827017491</v>
      </c>
      <c r="W371" s="231" t="s">
        <v>107</v>
      </c>
      <c r="X371" s="131">
        <f t="shared" si="116"/>
        <v>0</v>
      </c>
      <c r="Y371" s="53"/>
      <c r="Z371" s="110"/>
      <c r="AA371" s="110"/>
      <c r="AB371" s="110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U371" s="135"/>
    </row>
    <row r="372" spans="1:47" hidden="1">
      <c r="A372" s="169" t="s">
        <v>152</v>
      </c>
      <c r="B372" s="169"/>
      <c r="C372" s="227">
        <v>0</v>
      </c>
      <c r="D372" s="249">
        <v>56</v>
      </c>
      <c r="E372" s="231" t="s">
        <v>107</v>
      </c>
      <c r="F372" s="131">
        <f t="shared" si="112"/>
        <v>0</v>
      </c>
      <c r="G372" s="249">
        <v>56</v>
      </c>
      <c r="H372" s="231" t="s">
        <v>107</v>
      </c>
      <c r="I372" s="131">
        <f>ROUND(G372*$C372/100*G364,0)</f>
        <v>0</v>
      </c>
      <c r="J372" s="249">
        <f>J360</f>
        <v>56</v>
      </c>
      <c r="K372" s="231" t="s">
        <v>107</v>
      </c>
      <c r="L372" s="131">
        <f t="shared" si="113"/>
        <v>0</v>
      </c>
      <c r="M372" s="131"/>
      <c r="N372" s="249" t="str">
        <f>N360</f>
        <v xml:space="preserve"> </v>
      </c>
      <c r="O372" s="231" t="s">
        <v>107</v>
      </c>
      <c r="P372" s="131">
        <f t="shared" si="114"/>
        <v>0</v>
      </c>
      <c r="Q372" s="131"/>
      <c r="R372" s="249">
        <f>R360</f>
        <v>11</v>
      </c>
      <c r="S372" s="231" t="s">
        <v>107</v>
      </c>
      <c r="T372" s="131">
        <f t="shared" si="115"/>
        <v>0</v>
      </c>
      <c r="U372" s="131"/>
      <c r="V372" s="249">
        <f>V360</f>
        <v>45</v>
      </c>
      <c r="W372" s="231" t="s">
        <v>107</v>
      </c>
      <c r="X372" s="131">
        <f t="shared" si="116"/>
        <v>0</v>
      </c>
      <c r="Y372" s="53"/>
      <c r="Z372" s="110"/>
      <c r="AA372" s="110"/>
      <c r="AB372" s="110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U372" s="135"/>
    </row>
    <row r="373" spans="1:47" hidden="1">
      <c r="A373" s="169" t="s">
        <v>163</v>
      </c>
      <c r="B373" s="169"/>
      <c r="C373" s="227">
        <v>0</v>
      </c>
      <c r="D373" s="250">
        <v>60</v>
      </c>
      <c r="E373" s="229"/>
      <c r="F373" s="131">
        <f t="shared" si="112"/>
        <v>0</v>
      </c>
      <c r="G373" s="250">
        <v>60</v>
      </c>
      <c r="H373" s="231"/>
      <c r="I373" s="131">
        <f>ROUND(G373*C373,0)</f>
        <v>0</v>
      </c>
      <c r="J373" s="250">
        <f>$J$198</f>
        <v>60</v>
      </c>
      <c r="K373" s="231"/>
      <c r="L373" s="131">
        <f t="shared" si="113"/>
        <v>0</v>
      </c>
      <c r="M373" s="131"/>
      <c r="N373" s="250" t="str">
        <f>$N$198</f>
        <v xml:space="preserve"> </v>
      </c>
      <c r="O373" s="231"/>
      <c r="P373" s="131">
        <f t="shared" si="114"/>
        <v>0</v>
      </c>
      <c r="Q373" s="131"/>
      <c r="R373" s="250">
        <f>$R$198</f>
        <v>11.86</v>
      </c>
      <c r="S373" s="231"/>
      <c r="T373" s="131">
        <f t="shared" si="115"/>
        <v>0</v>
      </c>
      <c r="U373" s="131"/>
      <c r="V373" s="250">
        <f>$V$198</f>
        <v>48.14</v>
      </c>
      <c r="W373" s="231"/>
      <c r="X373" s="131">
        <f t="shared" si="116"/>
        <v>0</v>
      </c>
      <c r="Y373" s="53"/>
      <c r="Z373" s="110"/>
      <c r="AA373" s="110"/>
      <c r="AB373" s="110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U373" s="135"/>
    </row>
    <row r="374" spans="1:47" hidden="1">
      <c r="A374" s="169" t="s">
        <v>164</v>
      </c>
      <c r="B374" s="169"/>
      <c r="C374" s="227">
        <v>0</v>
      </c>
      <c r="D374" s="251">
        <v>-30</v>
      </c>
      <c r="E374" s="229" t="s">
        <v>107</v>
      </c>
      <c r="F374" s="131">
        <f t="shared" si="112"/>
        <v>0</v>
      </c>
      <c r="G374" s="251">
        <v>-30</v>
      </c>
      <c r="H374" s="231" t="s">
        <v>107</v>
      </c>
      <c r="I374" s="131">
        <f>ROUND(G374*C374/100,0)</f>
        <v>0</v>
      </c>
      <c r="J374" s="251">
        <f>$J$199</f>
        <v>-30</v>
      </c>
      <c r="K374" s="231" t="s">
        <v>107</v>
      </c>
      <c r="L374" s="131">
        <f t="shared" si="113"/>
        <v>0</v>
      </c>
      <c r="M374" s="131"/>
      <c r="N374" s="251">
        <f>$N$199</f>
        <v>-30</v>
      </c>
      <c r="O374" s="231" t="s">
        <v>107</v>
      </c>
      <c r="P374" s="131">
        <f t="shared" si="114"/>
        <v>0</v>
      </c>
      <c r="Q374" s="131"/>
      <c r="R374" s="251" t="str">
        <f>$R$199</f>
        <v xml:space="preserve"> </v>
      </c>
      <c r="S374" s="231" t="s">
        <v>107</v>
      </c>
      <c r="T374" s="131">
        <f t="shared" si="115"/>
        <v>0</v>
      </c>
      <c r="U374" s="131"/>
      <c r="V374" s="251" t="str">
        <f>$V$199</f>
        <v xml:space="preserve"> </v>
      </c>
      <c r="W374" s="231" t="s">
        <v>107</v>
      </c>
      <c r="X374" s="131">
        <f t="shared" si="116"/>
        <v>0</v>
      </c>
      <c r="Y374" s="53"/>
      <c r="Z374" s="110"/>
      <c r="AA374" s="110"/>
      <c r="AB374" s="110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U374" s="135"/>
    </row>
    <row r="375" spans="1:47" s="141" customFormat="1" hidden="1">
      <c r="A375" s="140" t="s">
        <v>153</v>
      </c>
      <c r="C375" s="239">
        <v>0</v>
      </c>
      <c r="D375" s="138"/>
      <c r="E375" s="143"/>
      <c r="F375" s="144"/>
      <c r="G375" s="138"/>
      <c r="H375" s="143"/>
      <c r="I375" s="144"/>
      <c r="J375" s="145">
        <f>J183</f>
        <v>0</v>
      </c>
      <c r="K375" s="240" t="s">
        <v>107</v>
      </c>
      <c r="L375" s="131">
        <f t="shared" si="113"/>
        <v>0</v>
      </c>
      <c r="M375" s="131"/>
      <c r="N375" s="145" t="str">
        <f>N183</f>
        <v xml:space="preserve"> </v>
      </c>
      <c r="O375" s="240" t="s">
        <v>107</v>
      </c>
      <c r="P375" s="131">
        <f t="shared" si="114"/>
        <v>0</v>
      </c>
      <c r="Q375" s="131"/>
      <c r="R375" s="145" t="str">
        <f>R183</f>
        <v xml:space="preserve"> </v>
      </c>
      <c r="S375" s="240" t="s">
        <v>107</v>
      </c>
      <c r="T375" s="131">
        <f t="shared" si="115"/>
        <v>0</v>
      </c>
      <c r="U375" s="131"/>
      <c r="V375" s="145">
        <f>V183</f>
        <v>0</v>
      </c>
      <c r="W375" s="240" t="s">
        <v>107</v>
      </c>
      <c r="X375" s="131">
        <f t="shared" si="116"/>
        <v>0</v>
      </c>
      <c r="Z375" s="132"/>
      <c r="AC375" s="148"/>
      <c r="AD375" s="148"/>
      <c r="AI375" s="143"/>
      <c r="AJ375" s="143"/>
      <c r="AK375" s="143"/>
      <c r="AL375" s="143"/>
      <c r="AM375" s="143"/>
      <c r="AN375" s="143"/>
      <c r="AO375" s="143"/>
      <c r="AP375" s="143"/>
      <c r="AQ375" s="143"/>
      <c r="AR375" s="143"/>
      <c r="AS375" s="143"/>
      <c r="AU375" s="147"/>
    </row>
    <row r="376" spans="1:47" s="141" customFormat="1" hidden="1">
      <c r="A376" s="140" t="s">
        <v>154</v>
      </c>
      <c r="C376" s="239">
        <v>0</v>
      </c>
      <c r="D376" s="138"/>
      <c r="E376" s="143"/>
      <c r="F376" s="144"/>
      <c r="G376" s="138"/>
      <c r="H376" s="143"/>
      <c r="I376" s="144"/>
      <c r="J376" s="145">
        <f>J184</f>
        <v>0</v>
      </c>
      <c r="K376" s="240" t="s">
        <v>107</v>
      </c>
      <c r="L376" s="131">
        <f t="shared" si="113"/>
        <v>0</v>
      </c>
      <c r="M376" s="131"/>
      <c r="N376" s="145" t="str">
        <f>N184</f>
        <v xml:space="preserve"> </v>
      </c>
      <c r="O376" s="240" t="s">
        <v>107</v>
      </c>
      <c r="P376" s="131">
        <f t="shared" si="114"/>
        <v>0</v>
      </c>
      <c r="Q376" s="131"/>
      <c r="R376" s="145" t="str">
        <f>R184</f>
        <v xml:space="preserve"> </v>
      </c>
      <c r="S376" s="240" t="s">
        <v>107</v>
      </c>
      <c r="T376" s="131">
        <f t="shared" si="115"/>
        <v>0</v>
      </c>
      <c r="U376" s="131"/>
      <c r="V376" s="145">
        <f>V184</f>
        <v>0</v>
      </c>
      <c r="W376" s="240" t="s">
        <v>107</v>
      </c>
      <c r="X376" s="131">
        <f t="shared" si="116"/>
        <v>0</v>
      </c>
      <c r="Z376" s="132"/>
      <c r="AC376" s="148"/>
      <c r="AD376" s="148"/>
      <c r="AI376" s="143"/>
      <c r="AJ376" s="143"/>
      <c r="AK376" s="143"/>
      <c r="AL376" s="143"/>
      <c r="AM376" s="143"/>
      <c r="AN376" s="143"/>
      <c r="AO376" s="143"/>
      <c r="AP376" s="143"/>
      <c r="AQ376" s="143"/>
      <c r="AR376" s="143"/>
      <c r="AS376" s="143"/>
      <c r="AU376" s="147"/>
    </row>
    <row r="377" spans="1:47" s="141" customFormat="1" hidden="1">
      <c r="A377" s="140" t="s">
        <v>155</v>
      </c>
      <c r="C377" s="239">
        <v>0</v>
      </c>
      <c r="D377" s="138"/>
      <c r="E377" s="143"/>
      <c r="F377" s="144"/>
      <c r="G377" s="138"/>
      <c r="H377" s="143"/>
      <c r="I377" s="144"/>
      <c r="J377" s="145">
        <f>J185</f>
        <v>0</v>
      </c>
      <c r="K377" s="240" t="s">
        <v>107</v>
      </c>
      <c r="L377" s="131">
        <f t="shared" si="113"/>
        <v>0</v>
      </c>
      <c r="M377" s="131"/>
      <c r="N377" s="145" t="str">
        <f>N185</f>
        <v xml:space="preserve"> </v>
      </c>
      <c r="O377" s="240" t="s">
        <v>107</v>
      </c>
      <c r="P377" s="131">
        <f t="shared" si="114"/>
        <v>0</v>
      </c>
      <c r="Q377" s="131"/>
      <c r="R377" s="145" t="str">
        <f>R185</f>
        <v xml:space="preserve"> </v>
      </c>
      <c r="S377" s="240" t="s">
        <v>107</v>
      </c>
      <c r="T377" s="131">
        <f t="shared" si="115"/>
        <v>0</v>
      </c>
      <c r="U377" s="131"/>
      <c r="V377" s="145">
        <f>V185</f>
        <v>0</v>
      </c>
      <c r="W377" s="240" t="s">
        <v>107</v>
      </c>
      <c r="X377" s="131">
        <f t="shared" si="116"/>
        <v>0</v>
      </c>
      <c r="Z377" s="132"/>
      <c r="AC377" s="148"/>
      <c r="AD377" s="148"/>
      <c r="AI377" s="143"/>
      <c r="AJ377" s="143"/>
      <c r="AK377" s="143"/>
      <c r="AL377" s="143"/>
      <c r="AM377" s="143"/>
      <c r="AN377" s="143"/>
      <c r="AO377" s="143"/>
      <c r="AP377" s="143"/>
      <c r="AQ377" s="143"/>
      <c r="AR377" s="143"/>
      <c r="AS377" s="143"/>
      <c r="AU377" s="147"/>
    </row>
    <row r="378" spans="1:47" hidden="1">
      <c r="A378" s="169" t="s">
        <v>133</v>
      </c>
      <c r="B378" s="169"/>
      <c r="C378" s="227">
        <f>C413+C448</f>
        <v>1302631.6605672329</v>
      </c>
      <c r="D378" s="237"/>
      <c r="E378" s="131"/>
      <c r="F378" s="131">
        <f t="shared" ref="F378" si="118">F413+F448</f>
        <v>165024</v>
      </c>
      <c r="G378" s="237"/>
      <c r="H378" s="231"/>
      <c r="I378" s="131">
        <f>I413+I448</f>
        <v>172631</v>
      </c>
      <c r="J378" s="237"/>
      <c r="K378" s="231"/>
      <c r="L378" s="131">
        <f t="shared" si="113"/>
        <v>177849</v>
      </c>
      <c r="M378" s="131"/>
      <c r="N378" s="237"/>
      <c r="O378" s="231"/>
      <c r="P378" s="131">
        <f t="shared" si="114"/>
        <v>61332</v>
      </c>
      <c r="Q378" s="131"/>
      <c r="R378" s="237"/>
      <c r="S378" s="231"/>
      <c r="T378" s="131">
        <f t="shared" si="115"/>
        <v>23053</v>
      </c>
      <c r="U378" s="131"/>
      <c r="V378" s="237"/>
      <c r="W378" s="231"/>
      <c r="X378" s="131">
        <f t="shared" si="116"/>
        <v>93468</v>
      </c>
      <c r="Y378" s="53"/>
      <c r="Z378" s="110"/>
      <c r="AA378" s="110"/>
      <c r="AB378" s="110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U378" s="135"/>
    </row>
    <row r="379" spans="1:47" hidden="1">
      <c r="A379" s="169" t="s">
        <v>111</v>
      </c>
      <c r="B379" s="169"/>
      <c r="C379" s="253">
        <f>C414+C449</f>
        <v>-4124.0649466890627</v>
      </c>
      <c r="D379" s="154"/>
      <c r="E379" s="154"/>
      <c r="F379" s="254">
        <f>I379</f>
        <v>-559.29858037992369</v>
      </c>
      <c r="G379" s="154"/>
      <c r="H379" s="154"/>
      <c r="I379" s="254">
        <f>I414+I449</f>
        <v>-559.29858037992369</v>
      </c>
      <c r="J379" s="154"/>
      <c r="K379" s="154"/>
      <c r="L379" s="254">
        <f>I379</f>
        <v>-559.29858037992369</v>
      </c>
      <c r="M379" s="230"/>
      <c r="N379" s="154"/>
      <c r="O379" s="154"/>
      <c r="P379" s="254">
        <f>P204/L204*L379</f>
        <v>-110.25531365207995</v>
      </c>
      <c r="Q379" s="230"/>
      <c r="R379" s="154"/>
      <c r="S379" s="154"/>
      <c r="T379" s="254">
        <f>T204/L204*L379</f>
        <v>-88.790654736573458</v>
      </c>
      <c r="U379" s="230"/>
      <c r="V379" s="154"/>
      <c r="W379" s="154"/>
      <c r="X379" s="254">
        <f>X204/L204*L379</f>
        <v>-360.25261199127021</v>
      </c>
      <c r="Y379" s="185"/>
      <c r="Z379" s="183"/>
      <c r="AA379" s="110"/>
      <c r="AB379" s="110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U379" s="135"/>
    </row>
    <row r="380" spans="1:47" ht="16.5" hidden="1" thickBot="1">
      <c r="A380" s="169" t="s">
        <v>134</v>
      </c>
      <c r="B380" s="169"/>
      <c r="C380" s="214">
        <f>SUM(C378:C379)</f>
        <v>1298507.5956205437</v>
      </c>
      <c r="D380" s="272"/>
      <c r="E380" s="256"/>
      <c r="F380" s="257">
        <f>F378+F379</f>
        <v>164464.70141962008</v>
      </c>
      <c r="G380" s="272"/>
      <c r="H380" s="258"/>
      <c r="I380" s="257">
        <f>I378+I379</f>
        <v>172071.70141962008</v>
      </c>
      <c r="J380" s="272"/>
      <c r="K380" s="258"/>
      <c r="L380" s="257">
        <f>L378+L379</f>
        <v>177289.70141962008</v>
      </c>
      <c r="M380" s="257"/>
      <c r="N380" s="272"/>
      <c r="O380" s="258"/>
      <c r="P380" s="257">
        <f>P378+P379</f>
        <v>61221.74468634792</v>
      </c>
      <c r="Q380" s="257"/>
      <c r="R380" s="272"/>
      <c r="S380" s="258"/>
      <c r="T380" s="257">
        <f>T378+T379</f>
        <v>22964.209345263425</v>
      </c>
      <c r="U380" s="257"/>
      <c r="V380" s="272"/>
      <c r="W380" s="258"/>
      <c r="X380" s="257">
        <f>X378+X379</f>
        <v>93107.747388008735</v>
      </c>
      <c r="Y380" s="186"/>
      <c r="Z380" s="187"/>
      <c r="AA380" s="110"/>
      <c r="AB380" s="110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U380" s="135"/>
    </row>
    <row r="381" spans="1:47" hidden="1">
      <c r="A381" s="169"/>
      <c r="B381" s="169"/>
      <c r="C381" s="189"/>
      <c r="D381" s="250"/>
      <c r="E381" s="131"/>
      <c r="F381" s="131"/>
      <c r="G381" s="250"/>
      <c r="H381" s="169"/>
      <c r="I381" s="131"/>
      <c r="J381" s="250"/>
      <c r="K381" s="169"/>
      <c r="L381" s="131" t="s">
        <v>0</v>
      </c>
      <c r="M381" s="131"/>
      <c r="N381" s="250"/>
      <c r="O381" s="169"/>
      <c r="P381" s="131" t="s">
        <v>0</v>
      </c>
      <c r="Q381" s="131"/>
      <c r="R381" s="250"/>
      <c r="S381" s="169"/>
      <c r="T381" s="131" t="s">
        <v>0</v>
      </c>
      <c r="U381" s="131"/>
      <c r="V381" s="250"/>
      <c r="W381" s="169"/>
      <c r="X381" s="131" t="s">
        <v>0</v>
      </c>
      <c r="Y381" s="53"/>
      <c r="Z381" s="110"/>
      <c r="AA381" s="110"/>
      <c r="AB381" s="110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U381" s="135"/>
    </row>
    <row r="382" spans="1:47" hidden="1">
      <c r="A382" s="188" t="s">
        <v>172</v>
      </c>
      <c r="B382" s="169"/>
      <c r="C382" s="169"/>
      <c r="D382" s="131"/>
      <c r="E382" s="131"/>
      <c r="F382" s="169" t="s">
        <v>0</v>
      </c>
      <c r="G382" s="131"/>
      <c r="H382" s="169"/>
      <c r="I382" s="169"/>
      <c r="J382" s="131"/>
      <c r="K382" s="169"/>
      <c r="L382" s="169"/>
      <c r="M382" s="169"/>
      <c r="N382" s="131"/>
      <c r="O382" s="169"/>
      <c r="P382" s="169"/>
      <c r="Q382" s="169"/>
      <c r="R382" s="131"/>
      <c r="S382" s="169"/>
      <c r="T382" s="169"/>
      <c r="U382" s="169"/>
      <c r="V382" s="131"/>
      <c r="W382" s="169"/>
      <c r="X382" s="169"/>
      <c r="Y382" s="53"/>
      <c r="Z382" s="110"/>
      <c r="AA382" s="110"/>
      <c r="AB382" s="110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U382" s="135"/>
    </row>
    <row r="383" spans="1:47" hidden="1">
      <c r="A383" s="169" t="s">
        <v>169</v>
      </c>
      <c r="B383" s="169"/>
      <c r="C383" s="169"/>
      <c r="D383" s="131"/>
      <c r="E383" s="131"/>
      <c r="F383" s="169"/>
      <c r="G383" s="131"/>
      <c r="H383" s="169"/>
      <c r="I383" s="169"/>
      <c r="J383" s="131"/>
      <c r="K383" s="169"/>
      <c r="L383" s="169"/>
      <c r="M383" s="169"/>
      <c r="N383" s="131"/>
      <c r="O383" s="169"/>
      <c r="P383" s="169"/>
      <c r="Q383" s="169"/>
      <c r="R383" s="131"/>
      <c r="S383" s="169"/>
      <c r="T383" s="169"/>
      <c r="U383" s="169"/>
      <c r="V383" s="131"/>
      <c r="W383" s="169"/>
      <c r="X383" s="169"/>
      <c r="Y383" s="53"/>
      <c r="Z383" s="110"/>
      <c r="AA383" s="110"/>
      <c r="AB383" s="110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U383" s="135"/>
    </row>
    <row r="384" spans="1:47" hidden="1">
      <c r="A384" s="169"/>
      <c r="B384" s="169"/>
      <c r="C384" s="169"/>
      <c r="D384" s="131"/>
      <c r="E384" s="131"/>
      <c r="F384" s="169"/>
      <c r="G384" s="131"/>
      <c r="H384" s="169"/>
      <c r="I384" s="169"/>
      <c r="J384" s="131"/>
      <c r="K384" s="169"/>
      <c r="L384" s="169"/>
      <c r="M384" s="169"/>
      <c r="N384" s="131"/>
      <c r="O384" s="169"/>
      <c r="P384" s="169"/>
      <c r="Q384" s="169"/>
      <c r="R384" s="131"/>
      <c r="S384" s="169"/>
      <c r="T384" s="169"/>
      <c r="U384" s="169"/>
      <c r="V384" s="131"/>
      <c r="W384" s="169"/>
      <c r="X384" s="169"/>
      <c r="Y384" s="53"/>
      <c r="Z384" s="110"/>
      <c r="AA384" s="110"/>
      <c r="AB384" s="110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U384" s="135"/>
    </row>
    <row r="385" spans="1:47" hidden="1">
      <c r="A385" s="169" t="s">
        <v>146</v>
      </c>
      <c r="B385" s="169"/>
      <c r="C385" s="227"/>
      <c r="D385" s="131"/>
      <c r="E385" s="131"/>
      <c r="F385" s="169"/>
      <c r="G385" s="131"/>
      <c r="H385" s="169"/>
      <c r="I385" s="169"/>
      <c r="J385" s="131"/>
      <c r="K385" s="169"/>
      <c r="L385" s="169"/>
      <c r="M385" s="169"/>
      <c r="N385" s="131"/>
      <c r="O385" s="169"/>
      <c r="P385" s="169"/>
      <c r="Q385" s="169"/>
      <c r="R385" s="131"/>
      <c r="S385" s="169"/>
      <c r="T385" s="169"/>
      <c r="U385" s="169"/>
      <c r="V385" s="131"/>
      <c r="W385" s="169"/>
      <c r="X385" s="169"/>
      <c r="Y385" s="53"/>
      <c r="Z385" s="110"/>
      <c r="AA385" s="110"/>
      <c r="AB385" s="110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U385" s="135"/>
    </row>
    <row r="386" spans="1:47" hidden="1">
      <c r="A386" s="169" t="s">
        <v>173</v>
      </c>
      <c r="B386" s="169"/>
      <c r="C386" s="227">
        <v>4043.0865373805159</v>
      </c>
      <c r="D386" s="193">
        <v>8.7100000000000009</v>
      </c>
      <c r="E386" s="229"/>
      <c r="F386" s="131">
        <f>ROUND(D386*$C386,0)</f>
        <v>35215</v>
      </c>
      <c r="G386" s="193">
        <v>8.7100000000000009</v>
      </c>
      <c r="H386" s="231"/>
      <c r="I386" s="131">
        <f>ROUND(G386*$C386,0)</f>
        <v>35215</v>
      </c>
      <c r="J386" s="193">
        <f>$J$173</f>
        <v>9.6</v>
      </c>
      <c r="K386" s="231"/>
      <c r="L386" s="131">
        <f>ROUND(J386*$C386,0)</f>
        <v>38814</v>
      </c>
      <c r="M386" s="131"/>
      <c r="N386" s="193">
        <f>$N$173</f>
        <v>9.6</v>
      </c>
      <c r="O386" s="231"/>
      <c r="P386" s="131">
        <f>ROUND(N386*$C386,0)</f>
        <v>38814</v>
      </c>
      <c r="Q386" s="131"/>
      <c r="R386" s="193" t="str">
        <f>$R$173</f>
        <v xml:space="preserve"> </v>
      </c>
      <c r="S386" s="231"/>
      <c r="T386" s="131">
        <f>ROUND(R386*$C386,0)</f>
        <v>0</v>
      </c>
      <c r="U386" s="131"/>
      <c r="V386" s="193" t="str">
        <f>$V$173</f>
        <v xml:space="preserve"> </v>
      </c>
      <c r="W386" s="231"/>
      <c r="X386" s="131">
        <f>ROUND(V386*$C386,0)</f>
        <v>0</v>
      </c>
      <c r="Y386" s="53"/>
      <c r="Z386" s="110"/>
      <c r="AA386" s="110"/>
      <c r="AB386" s="110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U386" s="135"/>
    </row>
    <row r="387" spans="1:47" hidden="1">
      <c r="A387" s="169" t="s">
        <v>144</v>
      </c>
      <c r="B387" s="169"/>
      <c r="C387" s="227">
        <v>0</v>
      </c>
      <c r="D387" s="193">
        <v>12.98</v>
      </c>
      <c r="E387" s="232"/>
      <c r="F387" s="131">
        <f>ROUND(D387*$C387,0)</f>
        <v>0</v>
      </c>
      <c r="G387" s="193">
        <v>12.98</v>
      </c>
      <c r="H387" s="233"/>
      <c r="I387" s="131">
        <f t="shared" ref="I387:I388" si="119">ROUND(G387*$C387,0)</f>
        <v>0</v>
      </c>
      <c r="J387" s="193">
        <f>$J$174</f>
        <v>14.3</v>
      </c>
      <c r="K387" s="233"/>
      <c r="L387" s="131">
        <f>ROUND(J387*$C387,0)</f>
        <v>0</v>
      </c>
      <c r="M387" s="131"/>
      <c r="N387" s="193">
        <f>$N$174</f>
        <v>14.3</v>
      </c>
      <c r="O387" s="233"/>
      <c r="P387" s="131">
        <f>ROUND(N387*$C387,0)</f>
        <v>0</v>
      </c>
      <c r="Q387" s="131"/>
      <c r="R387" s="193" t="str">
        <f>$R$174</f>
        <v xml:space="preserve"> </v>
      </c>
      <c r="S387" s="233"/>
      <c r="T387" s="131">
        <f>ROUND(R387*$C387,0)</f>
        <v>0</v>
      </c>
      <c r="U387" s="131"/>
      <c r="V387" s="193" t="str">
        <f>$V$174</f>
        <v xml:space="preserve"> </v>
      </c>
      <c r="W387" s="233"/>
      <c r="X387" s="131">
        <f>ROUND(V387*$C387,0)</f>
        <v>0</v>
      </c>
      <c r="Y387" s="53"/>
      <c r="Z387" s="110"/>
      <c r="AA387" s="110"/>
      <c r="AB387" s="110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U387" s="135"/>
    </row>
    <row r="388" spans="1:47" hidden="1">
      <c r="A388" s="169" t="s">
        <v>145</v>
      </c>
      <c r="B388" s="169"/>
      <c r="C388" s="227">
        <v>0</v>
      </c>
      <c r="D388" s="193">
        <v>0.92</v>
      </c>
      <c r="E388" s="232"/>
      <c r="F388" s="131">
        <f>ROUND(D388*$C388,0)</f>
        <v>0</v>
      </c>
      <c r="G388" s="193">
        <v>0.92</v>
      </c>
      <c r="H388" s="233"/>
      <c r="I388" s="131">
        <f t="shared" si="119"/>
        <v>0</v>
      </c>
      <c r="J388" s="193">
        <f>$J$175</f>
        <v>1</v>
      </c>
      <c r="K388" s="233"/>
      <c r="L388" s="131">
        <f>ROUND(J388*$C388,0)</f>
        <v>0</v>
      </c>
      <c r="M388" s="131"/>
      <c r="N388" s="193">
        <f>$N$175</f>
        <v>1</v>
      </c>
      <c r="O388" s="233"/>
      <c r="P388" s="131">
        <f>ROUND(N388*$C388,0)</f>
        <v>0</v>
      </c>
      <c r="Q388" s="131"/>
      <c r="R388" s="193" t="str">
        <f>$R$175</f>
        <v xml:space="preserve"> </v>
      </c>
      <c r="S388" s="233"/>
      <c r="T388" s="131">
        <f>ROUND(R388*$C388,0)</f>
        <v>0</v>
      </c>
      <c r="U388" s="131"/>
      <c r="V388" s="193" t="str">
        <f>$V$175</f>
        <v xml:space="preserve"> </v>
      </c>
      <c r="W388" s="233"/>
      <c r="X388" s="131">
        <f>ROUND(V388*$C388,0)</f>
        <v>0</v>
      </c>
      <c r="Y388" s="53"/>
      <c r="Z388" s="110"/>
      <c r="AA388" s="110"/>
      <c r="AB388" s="110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U388" s="135"/>
    </row>
    <row r="389" spans="1:47" hidden="1">
      <c r="A389" s="169" t="s">
        <v>147</v>
      </c>
      <c r="B389" s="169"/>
      <c r="C389" s="227">
        <f>SUM(C386:C387)</f>
        <v>4043.0865373805159</v>
      </c>
      <c r="D389" s="193"/>
      <c r="E389" s="229"/>
      <c r="F389" s="131"/>
      <c r="G389" s="193"/>
      <c r="H389" s="231"/>
      <c r="I389" s="131"/>
      <c r="J389" s="193"/>
      <c r="K389" s="231"/>
      <c r="L389" s="131"/>
      <c r="M389" s="131"/>
      <c r="N389" s="193"/>
      <c r="O389" s="231"/>
      <c r="P389" s="131"/>
      <c r="Q389" s="131"/>
      <c r="R389" s="193"/>
      <c r="S389" s="231"/>
      <c r="T389" s="131"/>
      <c r="U389" s="131"/>
      <c r="V389" s="193"/>
      <c r="W389" s="231"/>
      <c r="X389" s="131"/>
      <c r="Y389" s="53"/>
      <c r="Z389" s="110"/>
      <c r="AA389" s="110"/>
      <c r="AB389" s="110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U389" s="135"/>
    </row>
    <row r="390" spans="1:47" hidden="1">
      <c r="A390" s="169" t="s">
        <v>109</v>
      </c>
      <c r="B390" s="169"/>
      <c r="C390" s="227">
        <v>1404.6333333333369</v>
      </c>
      <c r="D390" s="193"/>
      <c r="E390" s="229"/>
      <c r="F390" s="131"/>
      <c r="G390" s="193"/>
      <c r="H390" s="231"/>
      <c r="I390" s="131"/>
      <c r="J390" s="193"/>
      <c r="K390" s="231"/>
      <c r="L390" s="131"/>
      <c r="M390" s="131"/>
      <c r="N390" s="193"/>
      <c r="O390" s="231"/>
      <c r="P390" s="131"/>
      <c r="Q390" s="131"/>
      <c r="R390" s="193"/>
      <c r="S390" s="231"/>
      <c r="T390" s="131"/>
      <c r="U390" s="131"/>
      <c r="V390" s="193"/>
      <c r="W390" s="231"/>
      <c r="X390" s="131"/>
      <c r="Y390" s="53"/>
      <c r="Z390" s="110"/>
      <c r="AA390" s="110"/>
      <c r="AB390" s="110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U390" s="135"/>
    </row>
    <row r="391" spans="1:47" hidden="1">
      <c r="A391" s="169" t="s">
        <v>148</v>
      </c>
      <c r="B391" s="169"/>
      <c r="C391" s="227">
        <v>0</v>
      </c>
      <c r="D391" s="250">
        <v>3.4</v>
      </c>
      <c r="E391" s="231"/>
      <c r="F391" s="131">
        <f>ROUND(D391*$C391,0)</f>
        <v>0</v>
      </c>
      <c r="G391" s="250">
        <v>3.61</v>
      </c>
      <c r="H391" s="231"/>
      <c r="I391" s="131">
        <f>ROUND(G391*C391,0)</f>
        <v>0</v>
      </c>
      <c r="J391" s="250">
        <f>$J$178</f>
        <v>3.64</v>
      </c>
      <c r="K391" s="231"/>
      <c r="L391" s="131">
        <f>ROUND(J391*$C391,0)</f>
        <v>0</v>
      </c>
      <c r="M391" s="131"/>
      <c r="N391" s="250">
        <f>$N$178</f>
        <v>0.48</v>
      </c>
      <c r="O391" s="231"/>
      <c r="P391" s="131">
        <f>ROUND(N391*$C391,0)</f>
        <v>0</v>
      </c>
      <c r="Q391" s="131"/>
      <c r="R391" s="250">
        <f>$R$178</f>
        <v>0.63</v>
      </c>
      <c r="S391" s="231"/>
      <c r="T391" s="131">
        <f>ROUND(R391*$C391,0)</f>
        <v>0</v>
      </c>
      <c r="U391" s="131"/>
      <c r="V391" s="250">
        <f>$V$178</f>
        <v>2.54</v>
      </c>
      <c r="W391" s="231"/>
      <c r="X391" s="131">
        <f>ROUND(V391*$C391,0)</f>
        <v>0</v>
      </c>
      <c r="Y391" s="53"/>
      <c r="Z391" s="110"/>
      <c r="AA391" s="110"/>
      <c r="AB391" s="110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U391" s="135"/>
    </row>
    <row r="392" spans="1:47" hidden="1">
      <c r="A392" s="169" t="s">
        <v>149</v>
      </c>
      <c r="B392" s="169"/>
      <c r="C392" s="227">
        <v>1204506.6605672329</v>
      </c>
      <c r="D392" s="195">
        <v>9.766</v>
      </c>
      <c r="E392" s="231" t="s">
        <v>107</v>
      </c>
      <c r="F392" s="131">
        <f>ROUND(D392*$C392/100,0)</f>
        <v>117632</v>
      </c>
      <c r="G392" s="195">
        <v>10.359</v>
      </c>
      <c r="H392" s="231" t="s">
        <v>107</v>
      </c>
      <c r="I392" s="131">
        <f>ROUND(G392*C392/100,0)</f>
        <v>124775</v>
      </c>
      <c r="J392" s="195">
        <f>$J$179</f>
        <v>10.449</v>
      </c>
      <c r="K392" s="231" t="s">
        <v>107</v>
      </c>
      <c r="L392" s="131">
        <f>ROUND(J392*$C392/100,0)</f>
        <v>125859</v>
      </c>
      <c r="M392" s="131"/>
      <c r="N392" s="195">
        <f>$N$179</f>
        <v>1.3644187751662151</v>
      </c>
      <c r="O392" s="231" t="s">
        <v>107</v>
      </c>
      <c r="P392" s="131">
        <f>ROUND(N392*$C392/100,0)</f>
        <v>16435</v>
      </c>
      <c r="Q392" s="131"/>
      <c r="R392" s="195">
        <f>$R$179</f>
        <v>1.7973223544650079</v>
      </c>
      <c r="S392" s="231" t="s">
        <v>107</v>
      </c>
      <c r="T392" s="131">
        <f>ROUND(R392*$C392/100,0)</f>
        <v>21649</v>
      </c>
      <c r="U392" s="131"/>
      <c r="V392" s="195">
        <f>$V$179</f>
        <v>7.2874254450520697</v>
      </c>
      <c r="W392" s="231" t="s">
        <v>107</v>
      </c>
      <c r="X392" s="131">
        <f>ROUND(V392*$C392/100,0)</f>
        <v>87778</v>
      </c>
      <c r="Y392" s="53"/>
      <c r="Z392" s="110"/>
      <c r="AA392" s="110"/>
      <c r="AB392" s="110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U392" s="135"/>
    </row>
    <row r="393" spans="1:47" hidden="1">
      <c r="A393" s="169" t="s">
        <v>150</v>
      </c>
      <c r="B393" s="189"/>
      <c r="C393" s="227">
        <v>64812</v>
      </c>
      <c r="D393" s="195">
        <v>6.7460000000000004</v>
      </c>
      <c r="E393" s="231" t="s">
        <v>107</v>
      </c>
      <c r="F393" s="131">
        <f>ROUND(D393*$C393/100,0)</f>
        <v>4372</v>
      </c>
      <c r="G393" s="195">
        <v>7.1559999999999997</v>
      </c>
      <c r="H393" s="231" t="s">
        <v>107</v>
      </c>
      <c r="I393" s="131">
        <f t="shared" ref="I393:I395" si="120">ROUND(G393*C393/100,0)</f>
        <v>4638</v>
      </c>
      <c r="J393" s="195">
        <f>$J$180</f>
        <v>7.218</v>
      </c>
      <c r="K393" s="231" t="s">
        <v>107</v>
      </c>
      <c r="L393" s="131">
        <f>ROUND(J393*$C393/100,0)</f>
        <v>4678</v>
      </c>
      <c r="M393" s="131"/>
      <c r="N393" s="195">
        <f>$N$180</f>
        <v>0.94251839115112013</v>
      </c>
      <c r="O393" s="231" t="s">
        <v>107</v>
      </c>
      <c r="P393" s="131">
        <f>ROUND(N393*$C393/100,0)</f>
        <v>611</v>
      </c>
      <c r="Q393" s="131"/>
      <c r="R393" s="195">
        <f>$R$180</f>
        <v>1.2418703884281421</v>
      </c>
      <c r="S393" s="231" t="s">
        <v>107</v>
      </c>
      <c r="T393" s="131">
        <f>ROUND(R393*$C393/100,0)</f>
        <v>805</v>
      </c>
      <c r="U393" s="131"/>
      <c r="V393" s="195">
        <f>$V$180</f>
        <v>5.0333446832527242</v>
      </c>
      <c r="W393" s="231" t="s">
        <v>107</v>
      </c>
      <c r="X393" s="131">
        <f>ROUND(V393*$C393/100,0)</f>
        <v>3262</v>
      </c>
      <c r="Y393" s="53"/>
      <c r="Z393" s="110"/>
      <c r="AA393" s="110"/>
      <c r="AB393" s="110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U393" s="135"/>
    </row>
    <row r="394" spans="1:47" hidden="1">
      <c r="A394" s="169" t="s">
        <v>151</v>
      </c>
      <c r="B394" s="169"/>
      <c r="C394" s="227">
        <f>0</f>
        <v>0</v>
      </c>
      <c r="D394" s="195">
        <v>5.8120000000000003</v>
      </c>
      <c r="E394" s="231" t="s">
        <v>107</v>
      </c>
      <c r="F394" s="131">
        <f>ROUND(D394*$C394/100,0)</f>
        <v>0</v>
      </c>
      <c r="G394" s="195">
        <v>6.1660000000000004</v>
      </c>
      <c r="H394" s="231" t="s">
        <v>107</v>
      </c>
      <c r="I394" s="131">
        <f t="shared" si="120"/>
        <v>0</v>
      </c>
      <c r="J394" s="195">
        <f>$J$181</f>
        <v>6.218</v>
      </c>
      <c r="K394" s="231" t="s">
        <v>107</v>
      </c>
      <c r="L394" s="131">
        <f>ROUND(J394*$C394/100,0)</f>
        <v>0</v>
      </c>
      <c r="M394" s="131"/>
      <c r="N394" s="195">
        <f>$N$181</f>
        <v>0.81193939748297494</v>
      </c>
      <c r="O394" s="231" t="s">
        <v>107</v>
      </c>
      <c r="P394" s="131">
        <f>ROUND(N394*$C394/100,0)</f>
        <v>0</v>
      </c>
      <c r="Q394" s="131"/>
      <c r="R394" s="195">
        <f>$R$181</f>
        <v>1.0689569190308457</v>
      </c>
      <c r="S394" s="231" t="s">
        <v>107</v>
      </c>
      <c r="T394" s="131">
        <f>ROUND(R394*$C394/100,0)</f>
        <v>0</v>
      </c>
      <c r="U394" s="131"/>
      <c r="V394" s="195">
        <f>$V$181</f>
        <v>4.3370117827017491</v>
      </c>
      <c r="W394" s="231" t="s">
        <v>107</v>
      </c>
      <c r="X394" s="131">
        <f>ROUND(V394*$C394/100,0)</f>
        <v>0</v>
      </c>
      <c r="Y394" s="53"/>
      <c r="Z394" s="110"/>
      <c r="AA394" s="110"/>
      <c r="AB394" s="110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U394" s="135"/>
    </row>
    <row r="395" spans="1:47" hidden="1">
      <c r="A395" s="169" t="s">
        <v>152</v>
      </c>
      <c r="B395" s="169"/>
      <c r="C395" s="227">
        <v>0</v>
      </c>
      <c r="D395" s="237">
        <v>56</v>
      </c>
      <c r="E395" s="229" t="s">
        <v>107</v>
      </c>
      <c r="F395" s="131">
        <f>ROUND(D395*$C395/100,0)</f>
        <v>0</v>
      </c>
      <c r="G395" s="237">
        <v>56</v>
      </c>
      <c r="H395" s="231" t="s">
        <v>107</v>
      </c>
      <c r="I395" s="131">
        <f t="shared" si="120"/>
        <v>0</v>
      </c>
      <c r="J395" s="237">
        <f>$J$182</f>
        <v>56</v>
      </c>
      <c r="K395" s="231" t="s">
        <v>107</v>
      </c>
      <c r="L395" s="131">
        <f>ROUND(J395*$C395/100,0)</f>
        <v>0</v>
      </c>
      <c r="M395" s="131"/>
      <c r="N395" s="237" t="str">
        <f>$N$182</f>
        <v xml:space="preserve"> </v>
      </c>
      <c r="O395" s="231" t="s">
        <v>107</v>
      </c>
      <c r="P395" s="131">
        <f>ROUND(N395*$C395/100,0)</f>
        <v>0</v>
      </c>
      <c r="Q395" s="131"/>
      <c r="R395" s="237">
        <f>$R$182</f>
        <v>11</v>
      </c>
      <c r="S395" s="231" t="s">
        <v>107</v>
      </c>
      <c r="T395" s="131">
        <f>ROUND(R395*$C395/100,0)</f>
        <v>0</v>
      </c>
      <c r="U395" s="131"/>
      <c r="V395" s="237">
        <f>$V$182</f>
        <v>45</v>
      </c>
      <c r="W395" s="231" t="s">
        <v>107</v>
      </c>
      <c r="X395" s="131">
        <f>ROUND(V395*$C395/100,0)</f>
        <v>0</v>
      </c>
      <c r="Y395" s="53"/>
      <c r="Z395" s="110"/>
      <c r="AA395" s="110"/>
      <c r="AB395" s="110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U395" s="135"/>
    </row>
    <row r="396" spans="1:47" s="141" customFormat="1" hidden="1">
      <c r="A396" s="140" t="s">
        <v>153</v>
      </c>
      <c r="C396" s="142">
        <f>C392</f>
        <v>1204506.6605672329</v>
      </c>
      <c r="D396" s="138"/>
      <c r="E396" s="143"/>
      <c r="F396" s="144"/>
      <c r="G396" s="138"/>
      <c r="H396" s="143"/>
      <c r="I396" s="144"/>
      <c r="J396" s="145">
        <f>J183</f>
        <v>0</v>
      </c>
      <c r="K396" s="240" t="s">
        <v>107</v>
      </c>
      <c r="L396" s="144">
        <f t="shared" ref="L396:L398" si="121">ROUND(J396*$C396/100,0)</f>
        <v>0</v>
      </c>
      <c r="M396" s="144"/>
      <c r="N396" s="145" t="str">
        <f>N183</f>
        <v xml:space="preserve"> </v>
      </c>
      <c r="O396" s="240" t="s">
        <v>107</v>
      </c>
      <c r="P396" s="144">
        <f t="shared" ref="P396:P398" si="122">ROUND(N396*$C396/100,0)</f>
        <v>0</v>
      </c>
      <c r="Q396" s="144"/>
      <c r="R396" s="145" t="str">
        <f>R183</f>
        <v xml:space="preserve"> </v>
      </c>
      <c r="S396" s="240" t="s">
        <v>107</v>
      </c>
      <c r="T396" s="144">
        <f t="shared" ref="T396:T398" si="123">ROUND(R396*$C396/100,0)</f>
        <v>0</v>
      </c>
      <c r="U396" s="144"/>
      <c r="V396" s="145">
        <f>V183</f>
        <v>0</v>
      </c>
      <c r="W396" s="240" t="s">
        <v>107</v>
      </c>
      <c r="X396" s="144">
        <f t="shared" ref="X396:X398" si="124">ROUND(V396*$C396/100,0)</f>
        <v>0</v>
      </c>
      <c r="Z396" s="132"/>
      <c r="AC396" s="148"/>
      <c r="AD396" s="148"/>
      <c r="AI396" s="143"/>
      <c r="AJ396" s="143"/>
      <c r="AK396" s="143"/>
      <c r="AL396" s="143"/>
      <c r="AM396" s="143"/>
      <c r="AN396" s="143"/>
      <c r="AO396" s="143"/>
      <c r="AP396" s="143"/>
      <c r="AQ396" s="143"/>
      <c r="AR396" s="143"/>
      <c r="AS396" s="143"/>
      <c r="AU396" s="147"/>
    </row>
    <row r="397" spans="1:47" s="141" customFormat="1" hidden="1">
      <c r="A397" s="140" t="s">
        <v>154</v>
      </c>
      <c r="C397" s="142">
        <f>C393</f>
        <v>64812</v>
      </c>
      <c r="D397" s="138"/>
      <c r="E397" s="143"/>
      <c r="F397" s="144"/>
      <c r="G397" s="138"/>
      <c r="H397" s="143"/>
      <c r="I397" s="144"/>
      <c r="J397" s="145">
        <f>J184</f>
        <v>0</v>
      </c>
      <c r="K397" s="240" t="s">
        <v>107</v>
      </c>
      <c r="L397" s="144">
        <f t="shared" si="121"/>
        <v>0</v>
      </c>
      <c r="M397" s="144"/>
      <c r="N397" s="145" t="str">
        <f>N184</f>
        <v xml:space="preserve"> </v>
      </c>
      <c r="O397" s="240" t="s">
        <v>107</v>
      </c>
      <c r="P397" s="144">
        <f t="shared" si="122"/>
        <v>0</v>
      </c>
      <c r="Q397" s="144"/>
      <c r="R397" s="145" t="str">
        <f>R184</f>
        <v xml:space="preserve"> </v>
      </c>
      <c r="S397" s="240" t="s">
        <v>107</v>
      </c>
      <c r="T397" s="144">
        <f t="shared" si="123"/>
        <v>0</v>
      </c>
      <c r="U397" s="144"/>
      <c r="V397" s="145">
        <f>V184</f>
        <v>0</v>
      </c>
      <c r="W397" s="240" t="s">
        <v>107</v>
      </c>
      <c r="X397" s="144">
        <f t="shared" si="124"/>
        <v>0</v>
      </c>
      <c r="Z397" s="132"/>
      <c r="AC397" s="148"/>
      <c r="AD397" s="148"/>
      <c r="AI397" s="143"/>
      <c r="AJ397" s="143"/>
      <c r="AK397" s="143"/>
      <c r="AL397" s="143"/>
      <c r="AM397" s="143"/>
      <c r="AN397" s="143"/>
      <c r="AO397" s="143"/>
      <c r="AP397" s="143"/>
      <c r="AQ397" s="143"/>
      <c r="AR397" s="143"/>
      <c r="AS397" s="143"/>
      <c r="AU397" s="147"/>
    </row>
    <row r="398" spans="1:47" s="141" customFormat="1" hidden="1">
      <c r="A398" s="140" t="s">
        <v>155</v>
      </c>
      <c r="C398" s="142">
        <f>C394</f>
        <v>0</v>
      </c>
      <c r="D398" s="138"/>
      <c r="E398" s="143"/>
      <c r="F398" s="144"/>
      <c r="G398" s="138"/>
      <c r="H398" s="143"/>
      <c r="I398" s="144"/>
      <c r="J398" s="145">
        <f>J185</f>
        <v>0</v>
      </c>
      <c r="K398" s="240" t="s">
        <v>107</v>
      </c>
      <c r="L398" s="144">
        <f t="shared" si="121"/>
        <v>0</v>
      </c>
      <c r="M398" s="144"/>
      <c r="N398" s="145" t="str">
        <f>N185</f>
        <v xml:space="preserve"> </v>
      </c>
      <c r="O398" s="240" t="s">
        <v>107</v>
      </c>
      <c r="P398" s="144">
        <f t="shared" si="122"/>
        <v>0</v>
      </c>
      <c r="Q398" s="144"/>
      <c r="R398" s="145" t="str">
        <f>R185</f>
        <v xml:space="preserve"> </v>
      </c>
      <c r="S398" s="240" t="s">
        <v>107</v>
      </c>
      <c r="T398" s="144">
        <f t="shared" si="123"/>
        <v>0</v>
      </c>
      <c r="U398" s="144"/>
      <c r="V398" s="145">
        <f>V185</f>
        <v>0</v>
      </c>
      <c r="W398" s="240" t="s">
        <v>107</v>
      </c>
      <c r="X398" s="144">
        <f t="shared" si="124"/>
        <v>0</v>
      </c>
      <c r="Z398" s="132"/>
      <c r="AC398" s="148"/>
      <c r="AD398" s="148"/>
      <c r="AI398" s="143"/>
      <c r="AJ398" s="143"/>
      <c r="AK398" s="143"/>
      <c r="AL398" s="143"/>
      <c r="AM398" s="143"/>
      <c r="AN398" s="143"/>
      <c r="AO398" s="143"/>
      <c r="AP398" s="143"/>
      <c r="AQ398" s="143"/>
      <c r="AR398" s="143"/>
      <c r="AS398" s="143"/>
      <c r="AU398" s="147"/>
    </row>
    <row r="399" spans="1:47" hidden="1">
      <c r="A399" s="244" t="s">
        <v>159</v>
      </c>
      <c r="B399" s="169"/>
      <c r="C399" s="227"/>
      <c r="D399" s="245">
        <v>-0.01</v>
      </c>
      <c r="E399" s="229"/>
      <c r="F399" s="131"/>
      <c r="G399" s="245">
        <v>-0.01</v>
      </c>
      <c r="H399" s="231"/>
      <c r="I399" s="131"/>
      <c r="J399" s="245">
        <v>-0.01</v>
      </c>
      <c r="K399" s="231"/>
      <c r="L399" s="131"/>
      <c r="M399" s="131"/>
      <c r="N399" s="245">
        <v>-0.01</v>
      </c>
      <c r="O399" s="231"/>
      <c r="P399" s="131"/>
      <c r="Q399" s="131"/>
      <c r="R399" s="245">
        <v>-0.01</v>
      </c>
      <c r="S399" s="231"/>
      <c r="T399" s="131"/>
      <c r="U399" s="131"/>
      <c r="V399" s="245">
        <v>-0.01</v>
      </c>
      <c r="W399" s="231"/>
      <c r="X399" s="131"/>
      <c r="Y399" s="53"/>
      <c r="Z399" s="110"/>
      <c r="AA399" s="110"/>
      <c r="AB399" s="110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U399" s="135"/>
    </row>
    <row r="400" spans="1:47" hidden="1">
      <c r="A400" s="169" t="s">
        <v>143</v>
      </c>
      <c r="B400" s="169"/>
      <c r="C400" s="227">
        <v>0</v>
      </c>
      <c r="D400" s="247">
        <v>8.7100000000000009</v>
      </c>
      <c r="E400" s="229"/>
      <c r="F400" s="131">
        <f>-ROUND(D400*$C400/100,0)</f>
        <v>0</v>
      </c>
      <c r="G400" s="247">
        <v>8.7100000000000009</v>
      </c>
      <c r="H400" s="229"/>
      <c r="I400" s="131">
        <f>-ROUND(G400*$C400/100,0)</f>
        <v>0</v>
      </c>
      <c r="J400" s="247">
        <f>J386</f>
        <v>9.6</v>
      </c>
      <c r="K400" s="229"/>
      <c r="L400" s="131">
        <f>-ROUND(J400*$C400/100,0)</f>
        <v>0</v>
      </c>
      <c r="M400" s="131"/>
      <c r="N400" s="247">
        <f>N386</f>
        <v>9.6</v>
      </c>
      <c r="O400" s="229"/>
      <c r="P400" s="131">
        <f>-ROUND(N400*$C400/100,0)</f>
        <v>0</v>
      </c>
      <c r="Q400" s="131"/>
      <c r="R400" s="247" t="str">
        <f>R386</f>
        <v xml:space="preserve"> </v>
      </c>
      <c r="S400" s="229"/>
      <c r="T400" s="131">
        <f>-ROUND(R400*$C400/100,0)</f>
        <v>0</v>
      </c>
      <c r="U400" s="131"/>
      <c r="V400" s="247" t="str">
        <f>V386</f>
        <v xml:space="preserve"> </v>
      </c>
      <c r="W400" s="229"/>
      <c r="X400" s="131">
        <f>-ROUND(V400*$C400/100,0)</f>
        <v>0</v>
      </c>
      <c r="Y400" s="53"/>
      <c r="Z400" s="110"/>
      <c r="AA400" s="110"/>
      <c r="AB400" s="110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U400" s="135"/>
    </row>
    <row r="401" spans="1:47" hidden="1">
      <c r="A401" s="169" t="s">
        <v>144</v>
      </c>
      <c r="B401" s="169"/>
      <c r="C401" s="227">
        <v>0</v>
      </c>
      <c r="D401" s="247">
        <v>12.98</v>
      </c>
      <c r="E401" s="229"/>
      <c r="F401" s="131">
        <f>-ROUND(D401*$C401/100,0)</f>
        <v>0</v>
      </c>
      <c r="G401" s="247">
        <v>12.98</v>
      </c>
      <c r="H401" s="229"/>
      <c r="I401" s="131">
        <f t="shared" ref="I401:I403" si="125">-ROUND(G401*$C401/100,0)</f>
        <v>0</v>
      </c>
      <c r="J401" s="247">
        <f>J387</f>
        <v>14.3</v>
      </c>
      <c r="K401" s="229"/>
      <c r="L401" s="131">
        <f>-ROUND(J401*$C401/100,0)</f>
        <v>0</v>
      </c>
      <c r="M401" s="131"/>
      <c r="N401" s="247">
        <f>N387</f>
        <v>14.3</v>
      </c>
      <c r="O401" s="229"/>
      <c r="P401" s="131">
        <f>-ROUND(N401*$C401/100,0)</f>
        <v>0</v>
      </c>
      <c r="Q401" s="131"/>
      <c r="R401" s="247" t="str">
        <f>R387</f>
        <v xml:space="preserve"> </v>
      </c>
      <c r="S401" s="229"/>
      <c r="T401" s="131">
        <f>-ROUND(R401*$C401/100,0)</f>
        <v>0</v>
      </c>
      <c r="U401" s="131"/>
      <c r="V401" s="247" t="str">
        <f>V387</f>
        <v xml:space="preserve"> </v>
      </c>
      <c r="W401" s="229"/>
      <c r="X401" s="131">
        <f>-ROUND(V401*$C401/100,0)</f>
        <v>0</v>
      </c>
      <c r="Y401" s="53"/>
      <c r="Z401" s="110"/>
      <c r="AA401" s="110"/>
      <c r="AB401" s="110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U401" s="135"/>
    </row>
    <row r="402" spans="1:47" hidden="1">
      <c r="A402" s="169" t="s">
        <v>160</v>
      </c>
      <c r="B402" s="169"/>
      <c r="C402" s="227">
        <v>0</v>
      </c>
      <c r="D402" s="247">
        <v>0.92</v>
      </c>
      <c r="E402" s="229"/>
      <c r="F402" s="131">
        <f>-ROUND(D402*$C402/100,0)</f>
        <v>0</v>
      </c>
      <c r="G402" s="247">
        <v>0.92</v>
      </c>
      <c r="H402" s="229"/>
      <c r="I402" s="131">
        <f t="shared" si="125"/>
        <v>0</v>
      </c>
      <c r="J402" s="247">
        <f>J388</f>
        <v>1</v>
      </c>
      <c r="K402" s="229"/>
      <c r="L402" s="131">
        <f>-ROUND(J402*$C402/100,0)</f>
        <v>0</v>
      </c>
      <c r="M402" s="131"/>
      <c r="N402" s="247">
        <f>N388</f>
        <v>1</v>
      </c>
      <c r="O402" s="229"/>
      <c r="P402" s="131">
        <f>-ROUND(N402*$C402/100,0)</f>
        <v>0</v>
      </c>
      <c r="Q402" s="131"/>
      <c r="R402" s="247" t="str">
        <f>R388</f>
        <v xml:space="preserve"> </v>
      </c>
      <c r="S402" s="229"/>
      <c r="T402" s="131">
        <f>-ROUND(R402*$C402/100,0)</f>
        <v>0</v>
      </c>
      <c r="U402" s="131"/>
      <c r="V402" s="247" t="str">
        <f>V388</f>
        <v xml:space="preserve"> </v>
      </c>
      <c r="W402" s="229"/>
      <c r="X402" s="131">
        <f>-ROUND(V402*$C402/100,0)</f>
        <v>0</v>
      </c>
      <c r="Y402" s="53"/>
      <c r="Z402" s="110"/>
      <c r="AA402" s="110"/>
      <c r="AB402" s="110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U402" s="135"/>
    </row>
    <row r="403" spans="1:47" hidden="1">
      <c r="A403" s="169" t="s">
        <v>161</v>
      </c>
      <c r="B403" s="169"/>
      <c r="C403" s="227">
        <v>0</v>
      </c>
      <c r="D403" s="247">
        <v>3.4</v>
      </c>
      <c r="E403" s="231"/>
      <c r="F403" s="131">
        <f>-ROUND(D403*$C403/100,0)</f>
        <v>0</v>
      </c>
      <c r="G403" s="247">
        <v>3.61</v>
      </c>
      <c r="H403" s="231"/>
      <c r="I403" s="131">
        <f t="shared" si="125"/>
        <v>0</v>
      </c>
      <c r="J403" s="247">
        <f>J391</f>
        <v>3.64</v>
      </c>
      <c r="K403" s="231"/>
      <c r="L403" s="131">
        <f>-ROUND(J403*$C403/100,0)</f>
        <v>0</v>
      </c>
      <c r="M403" s="131"/>
      <c r="N403" s="247">
        <f>N391</f>
        <v>0.48</v>
      </c>
      <c r="O403" s="231"/>
      <c r="P403" s="131">
        <f>-ROUND(N403*$C403/100,0)</f>
        <v>0</v>
      </c>
      <c r="Q403" s="131"/>
      <c r="R403" s="247">
        <f>R391</f>
        <v>0.63</v>
      </c>
      <c r="S403" s="231"/>
      <c r="T403" s="131">
        <f>-ROUND(R403*$C403/100,0)</f>
        <v>0</v>
      </c>
      <c r="U403" s="131"/>
      <c r="V403" s="247">
        <f>V391</f>
        <v>2.54</v>
      </c>
      <c r="W403" s="231"/>
      <c r="X403" s="131">
        <f>-ROUND(V403*$C403/100,0)</f>
        <v>0</v>
      </c>
      <c r="Y403" s="53"/>
      <c r="Z403" s="110"/>
      <c r="AA403" s="110"/>
      <c r="AB403" s="110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U403" s="135"/>
    </row>
    <row r="404" spans="1:47" hidden="1">
      <c r="A404" s="169" t="s">
        <v>162</v>
      </c>
      <c r="B404" s="169"/>
      <c r="C404" s="227">
        <v>0</v>
      </c>
      <c r="D404" s="248">
        <v>9.766</v>
      </c>
      <c r="E404" s="231" t="s">
        <v>107</v>
      </c>
      <c r="F404" s="131">
        <f>ROUND(D404*$C404/100*D399,0)</f>
        <v>0</v>
      </c>
      <c r="G404" s="248">
        <v>10.359</v>
      </c>
      <c r="H404" s="231" t="s">
        <v>107</v>
      </c>
      <c r="I404" s="131">
        <f>ROUND(G404*$C404/100*G399,0)</f>
        <v>0</v>
      </c>
      <c r="J404" s="248">
        <f>J392</f>
        <v>10.449</v>
      </c>
      <c r="K404" s="231" t="s">
        <v>107</v>
      </c>
      <c r="L404" s="131">
        <f>ROUND(J404*$C404/100*J399,0)</f>
        <v>0</v>
      </c>
      <c r="M404" s="131"/>
      <c r="N404" s="248">
        <f>N392</f>
        <v>1.3644187751662151</v>
      </c>
      <c r="O404" s="231" t="s">
        <v>107</v>
      </c>
      <c r="P404" s="131">
        <f>ROUND(N404*$C404/100*N399,0)</f>
        <v>0</v>
      </c>
      <c r="Q404" s="131"/>
      <c r="R404" s="248">
        <f>R392</f>
        <v>1.7973223544650079</v>
      </c>
      <c r="S404" s="231" t="s">
        <v>107</v>
      </c>
      <c r="T404" s="131">
        <f>ROUND(R404*$C404/100*R399,0)</f>
        <v>0</v>
      </c>
      <c r="U404" s="131"/>
      <c r="V404" s="248">
        <f>V392</f>
        <v>7.2874254450520697</v>
      </c>
      <c r="W404" s="231" t="s">
        <v>107</v>
      </c>
      <c r="X404" s="131">
        <f>ROUND(V404*$C404/100*V399,0)</f>
        <v>0</v>
      </c>
      <c r="Y404" s="53"/>
      <c r="Z404" s="110"/>
      <c r="AA404" s="110"/>
      <c r="AB404" s="110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U404" s="135"/>
    </row>
    <row r="405" spans="1:47" hidden="1">
      <c r="A405" s="169" t="s">
        <v>150</v>
      </c>
      <c r="B405" s="169"/>
      <c r="C405" s="227">
        <v>0</v>
      </c>
      <c r="D405" s="248">
        <v>6.7460000000000004</v>
      </c>
      <c r="E405" s="231" t="s">
        <v>107</v>
      </c>
      <c r="F405" s="131">
        <f>ROUND(D405*$C405/100*D399,0)</f>
        <v>0</v>
      </c>
      <c r="G405" s="248">
        <v>7.1559999999999997</v>
      </c>
      <c r="H405" s="231" t="s">
        <v>107</v>
      </c>
      <c r="I405" s="131">
        <f>ROUND(G405*$C405/100*G399,0)</f>
        <v>0</v>
      </c>
      <c r="J405" s="248">
        <f>J393</f>
        <v>7.218</v>
      </c>
      <c r="K405" s="231" t="s">
        <v>107</v>
      </c>
      <c r="L405" s="131">
        <f>ROUND(J405*$C405/100*J399,0)</f>
        <v>0</v>
      </c>
      <c r="M405" s="131"/>
      <c r="N405" s="248">
        <f>N393</f>
        <v>0.94251839115112013</v>
      </c>
      <c r="O405" s="231" t="s">
        <v>107</v>
      </c>
      <c r="P405" s="131">
        <f>ROUND(N405*$C405/100*N399,0)</f>
        <v>0</v>
      </c>
      <c r="Q405" s="131"/>
      <c r="R405" s="248">
        <f>R393</f>
        <v>1.2418703884281421</v>
      </c>
      <c r="S405" s="231" t="s">
        <v>107</v>
      </c>
      <c r="T405" s="131">
        <f>ROUND(R405*$C405/100*R399,0)</f>
        <v>0</v>
      </c>
      <c r="U405" s="131"/>
      <c r="V405" s="248">
        <f>V393</f>
        <v>5.0333446832527242</v>
      </c>
      <c r="W405" s="231" t="s">
        <v>107</v>
      </c>
      <c r="X405" s="131">
        <f>ROUND(V405*$C405/100*V399,0)</f>
        <v>0</v>
      </c>
      <c r="Y405" s="53"/>
      <c r="Z405" s="110"/>
      <c r="AA405" s="110"/>
      <c r="AB405" s="110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U405" s="135"/>
    </row>
    <row r="406" spans="1:47" hidden="1">
      <c r="A406" s="169" t="s">
        <v>151</v>
      </c>
      <c r="B406" s="169"/>
      <c r="C406" s="227">
        <v>0</v>
      </c>
      <c r="D406" s="248">
        <v>5.8120000000000003</v>
      </c>
      <c r="E406" s="231" t="s">
        <v>107</v>
      </c>
      <c r="F406" s="131">
        <f>ROUND(D406*$C406/100*D399,0)</f>
        <v>0</v>
      </c>
      <c r="G406" s="248">
        <v>6.1660000000000004</v>
      </c>
      <c r="H406" s="231" t="s">
        <v>107</v>
      </c>
      <c r="I406" s="131">
        <f>ROUND(G406*$C406/100*G399,0)</f>
        <v>0</v>
      </c>
      <c r="J406" s="248">
        <f>J394</f>
        <v>6.218</v>
      </c>
      <c r="K406" s="231" t="s">
        <v>107</v>
      </c>
      <c r="L406" s="131">
        <f>ROUND(J406*$C406/100*J399,0)</f>
        <v>0</v>
      </c>
      <c r="M406" s="131"/>
      <c r="N406" s="248">
        <f>N394</f>
        <v>0.81193939748297494</v>
      </c>
      <c r="O406" s="231" t="s">
        <v>107</v>
      </c>
      <c r="P406" s="131">
        <f>ROUND(N406*$C406/100*N399,0)</f>
        <v>0</v>
      </c>
      <c r="Q406" s="131"/>
      <c r="R406" s="248">
        <f>R394</f>
        <v>1.0689569190308457</v>
      </c>
      <c r="S406" s="231" t="s">
        <v>107</v>
      </c>
      <c r="T406" s="131">
        <f>ROUND(R406*$C406/100*R399,0)</f>
        <v>0</v>
      </c>
      <c r="U406" s="131"/>
      <c r="V406" s="248">
        <f>V394</f>
        <v>4.3370117827017491</v>
      </c>
      <c r="W406" s="231" t="s">
        <v>107</v>
      </c>
      <c r="X406" s="131">
        <f>ROUND(V406*$C406/100*V399,0)</f>
        <v>0</v>
      </c>
      <c r="Y406" s="53"/>
      <c r="Z406" s="110"/>
      <c r="AA406" s="110"/>
      <c r="AB406" s="110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U406" s="135"/>
    </row>
    <row r="407" spans="1:47" hidden="1">
      <c r="A407" s="169" t="s">
        <v>152</v>
      </c>
      <c r="B407" s="169"/>
      <c r="C407" s="227">
        <v>0</v>
      </c>
      <c r="D407" s="249">
        <v>56</v>
      </c>
      <c r="E407" s="231" t="s">
        <v>107</v>
      </c>
      <c r="F407" s="131">
        <f>ROUND(D407*$C407/100*D399,0)</f>
        <v>0</v>
      </c>
      <c r="G407" s="249">
        <v>56</v>
      </c>
      <c r="H407" s="231" t="s">
        <v>107</v>
      </c>
      <c r="I407" s="131">
        <f>ROUND(G407*$C407/100*G399,0)</f>
        <v>0</v>
      </c>
      <c r="J407" s="249">
        <f>J395</f>
        <v>56</v>
      </c>
      <c r="K407" s="231" t="s">
        <v>107</v>
      </c>
      <c r="L407" s="131">
        <f>ROUND(J407*$C407/100*J399,0)</f>
        <v>0</v>
      </c>
      <c r="M407" s="131"/>
      <c r="N407" s="249" t="str">
        <f>N395</f>
        <v xml:space="preserve"> </v>
      </c>
      <c r="O407" s="231" t="s">
        <v>107</v>
      </c>
      <c r="P407" s="131">
        <f>ROUND(N407*$C407/100*N399,0)</f>
        <v>0</v>
      </c>
      <c r="Q407" s="131"/>
      <c r="R407" s="249">
        <f>R395</f>
        <v>11</v>
      </c>
      <c r="S407" s="231" t="s">
        <v>107</v>
      </c>
      <c r="T407" s="131">
        <f>ROUND(R407*$C407/100*R399,0)</f>
        <v>0</v>
      </c>
      <c r="U407" s="131"/>
      <c r="V407" s="249">
        <f>V395</f>
        <v>45</v>
      </c>
      <c r="W407" s="231" t="s">
        <v>107</v>
      </c>
      <c r="X407" s="131">
        <f>ROUND(V407*$C407/100*V399,0)</f>
        <v>0</v>
      </c>
      <c r="Y407" s="53"/>
      <c r="Z407" s="110"/>
      <c r="AA407" s="110"/>
      <c r="AB407" s="110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U407" s="135"/>
    </row>
    <row r="408" spans="1:47" hidden="1">
      <c r="A408" s="169" t="s">
        <v>163</v>
      </c>
      <c r="B408" s="169"/>
      <c r="C408" s="227">
        <v>0</v>
      </c>
      <c r="D408" s="250">
        <v>60</v>
      </c>
      <c r="E408" s="229"/>
      <c r="F408" s="131">
        <f>ROUND(D408*$C408,0)</f>
        <v>0</v>
      </c>
      <c r="G408" s="250">
        <v>60</v>
      </c>
      <c r="H408" s="231"/>
      <c r="I408" s="131">
        <f>ROUND(G408*C408,0)</f>
        <v>0</v>
      </c>
      <c r="J408" s="250">
        <f>$J$198</f>
        <v>60</v>
      </c>
      <c r="K408" s="231"/>
      <c r="L408" s="131">
        <f>ROUND(J408*$C408,0)</f>
        <v>0</v>
      </c>
      <c r="M408" s="131"/>
      <c r="N408" s="250" t="str">
        <f>$N$198</f>
        <v xml:space="preserve"> </v>
      </c>
      <c r="O408" s="231"/>
      <c r="P408" s="131">
        <f>ROUND(N408*$C408,0)</f>
        <v>0</v>
      </c>
      <c r="Q408" s="131"/>
      <c r="R408" s="250">
        <f>$R$198</f>
        <v>11.86</v>
      </c>
      <c r="S408" s="231"/>
      <c r="T408" s="131">
        <f>ROUND(R408*$C408,0)</f>
        <v>0</v>
      </c>
      <c r="U408" s="131"/>
      <c r="V408" s="250">
        <f>$V$198</f>
        <v>48.14</v>
      </c>
      <c r="W408" s="231"/>
      <c r="X408" s="131">
        <f>ROUND(V408*$C408,0)</f>
        <v>0</v>
      </c>
      <c r="Y408" s="53"/>
      <c r="Z408" s="110"/>
      <c r="AA408" s="110"/>
      <c r="AB408" s="110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U408" s="135"/>
    </row>
    <row r="409" spans="1:47" hidden="1">
      <c r="A409" s="169" t="s">
        <v>164</v>
      </c>
      <c r="B409" s="169"/>
      <c r="C409" s="227">
        <v>0</v>
      </c>
      <c r="D409" s="251">
        <v>-30</v>
      </c>
      <c r="E409" s="229" t="s">
        <v>107</v>
      </c>
      <c r="F409" s="131">
        <f>ROUND(D409*$C409/100,0)</f>
        <v>0</v>
      </c>
      <c r="G409" s="251">
        <v>-30</v>
      </c>
      <c r="H409" s="231" t="s">
        <v>107</v>
      </c>
      <c r="I409" s="131">
        <f>ROUND(G409*C409/100,0)</f>
        <v>0</v>
      </c>
      <c r="J409" s="251">
        <f>$J$199</f>
        <v>-30</v>
      </c>
      <c r="K409" s="231" t="s">
        <v>107</v>
      </c>
      <c r="L409" s="131">
        <f>ROUND(J409*$C409/100,0)</f>
        <v>0</v>
      </c>
      <c r="M409" s="131"/>
      <c r="N409" s="251">
        <f>$N$199</f>
        <v>-30</v>
      </c>
      <c r="O409" s="231" t="s">
        <v>107</v>
      </c>
      <c r="P409" s="131">
        <f>ROUND(N409*$C409/100,0)</f>
        <v>0</v>
      </c>
      <c r="Q409" s="131"/>
      <c r="R409" s="251" t="str">
        <f>$R$199</f>
        <v xml:space="preserve"> </v>
      </c>
      <c r="S409" s="231" t="s">
        <v>107</v>
      </c>
      <c r="T409" s="131">
        <f>ROUND(R409*$C409/100,0)</f>
        <v>0</v>
      </c>
      <c r="U409" s="131"/>
      <c r="V409" s="251" t="str">
        <f>$V$199</f>
        <v xml:space="preserve"> </v>
      </c>
      <c r="W409" s="231" t="s">
        <v>107</v>
      </c>
      <c r="X409" s="131">
        <f>ROUND(V409*$C409/100,0)</f>
        <v>0</v>
      </c>
      <c r="Y409" s="53"/>
      <c r="Z409" s="110"/>
      <c r="AA409" s="110"/>
      <c r="AB409" s="110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U409" s="135"/>
    </row>
    <row r="410" spans="1:47" s="141" customFormat="1" hidden="1">
      <c r="A410" s="140" t="s">
        <v>153</v>
      </c>
      <c r="C410" s="142">
        <f>C404</f>
        <v>0</v>
      </c>
      <c r="D410" s="138"/>
      <c r="E410" s="143"/>
      <c r="F410" s="144"/>
      <c r="G410" s="138"/>
      <c r="H410" s="143"/>
      <c r="I410" s="144"/>
      <c r="J410" s="145">
        <f>J183</f>
        <v>0</v>
      </c>
      <c r="K410" s="240" t="s">
        <v>107</v>
      </c>
      <c r="L410" s="131">
        <f>ROUND(J410*$C410/100*J399,0)</f>
        <v>0</v>
      </c>
      <c r="M410" s="131"/>
      <c r="N410" s="145" t="str">
        <f>N183</f>
        <v xml:space="preserve"> </v>
      </c>
      <c r="O410" s="240" t="s">
        <v>107</v>
      </c>
      <c r="P410" s="131">
        <f>ROUND(N410*$C410/100*N399,0)</f>
        <v>0</v>
      </c>
      <c r="Q410" s="131"/>
      <c r="R410" s="145" t="str">
        <f>R183</f>
        <v xml:space="preserve"> </v>
      </c>
      <c r="S410" s="240" t="s">
        <v>107</v>
      </c>
      <c r="T410" s="131">
        <f>ROUND(R410*$C410/100*R399,0)</f>
        <v>0</v>
      </c>
      <c r="U410" s="131"/>
      <c r="V410" s="145">
        <f>V183</f>
        <v>0</v>
      </c>
      <c r="W410" s="240" t="s">
        <v>107</v>
      </c>
      <c r="X410" s="131">
        <f>ROUND(V410*$C410/100*V399,0)</f>
        <v>0</v>
      </c>
      <c r="Z410" s="132"/>
      <c r="AC410" s="148"/>
      <c r="AD410" s="148"/>
      <c r="AI410" s="143"/>
      <c r="AJ410" s="143"/>
      <c r="AK410" s="143"/>
      <c r="AL410" s="143"/>
      <c r="AM410" s="143"/>
      <c r="AN410" s="143"/>
      <c r="AO410" s="143"/>
      <c r="AP410" s="143"/>
      <c r="AQ410" s="143"/>
      <c r="AR410" s="143"/>
      <c r="AS410" s="143"/>
      <c r="AU410" s="147"/>
    </row>
    <row r="411" spans="1:47" s="141" customFormat="1" hidden="1">
      <c r="A411" s="140" t="s">
        <v>154</v>
      </c>
      <c r="C411" s="142">
        <f>C405</f>
        <v>0</v>
      </c>
      <c r="D411" s="138"/>
      <c r="E411" s="143"/>
      <c r="F411" s="144"/>
      <c r="G411" s="138"/>
      <c r="H411" s="143"/>
      <c r="I411" s="144"/>
      <c r="J411" s="145">
        <f>J184</f>
        <v>0</v>
      </c>
      <c r="K411" s="240" t="s">
        <v>107</v>
      </c>
      <c r="L411" s="131">
        <f>ROUND(J411*$C411/100*J399,0)</f>
        <v>0</v>
      </c>
      <c r="M411" s="131"/>
      <c r="N411" s="145" t="str">
        <f>N184</f>
        <v xml:space="preserve"> </v>
      </c>
      <c r="O411" s="240" t="s">
        <v>107</v>
      </c>
      <c r="P411" s="131">
        <f>ROUND(N411*$C411/100*N399,0)</f>
        <v>0</v>
      </c>
      <c r="Q411" s="131"/>
      <c r="R411" s="145" t="str">
        <f>R184</f>
        <v xml:space="preserve"> </v>
      </c>
      <c r="S411" s="240" t="s">
        <v>107</v>
      </c>
      <c r="T411" s="131">
        <f>ROUND(R411*$C411/100*R399,0)</f>
        <v>0</v>
      </c>
      <c r="U411" s="131"/>
      <c r="V411" s="145">
        <f>V184</f>
        <v>0</v>
      </c>
      <c r="W411" s="240" t="s">
        <v>107</v>
      </c>
      <c r="X411" s="131">
        <f>ROUND(V411*$C411/100*V399,0)</f>
        <v>0</v>
      </c>
      <c r="Z411" s="132"/>
      <c r="AC411" s="148"/>
      <c r="AD411" s="148"/>
      <c r="AI411" s="143"/>
      <c r="AJ411" s="143"/>
      <c r="AK411" s="143"/>
      <c r="AL411" s="143"/>
      <c r="AM411" s="143"/>
      <c r="AN411" s="143"/>
      <c r="AO411" s="143"/>
      <c r="AP411" s="143"/>
      <c r="AQ411" s="143"/>
      <c r="AR411" s="143"/>
      <c r="AS411" s="143"/>
      <c r="AU411" s="147"/>
    </row>
    <row r="412" spans="1:47" s="141" customFormat="1" hidden="1">
      <c r="A412" s="140" t="s">
        <v>155</v>
      </c>
      <c r="C412" s="142">
        <f>C406</f>
        <v>0</v>
      </c>
      <c r="D412" s="138"/>
      <c r="E412" s="143"/>
      <c r="F412" s="144"/>
      <c r="G412" s="138"/>
      <c r="H412" s="143"/>
      <c r="I412" s="144"/>
      <c r="J412" s="145">
        <f>J185</f>
        <v>0</v>
      </c>
      <c r="K412" s="240" t="s">
        <v>107</v>
      </c>
      <c r="L412" s="131">
        <f>ROUND(J412*$C412/100*J399,0)</f>
        <v>0</v>
      </c>
      <c r="M412" s="131"/>
      <c r="N412" s="145" t="str">
        <f>N185</f>
        <v xml:space="preserve"> </v>
      </c>
      <c r="O412" s="240" t="s">
        <v>107</v>
      </c>
      <c r="P412" s="131">
        <f>ROUND(N412*$C412/100*N399,0)</f>
        <v>0</v>
      </c>
      <c r="Q412" s="131"/>
      <c r="R412" s="145" t="str">
        <f>R185</f>
        <v xml:space="preserve"> </v>
      </c>
      <c r="S412" s="240" t="s">
        <v>107</v>
      </c>
      <c r="T412" s="131">
        <f>ROUND(R412*$C412/100*R399,0)</f>
        <v>0</v>
      </c>
      <c r="U412" s="131"/>
      <c r="V412" s="145">
        <f>V185</f>
        <v>0</v>
      </c>
      <c r="W412" s="240" t="s">
        <v>107</v>
      </c>
      <c r="X412" s="131">
        <f>ROUND(V412*$C412/100*V399,0)</f>
        <v>0</v>
      </c>
      <c r="Z412" s="132"/>
      <c r="AC412" s="148"/>
      <c r="AD412" s="148"/>
      <c r="AI412" s="143"/>
      <c r="AJ412" s="143"/>
      <c r="AK412" s="143"/>
      <c r="AL412" s="143"/>
      <c r="AM412" s="143"/>
      <c r="AN412" s="143"/>
      <c r="AO412" s="143"/>
      <c r="AP412" s="143"/>
      <c r="AQ412" s="143"/>
      <c r="AR412" s="143"/>
      <c r="AS412" s="143"/>
      <c r="AU412" s="147"/>
    </row>
    <row r="413" spans="1:47" hidden="1">
      <c r="A413" s="169" t="s">
        <v>133</v>
      </c>
      <c r="B413" s="169"/>
      <c r="C413" s="227">
        <f>SUM(C392:C394)</f>
        <v>1269318.6605672329</v>
      </c>
      <c r="D413" s="237"/>
      <c r="E413" s="131"/>
      <c r="F413" s="131">
        <f>SUM(F386:F409)</f>
        <v>157219</v>
      </c>
      <c r="G413" s="237"/>
      <c r="H413" s="231"/>
      <c r="I413" s="131">
        <f>SUM(I386:I409)</f>
        <v>164628</v>
      </c>
      <c r="J413" s="237"/>
      <c r="K413" s="231"/>
      <c r="L413" s="131">
        <f>SUM(L386:L412)</f>
        <v>169351</v>
      </c>
      <c r="M413" s="131"/>
      <c r="N413" s="237"/>
      <c r="O413" s="231"/>
      <c r="P413" s="131">
        <f>SUM(P386:P412)</f>
        <v>55860</v>
      </c>
      <c r="Q413" s="131"/>
      <c r="R413" s="237"/>
      <c r="S413" s="231"/>
      <c r="T413" s="131">
        <f>SUM(T386:T412)</f>
        <v>22454</v>
      </c>
      <c r="U413" s="131"/>
      <c r="V413" s="237"/>
      <c r="W413" s="231"/>
      <c r="X413" s="131">
        <f>SUM(X386:X412)</f>
        <v>91040</v>
      </c>
      <c r="Y413" s="53"/>
      <c r="Z413" s="110"/>
      <c r="AA413" s="110"/>
      <c r="AB413" s="110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U413" s="135"/>
    </row>
    <row r="414" spans="1:47" hidden="1">
      <c r="A414" s="169" t="s">
        <v>111</v>
      </c>
      <c r="B414" s="169"/>
      <c r="C414" s="275">
        <v>-3590.4726383423845</v>
      </c>
      <c r="D414" s="154"/>
      <c r="E414" s="154"/>
      <c r="F414" s="254">
        <f>I414</f>
        <v>-389.05432115663655</v>
      </c>
      <c r="G414" s="154"/>
      <c r="H414" s="154"/>
      <c r="I414" s="254">
        <v>-389.05432115663655</v>
      </c>
      <c r="J414" s="154"/>
      <c r="K414" s="154"/>
      <c r="L414" s="254">
        <f>I414</f>
        <v>-389.05432115663655</v>
      </c>
      <c r="M414" s="230"/>
      <c r="N414" s="154"/>
      <c r="O414" s="154"/>
      <c r="P414" s="254">
        <f>P204/L204*L414</f>
        <v>-76.694824037786447</v>
      </c>
      <c r="Q414" s="230"/>
      <c r="R414" s="154"/>
      <c r="S414" s="154"/>
      <c r="T414" s="254">
        <f>T204/L204*L414</f>
        <v>-61.763768254382775</v>
      </c>
      <c r="U414" s="230"/>
      <c r="V414" s="154"/>
      <c r="W414" s="154"/>
      <c r="X414" s="254">
        <f>X204/L204*L414</f>
        <v>-250.59572886446728</v>
      </c>
      <c r="Y414" s="185"/>
      <c r="Z414" s="183"/>
      <c r="AA414" s="110"/>
      <c r="AB414" s="110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U414" s="135"/>
    </row>
    <row r="415" spans="1:47" ht="16.5" hidden="1" thickBot="1">
      <c r="A415" s="169" t="s">
        <v>134</v>
      </c>
      <c r="B415" s="169"/>
      <c r="C415" s="214">
        <f>SUM(C413:C414)</f>
        <v>1265728.1879288906</v>
      </c>
      <c r="D415" s="272"/>
      <c r="E415" s="256"/>
      <c r="F415" s="257">
        <f>F413+F414</f>
        <v>156829.94567884336</v>
      </c>
      <c r="G415" s="272"/>
      <c r="H415" s="258"/>
      <c r="I415" s="257">
        <f>I413+I414</f>
        <v>164238.94567884336</v>
      </c>
      <c r="J415" s="272"/>
      <c r="K415" s="258"/>
      <c r="L415" s="257">
        <f>L413+L414</f>
        <v>168961.94567884336</v>
      </c>
      <c r="M415" s="257"/>
      <c r="N415" s="272"/>
      <c r="O415" s="258"/>
      <c r="P415" s="257">
        <f>P413+P414</f>
        <v>55783.30517596221</v>
      </c>
      <c r="Q415" s="257"/>
      <c r="R415" s="272"/>
      <c r="S415" s="258"/>
      <c r="T415" s="257">
        <f>T413+T414</f>
        <v>22392.236231745617</v>
      </c>
      <c r="U415" s="257"/>
      <c r="V415" s="272"/>
      <c r="W415" s="258"/>
      <c r="X415" s="257">
        <f>X413+X414</f>
        <v>90789.404271135529</v>
      </c>
      <c r="Y415" s="186"/>
      <c r="Z415" s="187"/>
      <c r="AA415" s="110"/>
      <c r="AB415" s="110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U415" s="135"/>
    </row>
    <row r="416" spans="1:47" hidden="1">
      <c r="A416" s="169"/>
      <c r="B416" s="169"/>
      <c r="C416" s="189"/>
      <c r="D416" s="250"/>
      <c r="E416" s="131"/>
      <c r="F416" s="131"/>
      <c r="G416" s="250"/>
      <c r="H416" s="169"/>
      <c r="I416" s="131"/>
      <c r="J416" s="250"/>
      <c r="K416" s="169"/>
      <c r="L416" s="131" t="s">
        <v>0</v>
      </c>
      <c r="M416" s="131"/>
      <c r="N416" s="250"/>
      <c r="O416" s="169"/>
      <c r="P416" s="131" t="s">
        <v>0</v>
      </c>
      <c r="Q416" s="131"/>
      <c r="R416" s="250"/>
      <c r="S416" s="169"/>
      <c r="T416" s="131" t="s">
        <v>0</v>
      </c>
      <c r="U416" s="131"/>
      <c r="V416" s="250"/>
      <c r="W416" s="169"/>
      <c r="X416" s="131" t="s">
        <v>0</v>
      </c>
      <c r="Y416" s="53"/>
      <c r="Z416" s="110"/>
      <c r="AA416" s="110"/>
      <c r="AB416" s="110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U416" s="135"/>
    </row>
    <row r="417" spans="1:47" hidden="1">
      <c r="A417" s="188" t="s">
        <v>172</v>
      </c>
      <c r="B417" s="169"/>
      <c r="C417" s="169"/>
      <c r="D417" s="131"/>
      <c r="E417" s="131"/>
      <c r="F417" s="169" t="s">
        <v>0</v>
      </c>
      <c r="G417" s="131"/>
      <c r="H417" s="169"/>
      <c r="I417" s="169"/>
      <c r="J417" s="131"/>
      <c r="K417" s="169"/>
      <c r="L417" s="169"/>
      <c r="M417" s="169"/>
      <c r="N417" s="131"/>
      <c r="O417" s="169"/>
      <c r="P417" s="169"/>
      <c r="Q417" s="169"/>
      <c r="R417" s="131"/>
      <c r="S417" s="169"/>
      <c r="T417" s="169"/>
      <c r="U417" s="169"/>
      <c r="V417" s="131"/>
      <c r="W417" s="169"/>
      <c r="X417" s="169"/>
      <c r="Y417" s="53"/>
      <c r="Z417" s="110"/>
      <c r="AA417" s="110"/>
      <c r="AB417" s="110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U417" s="135"/>
    </row>
    <row r="418" spans="1:47" hidden="1">
      <c r="A418" s="169" t="s">
        <v>171</v>
      </c>
      <c r="B418" s="169"/>
      <c r="C418" s="169"/>
      <c r="D418" s="131"/>
      <c r="E418" s="131"/>
      <c r="F418" s="169"/>
      <c r="G418" s="131"/>
      <c r="H418" s="169"/>
      <c r="I418" s="169"/>
      <c r="J418" s="131"/>
      <c r="K418" s="169"/>
      <c r="L418" s="169"/>
      <c r="M418" s="169"/>
      <c r="N418" s="131"/>
      <c r="O418" s="169"/>
      <c r="P418" s="169"/>
      <c r="Q418" s="169"/>
      <c r="R418" s="131"/>
      <c r="S418" s="169"/>
      <c r="T418" s="169"/>
      <c r="U418" s="169"/>
      <c r="V418" s="131"/>
      <c r="W418" s="169"/>
      <c r="X418" s="169"/>
      <c r="Y418" s="53"/>
      <c r="Z418" s="110"/>
      <c r="AA418" s="110"/>
      <c r="AB418" s="110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U418" s="135"/>
    </row>
    <row r="419" spans="1:47" hidden="1">
      <c r="A419" s="169"/>
      <c r="B419" s="169"/>
      <c r="C419" s="169"/>
      <c r="D419" s="131"/>
      <c r="E419" s="131"/>
      <c r="F419" s="169"/>
      <c r="G419" s="131"/>
      <c r="H419" s="169"/>
      <c r="I419" s="169"/>
      <c r="J419" s="131"/>
      <c r="K419" s="169"/>
      <c r="L419" s="169"/>
      <c r="M419" s="169"/>
      <c r="N419" s="131"/>
      <c r="O419" s="169"/>
      <c r="P419" s="169"/>
      <c r="Q419" s="169"/>
      <c r="R419" s="131"/>
      <c r="S419" s="169"/>
      <c r="T419" s="169"/>
      <c r="U419" s="169"/>
      <c r="V419" s="131"/>
      <c r="W419" s="169"/>
      <c r="X419" s="169"/>
      <c r="Y419" s="53"/>
      <c r="Z419" s="110"/>
      <c r="AA419" s="110"/>
      <c r="AB419" s="110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U419" s="135"/>
    </row>
    <row r="420" spans="1:47" hidden="1">
      <c r="A420" s="169" t="s">
        <v>146</v>
      </c>
      <c r="B420" s="169"/>
      <c r="C420" s="227"/>
      <c r="D420" s="131"/>
      <c r="E420" s="131"/>
      <c r="F420" s="169"/>
      <c r="G420" s="131"/>
      <c r="H420" s="169"/>
      <c r="I420" s="169"/>
      <c r="J420" s="131"/>
      <c r="K420" s="169"/>
      <c r="L420" s="169"/>
      <c r="M420" s="169"/>
      <c r="N420" s="131"/>
      <c r="O420" s="169"/>
      <c r="P420" s="169"/>
      <c r="Q420" s="169"/>
      <c r="R420" s="131"/>
      <c r="S420" s="169"/>
      <c r="T420" s="169"/>
      <c r="U420" s="169"/>
      <c r="V420" s="131"/>
      <c r="W420" s="169"/>
      <c r="X420" s="169"/>
      <c r="Y420" s="53"/>
      <c r="Z420" s="110"/>
      <c r="AA420" s="110"/>
      <c r="AB420" s="110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U420" s="135"/>
    </row>
    <row r="421" spans="1:47" hidden="1">
      <c r="A421" s="169" t="s">
        <v>173</v>
      </c>
      <c r="B421" s="169"/>
      <c r="C421" s="227">
        <v>522.6</v>
      </c>
      <c r="D421" s="193">
        <v>8.7100000000000009</v>
      </c>
      <c r="E421" s="229"/>
      <c r="F421" s="131">
        <f>ROUND(D421*$C421,0)</f>
        <v>4552</v>
      </c>
      <c r="G421" s="193">
        <v>8.7100000000000009</v>
      </c>
      <c r="H421" s="231"/>
      <c r="I421" s="131">
        <f>ROUND(G421*$C421,0)</f>
        <v>4552</v>
      </c>
      <c r="J421" s="193">
        <f>$J$173</f>
        <v>9.6</v>
      </c>
      <c r="K421" s="231"/>
      <c r="L421" s="131">
        <f>ROUND(J421*$C421,0)</f>
        <v>5017</v>
      </c>
      <c r="M421" s="131"/>
      <c r="N421" s="193">
        <f>$N$173</f>
        <v>9.6</v>
      </c>
      <c r="O421" s="231"/>
      <c r="P421" s="131">
        <f>ROUND(N421*$C421,0)</f>
        <v>5017</v>
      </c>
      <c r="Q421" s="131"/>
      <c r="R421" s="193" t="str">
        <f>$R$173</f>
        <v xml:space="preserve"> </v>
      </c>
      <c r="S421" s="231"/>
      <c r="T421" s="131">
        <f>ROUND(R421*$C421,0)</f>
        <v>0</v>
      </c>
      <c r="U421" s="131"/>
      <c r="V421" s="193" t="str">
        <f>$V$173</f>
        <v xml:space="preserve"> </v>
      </c>
      <c r="W421" s="231"/>
      <c r="X421" s="131">
        <f>ROUND(V421*$C421,0)</f>
        <v>0</v>
      </c>
      <c r="Y421" s="53"/>
      <c r="Z421" s="110"/>
      <c r="AA421" s="110"/>
      <c r="AB421" s="110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U421" s="135"/>
    </row>
    <row r="422" spans="1:47" hidden="1">
      <c r="A422" s="169" t="s">
        <v>144</v>
      </c>
      <c r="B422" s="169"/>
      <c r="C422" s="227">
        <v>0</v>
      </c>
      <c r="D422" s="193">
        <v>12.98</v>
      </c>
      <c r="E422" s="232"/>
      <c r="F422" s="131">
        <f>ROUND(D422*$C422,0)</f>
        <v>0</v>
      </c>
      <c r="G422" s="193">
        <v>12.98</v>
      </c>
      <c r="H422" s="233"/>
      <c r="I422" s="131">
        <f t="shared" ref="I422:I423" si="126">ROUND(G422*$C422,0)</f>
        <v>0</v>
      </c>
      <c r="J422" s="193">
        <f>$J$174</f>
        <v>14.3</v>
      </c>
      <c r="K422" s="233"/>
      <c r="L422" s="131">
        <f>ROUND(J422*$C422,0)</f>
        <v>0</v>
      </c>
      <c r="M422" s="131"/>
      <c r="N422" s="193">
        <f>$N$174</f>
        <v>14.3</v>
      </c>
      <c r="O422" s="233"/>
      <c r="P422" s="131">
        <f>ROUND(N422*$C422,0)</f>
        <v>0</v>
      </c>
      <c r="Q422" s="131"/>
      <c r="R422" s="193" t="str">
        <f>$R$174</f>
        <v xml:space="preserve"> </v>
      </c>
      <c r="S422" s="233"/>
      <c r="T422" s="131">
        <f>ROUND(R422*$C422,0)</f>
        <v>0</v>
      </c>
      <c r="U422" s="131"/>
      <c r="V422" s="193" t="str">
        <f>$V$174</f>
        <v xml:space="preserve"> </v>
      </c>
      <c r="W422" s="233"/>
      <c r="X422" s="131">
        <f>ROUND(V422*$C422,0)</f>
        <v>0</v>
      </c>
      <c r="Y422" s="53"/>
      <c r="Z422" s="110"/>
      <c r="AA422" s="110"/>
      <c r="AB422" s="110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U422" s="135"/>
    </row>
    <row r="423" spans="1:47" hidden="1">
      <c r="A423" s="169" t="s">
        <v>145</v>
      </c>
      <c r="B423" s="169"/>
      <c r="C423" s="227">
        <v>0</v>
      </c>
      <c r="D423" s="193">
        <v>0.92</v>
      </c>
      <c r="E423" s="232"/>
      <c r="F423" s="131">
        <f>ROUND(D423*$C423,0)</f>
        <v>0</v>
      </c>
      <c r="G423" s="193">
        <v>0.92</v>
      </c>
      <c r="H423" s="233"/>
      <c r="I423" s="131">
        <f t="shared" si="126"/>
        <v>0</v>
      </c>
      <c r="J423" s="193">
        <f>$J$175</f>
        <v>1</v>
      </c>
      <c r="K423" s="233"/>
      <c r="L423" s="131">
        <f>ROUND(J423*$C423,0)</f>
        <v>0</v>
      </c>
      <c r="M423" s="131"/>
      <c r="N423" s="193">
        <f>$N$175</f>
        <v>1</v>
      </c>
      <c r="O423" s="233"/>
      <c r="P423" s="131">
        <f>ROUND(N423*$C423,0)</f>
        <v>0</v>
      </c>
      <c r="Q423" s="131"/>
      <c r="R423" s="193" t="str">
        <f>$R$175</f>
        <v xml:space="preserve"> </v>
      </c>
      <c r="S423" s="233"/>
      <c r="T423" s="131">
        <f>ROUND(R423*$C423,0)</f>
        <v>0</v>
      </c>
      <c r="U423" s="131"/>
      <c r="V423" s="193" t="str">
        <f>$V$175</f>
        <v xml:space="preserve"> </v>
      </c>
      <c r="W423" s="233"/>
      <c r="X423" s="131">
        <f>ROUND(V423*$C423,0)</f>
        <v>0</v>
      </c>
      <c r="Y423" s="53"/>
      <c r="Z423" s="110"/>
      <c r="AA423" s="110"/>
      <c r="AB423" s="110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U423" s="135"/>
    </row>
    <row r="424" spans="1:47" hidden="1">
      <c r="A424" s="169" t="s">
        <v>147</v>
      </c>
      <c r="B424" s="169"/>
      <c r="C424" s="227">
        <f>SUM(C421:C422)</f>
        <v>522.6</v>
      </c>
      <c r="D424" s="193"/>
      <c r="E424" s="229"/>
      <c r="F424" s="131"/>
      <c r="G424" s="193"/>
      <c r="H424" s="231"/>
      <c r="I424" s="131"/>
      <c r="J424" s="193"/>
      <c r="K424" s="231"/>
      <c r="L424" s="131"/>
      <c r="M424" s="131"/>
      <c r="N424" s="193"/>
      <c r="O424" s="231"/>
      <c r="P424" s="131"/>
      <c r="Q424" s="131"/>
      <c r="R424" s="193"/>
      <c r="S424" s="231"/>
      <c r="T424" s="131"/>
      <c r="U424" s="131"/>
      <c r="V424" s="193"/>
      <c r="W424" s="231"/>
      <c r="X424" s="131"/>
      <c r="Y424" s="53"/>
      <c r="Z424" s="110"/>
      <c r="AA424" s="110"/>
      <c r="AB424" s="110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U424" s="135"/>
    </row>
    <row r="425" spans="1:47" hidden="1">
      <c r="A425" s="169" t="s">
        <v>109</v>
      </c>
      <c r="B425" s="169"/>
      <c r="C425" s="227">
        <v>48</v>
      </c>
      <c r="D425" s="193"/>
      <c r="E425" s="229"/>
      <c r="F425" s="131"/>
      <c r="G425" s="193"/>
      <c r="H425" s="231"/>
      <c r="I425" s="131"/>
      <c r="J425" s="193"/>
      <c r="K425" s="231"/>
      <c r="L425" s="131"/>
      <c r="M425" s="131"/>
      <c r="N425" s="193"/>
      <c r="O425" s="231"/>
      <c r="P425" s="131"/>
      <c r="Q425" s="131"/>
      <c r="R425" s="193"/>
      <c r="S425" s="231"/>
      <c r="T425" s="131"/>
      <c r="U425" s="131"/>
      <c r="V425" s="193"/>
      <c r="W425" s="231"/>
      <c r="X425" s="131"/>
      <c r="Y425" s="53"/>
      <c r="Z425" s="110"/>
      <c r="AA425" s="110"/>
      <c r="AB425" s="110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U425" s="135"/>
    </row>
    <row r="426" spans="1:47" hidden="1">
      <c r="A426" s="169" t="s">
        <v>148</v>
      </c>
      <c r="B426" s="169"/>
      <c r="C426" s="227">
        <v>0</v>
      </c>
      <c r="D426" s="250">
        <v>3.4</v>
      </c>
      <c r="E426" s="231"/>
      <c r="F426" s="131">
        <f>ROUND(D426*$C426,0)</f>
        <v>0</v>
      </c>
      <c r="G426" s="250">
        <v>3.61</v>
      </c>
      <c r="H426" s="231"/>
      <c r="I426" s="131">
        <f>ROUND(G426*C426,0)</f>
        <v>0</v>
      </c>
      <c r="J426" s="250">
        <f>$J$178</f>
        <v>3.64</v>
      </c>
      <c r="K426" s="231"/>
      <c r="L426" s="131">
        <f>ROUND(J426*$C426,0)</f>
        <v>0</v>
      </c>
      <c r="M426" s="131"/>
      <c r="N426" s="250">
        <f>$N$178</f>
        <v>0.48</v>
      </c>
      <c r="O426" s="231"/>
      <c r="P426" s="131">
        <f>ROUND(N426*$C426,0)</f>
        <v>0</v>
      </c>
      <c r="Q426" s="131"/>
      <c r="R426" s="250">
        <f>$R$178</f>
        <v>0.63</v>
      </c>
      <c r="S426" s="231"/>
      <c r="T426" s="131">
        <f>ROUND(R426*$C426,0)</f>
        <v>0</v>
      </c>
      <c r="U426" s="131"/>
      <c r="V426" s="250">
        <f>$V$178</f>
        <v>2.54</v>
      </c>
      <c r="W426" s="231"/>
      <c r="X426" s="131">
        <f>ROUND(V426*$C426,0)</f>
        <v>0</v>
      </c>
      <c r="Y426" s="53"/>
      <c r="Z426" s="110"/>
      <c r="AA426" s="110"/>
      <c r="AB426" s="110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U426" s="135"/>
    </row>
    <row r="427" spans="1:47" hidden="1">
      <c r="A427" s="169" t="s">
        <v>149</v>
      </c>
      <c r="B427" s="169"/>
      <c r="C427" s="227">
        <v>33313</v>
      </c>
      <c r="D427" s="195">
        <v>9.766</v>
      </c>
      <c r="E427" s="231" t="s">
        <v>107</v>
      </c>
      <c r="F427" s="131">
        <f>ROUND(D427*$C427/100,0)</f>
        <v>3253</v>
      </c>
      <c r="G427" s="195">
        <v>10.359</v>
      </c>
      <c r="H427" s="231" t="s">
        <v>107</v>
      </c>
      <c r="I427" s="131">
        <f>ROUND(G427*C427/100,0)</f>
        <v>3451</v>
      </c>
      <c r="J427" s="195">
        <f>$J$179</f>
        <v>10.449</v>
      </c>
      <c r="K427" s="231" t="s">
        <v>107</v>
      </c>
      <c r="L427" s="131">
        <f>ROUND(J427*$C427/100,0)</f>
        <v>3481</v>
      </c>
      <c r="M427" s="131"/>
      <c r="N427" s="195">
        <f>$N$179</f>
        <v>1.3644187751662151</v>
      </c>
      <c r="O427" s="231" t="s">
        <v>107</v>
      </c>
      <c r="P427" s="131">
        <f>ROUND(N427*$C427/100,0)</f>
        <v>455</v>
      </c>
      <c r="Q427" s="131"/>
      <c r="R427" s="195">
        <f>$R$179</f>
        <v>1.7973223544650079</v>
      </c>
      <c r="S427" s="231" t="s">
        <v>107</v>
      </c>
      <c r="T427" s="131">
        <f>ROUND(R427*$C427/100,0)</f>
        <v>599</v>
      </c>
      <c r="U427" s="131"/>
      <c r="V427" s="195">
        <f>$V$179</f>
        <v>7.2874254450520697</v>
      </c>
      <c r="W427" s="231" t="s">
        <v>107</v>
      </c>
      <c r="X427" s="131">
        <f>ROUND(V427*$C427/100,0)</f>
        <v>2428</v>
      </c>
      <c r="Y427" s="53"/>
      <c r="Z427" s="110"/>
      <c r="AA427" s="110"/>
      <c r="AB427" s="110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U427" s="135"/>
    </row>
    <row r="428" spans="1:47" hidden="1">
      <c r="A428" s="169" t="s">
        <v>150</v>
      </c>
      <c r="B428" s="169"/>
      <c r="C428" s="227">
        <v>0</v>
      </c>
      <c r="D428" s="195">
        <v>6.7460000000000004</v>
      </c>
      <c r="E428" s="231" t="s">
        <v>107</v>
      </c>
      <c r="F428" s="131">
        <f>ROUND(D428*$C428/100,0)</f>
        <v>0</v>
      </c>
      <c r="G428" s="195">
        <v>7.1559999999999997</v>
      </c>
      <c r="H428" s="231" t="s">
        <v>107</v>
      </c>
      <c r="I428" s="131">
        <f t="shared" ref="I428:I430" si="127">ROUND(G428*C428/100,0)</f>
        <v>0</v>
      </c>
      <c r="J428" s="195">
        <f>$J$180</f>
        <v>7.218</v>
      </c>
      <c r="K428" s="231" t="s">
        <v>107</v>
      </c>
      <c r="L428" s="131">
        <f>ROUND(J428*$C428/100,0)</f>
        <v>0</v>
      </c>
      <c r="M428" s="131"/>
      <c r="N428" s="195">
        <f>$N$180</f>
        <v>0.94251839115112013</v>
      </c>
      <c r="O428" s="231" t="s">
        <v>107</v>
      </c>
      <c r="P428" s="131">
        <f>ROUND(N428*$C428/100,0)</f>
        <v>0</v>
      </c>
      <c r="Q428" s="131"/>
      <c r="R428" s="195">
        <f>$R$180</f>
        <v>1.2418703884281421</v>
      </c>
      <c r="S428" s="231" t="s">
        <v>107</v>
      </c>
      <c r="T428" s="131">
        <f>ROUND(R428*$C428/100,0)</f>
        <v>0</v>
      </c>
      <c r="U428" s="131"/>
      <c r="V428" s="195">
        <f>$V$180</f>
        <v>5.0333446832527242</v>
      </c>
      <c r="W428" s="231" t="s">
        <v>107</v>
      </c>
      <c r="X428" s="131">
        <f>ROUND(V428*$C428/100,0)</f>
        <v>0</v>
      </c>
      <c r="Y428" s="53"/>
      <c r="Z428" s="110"/>
      <c r="AA428" s="110"/>
      <c r="AB428" s="110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U428" s="135"/>
    </row>
    <row r="429" spans="1:47" hidden="1">
      <c r="A429" s="169" t="s">
        <v>151</v>
      </c>
      <c r="B429" s="169"/>
      <c r="C429" s="227">
        <v>0</v>
      </c>
      <c r="D429" s="195">
        <v>5.8120000000000003</v>
      </c>
      <c r="E429" s="231" t="s">
        <v>107</v>
      </c>
      <c r="F429" s="131">
        <f>ROUND(D429*$C429/100,0)</f>
        <v>0</v>
      </c>
      <c r="G429" s="195">
        <v>6.1660000000000004</v>
      </c>
      <c r="H429" s="231" t="s">
        <v>107</v>
      </c>
      <c r="I429" s="131">
        <f t="shared" si="127"/>
        <v>0</v>
      </c>
      <c r="J429" s="195">
        <f>$J$181</f>
        <v>6.218</v>
      </c>
      <c r="K429" s="231" t="s">
        <v>107</v>
      </c>
      <c r="L429" s="131">
        <f>ROUND(J429*$C429/100,0)</f>
        <v>0</v>
      </c>
      <c r="M429" s="131"/>
      <c r="N429" s="195">
        <f>$N$181</f>
        <v>0.81193939748297494</v>
      </c>
      <c r="O429" s="231" t="s">
        <v>107</v>
      </c>
      <c r="P429" s="131">
        <f>ROUND(N429*$C429/100,0)</f>
        <v>0</v>
      </c>
      <c r="Q429" s="131"/>
      <c r="R429" s="195">
        <f>$R$181</f>
        <v>1.0689569190308457</v>
      </c>
      <c r="S429" s="231" t="s">
        <v>107</v>
      </c>
      <c r="T429" s="131">
        <f>ROUND(R429*$C429/100,0)</f>
        <v>0</v>
      </c>
      <c r="U429" s="131"/>
      <c r="V429" s="195">
        <f>$V$181</f>
        <v>4.3370117827017491</v>
      </c>
      <c r="W429" s="231" t="s">
        <v>107</v>
      </c>
      <c r="X429" s="131">
        <f>ROUND(V429*$C429/100,0)</f>
        <v>0</v>
      </c>
      <c r="Y429" s="53"/>
      <c r="Z429" s="110"/>
      <c r="AA429" s="110"/>
      <c r="AB429" s="110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U429" s="135"/>
    </row>
    <row r="430" spans="1:47" hidden="1">
      <c r="A430" s="169" t="s">
        <v>152</v>
      </c>
      <c r="B430" s="169"/>
      <c r="C430" s="227">
        <v>0</v>
      </c>
      <c r="D430" s="237">
        <v>56</v>
      </c>
      <c r="E430" s="229" t="s">
        <v>107</v>
      </c>
      <c r="F430" s="131">
        <f>ROUND(D430*$C430/100,0)</f>
        <v>0</v>
      </c>
      <c r="G430" s="237">
        <v>56</v>
      </c>
      <c r="H430" s="231" t="s">
        <v>107</v>
      </c>
      <c r="I430" s="131">
        <f t="shared" si="127"/>
        <v>0</v>
      </c>
      <c r="J430" s="237">
        <f>$J$182</f>
        <v>56</v>
      </c>
      <c r="K430" s="231" t="s">
        <v>107</v>
      </c>
      <c r="L430" s="131">
        <f>ROUND(J430*$C430/100,0)</f>
        <v>0</v>
      </c>
      <c r="M430" s="131"/>
      <c r="N430" s="237" t="str">
        <f>$N$182</f>
        <v xml:space="preserve"> </v>
      </c>
      <c r="O430" s="231" t="s">
        <v>107</v>
      </c>
      <c r="P430" s="131">
        <f>ROUND(N430*$C430/100,0)</f>
        <v>0</v>
      </c>
      <c r="Q430" s="131"/>
      <c r="R430" s="237">
        <f>$R$182</f>
        <v>11</v>
      </c>
      <c r="S430" s="231" t="s">
        <v>107</v>
      </c>
      <c r="T430" s="131">
        <f>ROUND(R430*$C430/100,0)</f>
        <v>0</v>
      </c>
      <c r="U430" s="131"/>
      <c r="V430" s="237">
        <f>$V$182</f>
        <v>45</v>
      </c>
      <c r="W430" s="231" t="s">
        <v>107</v>
      </c>
      <c r="X430" s="131">
        <f>ROUND(V430*$C430/100,0)</f>
        <v>0</v>
      </c>
      <c r="Y430" s="53"/>
      <c r="Z430" s="110"/>
      <c r="AA430" s="110"/>
      <c r="AB430" s="110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U430" s="135"/>
    </row>
    <row r="431" spans="1:47" s="141" customFormat="1" hidden="1">
      <c r="A431" s="140" t="s">
        <v>153</v>
      </c>
      <c r="C431" s="142">
        <f>C427</f>
        <v>33313</v>
      </c>
      <c r="D431" s="138"/>
      <c r="E431" s="143"/>
      <c r="F431" s="144"/>
      <c r="G431" s="138"/>
      <c r="H431" s="143"/>
      <c r="I431" s="144"/>
      <c r="J431" s="145">
        <f>J183</f>
        <v>0</v>
      </c>
      <c r="K431" s="240" t="s">
        <v>107</v>
      </c>
      <c r="L431" s="144">
        <f t="shared" ref="L431:L433" si="128">ROUND(J431*$C431/100,0)</f>
        <v>0</v>
      </c>
      <c r="M431" s="144"/>
      <c r="N431" s="145" t="str">
        <f>N183</f>
        <v xml:space="preserve"> </v>
      </c>
      <c r="O431" s="240" t="s">
        <v>107</v>
      </c>
      <c r="P431" s="144">
        <f t="shared" ref="P431:P433" si="129">ROUND(N431*$C431/100,0)</f>
        <v>0</v>
      </c>
      <c r="Q431" s="144"/>
      <c r="R431" s="145" t="str">
        <f>R183</f>
        <v xml:space="preserve"> </v>
      </c>
      <c r="S431" s="240" t="s">
        <v>107</v>
      </c>
      <c r="T431" s="144">
        <f t="shared" ref="T431:T433" si="130">ROUND(R431*$C431/100,0)</f>
        <v>0</v>
      </c>
      <c r="U431" s="144"/>
      <c r="V431" s="145">
        <f>V183</f>
        <v>0</v>
      </c>
      <c r="W431" s="240" t="s">
        <v>107</v>
      </c>
      <c r="X431" s="144">
        <f t="shared" ref="X431:X433" si="131">ROUND(V431*$C431/100,0)</f>
        <v>0</v>
      </c>
      <c r="Z431" s="132"/>
      <c r="AC431" s="148"/>
      <c r="AD431" s="148"/>
      <c r="AI431" s="143"/>
      <c r="AJ431" s="143"/>
      <c r="AK431" s="143"/>
      <c r="AL431" s="143"/>
      <c r="AM431" s="143"/>
      <c r="AN431" s="143"/>
      <c r="AO431" s="143"/>
      <c r="AP431" s="143"/>
      <c r="AQ431" s="143"/>
      <c r="AR431" s="143"/>
      <c r="AS431" s="143"/>
      <c r="AU431" s="147"/>
    </row>
    <row r="432" spans="1:47" s="141" customFormat="1" hidden="1">
      <c r="A432" s="140" t="s">
        <v>154</v>
      </c>
      <c r="C432" s="142">
        <f>C428</f>
        <v>0</v>
      </c>
      <c r="D432" s="138"/>
      <c r="E432" s="143"/>
      <c r="F432" s="144"/>
      <c r="G432" s="138"/>
      <c r="H432" s="143"/>
      <c r="I432" s="144"/>
      <c r="J432" s="145">
        <f>J184</f>
        <v>0</v>
      </c>
      <c r="K432" s="240" t="s">
        <v>107</v>
      </c>
      <c r="L432" s="144">
        <f t="shared" si="128"/>
        <v>0</v>
      </c>
      <c r="M432" s="144"/>
      <c r="N432" s="145" t="str">
        <f>N184</f>
        <v xml:space="preserve"> </v>
      </c>
      <c r="O432" s="240" t="s">
        <v>107</v>
      </c>
      <c r="P432" s="144">
        <f t="shared" si="129"/>
        <v>0</v>
      </c>
      <c r="Q432" s="144"/>
      <c r="R432" s="145" t="str">
        <f>R184</f>
        <v xml:space="preserve"> </v>
      </c>
      <c r="S432" s="240" t="s">
        <v>107</v>
      </c>
      <c r="T432" s="144">
        <f t="shared" si="130"/>
        <v>0</v>
      </c>
      <c r="U432" s="144"/>
      <c r="V432" s="145">
        <f>V184</f>
        <v>0</v>
      </c>
      <c r="W432" s="240" t="s">
        <v>107</v>
      </c>
      <c r="X432" s="144">
        <f t="shared" si="131"/>
        <v>0</v>
      </c>
      <c r="Z432" s="132"/>
      <c r="AC432" s="148"/>
      <c r="AD432" s="148"/>
      <c r="AI432" s="143"/>
      <c r="AJ432" s="143"/>
      <c r="AK432" s="143"/>
      <c r="AL432" s="143"/>
      <c r="AM432" s="143"/>
      <c r="AN432" s="143"/>
      <c r="AO432" s="143"/>
      <c r="AP432" s="143"/>
      <c r="AQ432" s="143"/>
      <c r="AR432" s="143"/>
      <c r="AS432" s="143"/>
      <c r="AU432" s="147"/>
    </row>
    <row r="433" spans="1:47" s="141" customFormat="1" hidden="1">
      <c r="A433" s="140" t="s">
        <v>155</v>
      </c>
      <c r="C433" s="142">
        <f>C429</f>
        <v>0</v>
      </c>
      <c r="D433" s="138"/>
      <c r="E433" s="143"/>
      <c r="F433" s="144"/>
      <c r="G433" s="138"/>
      <c r="H433" s="143"/>
      <c r="I433" s="144"/>
      <c r="J433" s="145">
        <f>J185</f>
        <v>0</v>
      </c>
      <c r="K433" s="240" t="s">
        <v>107</v>
      </c>
      <c r="L433" s="144">
        <f t="shared" si="128"/>
        <v>0</v>
      </c>
      <c r="M433" s="144"/>
      <c r="N433" s="145" t="str">
        <f>N185</f>
        <v xml:space="preserve"> </v>
      </c>
      <c r="O433" s="240" t="s">
        <v>107</v>
      </c>
      <c r="P433" s="144">
        <f t="shared" si="129"/>
        <v>0</v>
      </c>
      <c r="Q433" s="144"/>
      <c r="R433" s="145" t="str">
        <f>R185</f>
        <v xml:space="preserve"> </v>
      </c>
      <c r="S433" s="240" t="s">
        <v>107</v>
      </c>
      <c r="T433" s="144">
        <f t="shared" si="130"/>
        <v>0</v>
      </c>
      <c r="U433" s="144"/>
      <c r="V433" s="145">
        <f>V185</f>
        <v>0</v>
      </c>
      <c r="W433" s="240" t="s">
        <v>107</v>
      </c>
      <c r="X433" s="144">
        <f t="shared" si="131"/>
        <v>0</v>
      </c>
      <c r="Z433" s="132"/>
      <c r="AC433" s="148"/>
      <c r="AD433" s="148"/>
      <c r="AI433" s="143"/>
      <c r="AJ433" s="143"/>
      <c r="AK433" s="143"/>
      <c r="AL433" s="143"/>
      <c r="AM433" s="143"/>
      <c r="AN433" s="143"/>
      <c r="AO433" s="143"/>
      <c r="AP433" s="143"/>
      <c r="AQ433" s="143"/>
      <c r="AR433" s="143"/>
      <c r="AS433" s="143"/>
      <c r="AU433" s="147"/>
    </row>
    <row r="434" spans="1:47" hidden="1">
      <c r="A434" s="244" t="s">
        <v>159</v>
      </c>
      <c r="B434" s="169"/>
      <c r="C434" s="227"/>
      <c r="D434" s="245">
        <v>-0.01</v>
      </c>
      <c r="E434" s="229"/>
      <c r="F434" s="131"/>
      <c r="G434" s="245">
        <v>-0.01</v>
      </c>
      <c r="H434" s="231"/>
      <c r="I434" s="131"/>
      <c r="J434" s="245">
        <v>-0.01</v>
      </c>
      <c r="K434" s="231"/>
      <c r="L434" s="131"/>
      <c r="M434" s="131"/>
      <c r="N434" s="245">
        <v>-0.01</v>
      </c>
      <c r="O434" s="231"/>
      <c r="P434" s="131"/>
      <c r="Q434" s="131"/>
      <c r="R434" s="245">
        <v>-0.01</v>
      </c>
      <c r="S434" s="231"/>
      <c r="T434" s="131"/>
      <c r="U434" s="131"/>
      <c r="V434" s="245">
        <v>-0.01</v>
      </c>
      <c r="W434" s="231"/>
      <c r="X434" s="131"/>
      <c r="Y434" s="53"/>
      <c r="Z434" s="110"/>
      <c r="AA434" s="110"/>
      <c r="AB434" s="110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U434" s="135"/>
    </row>
    <row r="435" spans="1:47" hidden="1">
      <c r="A435" s="169" t="s">
        <v>143</v>
      </c>
      <c r="B435" s="169"/>
      <c r="C435" s="227">
        <v>0</v>
      </c>
      <c r="D435" s="247">
        <v>8.7100000000000009</v>
      </c>
      <c r="E435" s="229"/>
      <c r="F435" s="131">
        <f>-ROUND(D435*$C435/100,0)</f>
        <v>0</v>
      </c>
      <c r="G435" s="247">
        <v>8.7100000000000009</v>
      </c>
      <c r="H435" s="229"/>
      <c r="I435" s="131">
        <f>-ROUND(G435*$C435/100,0)</f>
        <v>0</v>
      </c>
      <c r="J435" s="247">
        <f>J421</f>
        <v>9.6</v>
      </c>
      <c r="K435" s="229"/>
      <c r="L435" s="131">
        <f>-ROUND(J435*$C435/100,0)</f>
        <v>0</v>
      </c>
      <c r="M435" s="131"/>
      <c r="N435" s="247">
        <f>N421</f>
        <v>9.6</v>
      </c>
      <c r="O435" s="229"/>
      <c r="P435" s="131">
        <f>-ROUND(N435*$C435/100,0)</f>
        <v>0</v>
      </c>
      <c r="Q435" s="131"/>
      <c r="R435" s="247" t="str">
        <f>R421</f>
        <v xml:space="preserve"> </v>
      </c>
      <c r="S435" s="229"/>
      <c r="T435" s="131">
        <f>-ROUND(R435*$C435/100,0)</f>
        <v>0</v>
      </c>
      <c r="U435" s="131"/>
      <c r="V435" s="247" t="str">
        <f>V421</f>
        <v xml:space="preserve"> </v>
      </c>
      <c r="W435" s="229"/>
      <c r="X435" s="131">
        <f>-ROUND(V435*$C435/100,0)</f>
        <v>0</v>
      </c>
      <c r="Y435" s="53"/>
      <c r="Z435" s="110"/>
      <c r="AA435" s="110"/>
      <c r="AB435" s="110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U435" s="135"/>
    </row>
    <row r="436" spans="1:47" hidden="1">
      <c r="A436" s="169" t="s">
        <v>144</v>
      </c>
      <c r="B436" s="169"/>
      <c r="C436" s="227">
        <v>0</v>
      </c>
      <c r="D436" s="247">
        <v>12.98</v>
      </c>
      <c r="E436" s="229"/>
      <c r="F436" s="131">
        <f>-ROUND(D436*$C436/100,0)</f>
        <v>0</v>
      </c>
      <c r="G436" s="247">
        <v>12.98</v>
      </c>
      <c r="H436" s="229"/>
      <c r="I436" s="131">
        <f t="shared" ref="I436:I438" si="132">-ROUND(G436*$C436/100,0)</f>
        <v>0</v>
      </c>
      <c r="J436" s="247">
        <f>J422</f>
        <v>14.3</v>
      </c>
      <c r="K436" s="229"/>
      <c r="L436" s="131">
        <f>-ROUND(J436*$C436/100,0)</f>
        <v>0</v>
      </c>
      <c r="M436" s="131"/>
      <c r="N436" s="247">
        <f>N422</f>
        <v>14.3</v>
      </c>
      <c r="O436" s="229"/>
      <c r="P436" s="131">
        <f>-ROUND(N436*$C436/100,0)</f>
        <v>0</v>
      </c>
      <c r="Q436" s="131"/>
      <c r="R436" s="247" t="str">
        <f>R422</f>
        <v xml:space="preserve"> </v>
      </c>
      <c r="S436" s="229"/>
      <c r="T436" s="131">
        <f>-ROUND(R436*$C436/100,0)</f>
        <v>0</v>
      </c>
      <c r="U436" s="131"/>
      <c r="V436" s="247" t="str">
        <f>V422</f>
        <v xml:space="preserve"> </v>
      </c>
      <c r="W436" s="229"/>
      <c r="X436" s="131">
        <f>-ROUND(V436*$C436/100,0)</f>
        <v>0</v>
      </c>
      <c r="Y436" s="53"/>
      <c r="Z436" s="110"/>
      <c r="AA436" s="110"/>
      <c r="AB436" s="110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U436" s="135"/>
    </row>
    <row r="437" spans="1:47" hidden="1">
      <c r="A437" s="169" t="s">
        <v>160</v>
      </c>
      <c r="B437" s="169"/>
      <c r="C437" s="227">
        <v>0</v>
      </c>
      <c r="D437" s="247">
        <v>0.92</v>
      </c>
      <c r="E437" s="229"/>
      <c r="F437" s="131">
        <f>-ROUND(D437*$C437/100,0)</f>
        <v>0</v>
      </c>
      <c r="G437" s="247">
        <v>0.92</v>
      </c>
      <c r="H437" s="229"/>
      <c r="I437" s="131">
        <f t="shared" si="132"/>
        <v>0</v>
      </c>
      <c r="J437" s="247">
        <f>J423</f>
        <v>1</v>
      </c>
      <c r="K437" s="229"/>
      <c r="L437" s="131">
        <f>-ROUND(J437*$C437/100,0)</f>
        <v>0</v>
      </c>
      <c r="M437" s="131"/>
      <c r="N437" s="247">
        <f>N423</f>
        <v>1</v>
      </c>
      <c r="O437" s="229"/>
      <c r="P437" s="131">
        <f>-ROUND(N437*$C437/100,0)</f>
        <v>0</v>
      </c>
      <c r="Q437" s="131"/>
      <c r="R437" s="247" t="str">
        <f>R423</f>
        <v xml:space="preserve"> </v>
      </c>
      <c r="S437" s="229"/>
      <c r="T437" s="131">
        <f>-ROUND(R437*$C437/100,0)</f>
        <v>0</v>
      </c>
      <c r="U437" s="131"/>
      <c r="V437" s="247" t="str">
        <f>V423</f>
        <v xml:space="preserve"> </v>
      </c>
      <c r="W437" s="229"/>
      <c r="X437" s="131">
        <f>-ROUND(V437*$C437/100,0)</f>
        <v>0</v>
      </c>
      <c r="Y437" s="53"/>
      <c r="Z437" s="110"/>
      <c r="AA437" s="110"/>
      <c r="AB437" s="110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U437" s="135"/>
    </row>
    <row r="438" spans="1:47" hidden="1">
      <c r="A438" s="169" t="s">
        <v>161</v>
      </c>
      <c r="B438" s="169"/>
      <c r="C438" s="227">
        <v>0</v>
      </c>
      <c r="D438" s="247">
        <v>3.4</v>
      </c>
      <c r="E438" s="231"/>
      <c r="F438" s="131">
        <f>-ROUND(D438*$C438/100,0)</f>
        <v>0</v>
      </c>
      <c r="G438" s="247">
        <v>3.61</v>
      </c>
      <c r="H438" s="231"/>
      <c r="I438" s="131">
        <f t="shared" si="132"/>
        <v>0</v>
      </c>
      <c r="J438" s="247">
        <f>J426</f>
        <v>3.64</v>
      </c>
      <c r="K438" s="231"/>
      <c r="L438" s="131">
        <f>-ROUND(J438*$C438/100,0)</f>
        <v>0</v>
      </c>
      <c r="M438" s="131"/>
      <c r="N438" s="247">
        <f>N426</f>
        <v>0.48</v>
      </c>
      <c r="O438" s="231"/>
      <c r="P438" s="131">
        <f>-ROUND(N438*$C438/100,0)</f>
        <v>0</v>
      </c>
      <c r="Q438" s="131"/>
      <c r="R438" s="247">
        <f>R426</f>
        <v>0.63</v>
      </c>
      <c r="S438" s="231"/>
      <c r="T438" s="131">
        <f>-ROUND(R438*$C438/100,0)</f>
        <v>0</v>
      </c>
      <c r="U438" s="131"/>
      <c r="V438" s="247">
        <f>V426</f>
        <v>2.54</v>
      </c>
      <c r="W438" s="231"/>
      <c r="X438" s="131">
        <f>-ROUND(V438*$C438/100,0)</f>
        <v>0</v>
      </c>
      <c r="Y438" s="53"/>
      <c r="Z438" s="110"/>
      <c r="AA438" s="110"/>
      <c r="AB438" s="110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U438" s="135"/>
    </row>
    <row r="439" spans="1:47" hidden="1">
      <c r="A439" s="169" t="s">
        <v>162</v>
      </c>
      <c r="B439" s="169"/>
      <c r="C439" s="227">
        <v>0</v>
      </c>
      <c r="D439" s="248">
        <v>9.766</v>
      </c>
      <c r="E439" s="231" t="s">
        <v>107</v>
      </c>
      <c r="F439" s="131">
        <f>ROUND(D439*$C439/100*D434,0)</f>
        <v>0</v>
      </c>
      <c r="G439" s="248">
        <v>10.359</v>
      </c>
      <c r="H439" s="231" t="s">
        <v>107</v>
      </c>
      <c r="I439" s="131">
        <f>ROUND(G439*$C439/100*G434,0)</f>
        <v>0</v>
      </c>
      <c r="J439" s="248">
        <f>J427</f>
        <v>10.449</v>
      </c>
      <c r="K439" s="231" t="s">
        <v>107</v>
      </c>
      <c r="L439" s="131">
        <f>ROUND(J439*$C439/100*J434,0)</f>
        <v>0</v>
      </c>
      <c r="M439" s="131"/>
      <c r="N439" s="248">
        <f>N427</f>
        <v>1.3644187751662151</v>
      </c>
      <c r="O439" s="231" t="s">
        <v>107</v>
      </c>
      <c r="P439" s="131">
        <f>ROUND(N439*$C439/100*N434,0)</f>
        <v>0</v>
      </c>
      <c r="Q439" s="131"/>
      <c r="R439" s="248">
        <f>R427</f>
        <v>1.7973223544650079</v>
      </c>
      <c r="S439" s="231" t="s">
        <v>107</v>
      </c>
      <c r="T439" s="131">
        <f>ROUND(R439*$C439/100*R434,0)</f>
        <v>0</v>
      </c>
      <c r="U439" s="131"/>
      <c r="V439" s="248">
        <f>V427</f>
        <v>7.2874254450520697</v>
      </c>
      <c r="W439" s="231" t="s">
        <v>107</v>
      </c>
      <c r="X439" s="131">
        <f>ROUND(V439*$C439/100*V434,0)</f>
        <v>0</v>
      </c>
      <c r="Y439" s="53"/>
      <c r="Z439" s="110"/>
      <c r="AA439" s="110"/>
      <c r="AB439" s="110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U439" s="135"/>
    </row>
    <row r="440" spans="1:47" hidden="1">
      <c r="A440" s="169" t="s">
        <v>150</v>
      </c>
      <c r="B440" s="169"/>
      <c r="C440" s="227">
        <v>0</v>
      </c>
      <c r="D440" s="248">
        <v>6.7460000000000004</v>
      </c>
      <c r="E440" s="231" t="s">
        <v>107</v>
      </c>
      <c r="F440" s="131">
        <f>ROUND(D440*$C440/100*D434,0)</f>
        <v>0</v>
      </c>
      <c r="G440" s="248">
        <v>7.1559999999999997</v>
      </c>
      <c r="H440" s="231" t="s">
        <v>107</v>
      </c>
      <c r="I440" s="131">
        <f>ROUND(G440*$C440/100*G434,0)</f>
        <v>0</v>
      </c>
      <c r="J440" s="248">
        <f>J428</f>
        <v>7.218</v>
      </c>
      <c r="K440" s="231" t="s">
        <v>107</v>
      </c>
      <c r="L440" s="131">
        <f>ROUND(J440*$C440/100*J434,0)</f>
        <v>0</v>
      </c>
      <c r="M440" s="131"/>
      <c r="N440" s="248">
        <f>N428</f>
        <v>0.94251839115112013</v>
      </c>
      <c r="O440" s="231" t="s">
        <v>107</v>
      </c>
      <c r="P440" s="131">
        <f>ROUND(N440*$C440/100*N434,0)</f>
        <v>0</v>
      </c>
      <c r="Q440" s="131"/>
      <c r="R440" s="248">
        <f>R428</f>
        <v>1.2418703884281421</v>
      </c>
      <c r="S440" s="231" t="s">
        <v>107</v>
      </c>
      <c r="T440" s="131">
        <f>ROUND(R440*$C440/100*R434,0)</f>
        <v>0</v>
      </c>
      <c r="U440" s="131"/>
      <c r="V440" s="248">
        <f>V428</f>
        <v>5.0333446832527242</v>
      </c>
      <c r="W440" s="231" t="s">
        <v>107</v>
      </c>
      <c r="X440" s="131">
        <f>ROUND(V440*$C440/100*V434,0)</f>
        <v>0</v>
      </c>
      <c r="Y440" s="53"/>
      <c r="Z440" s="110"/>
      <c r="AA440" s="110"/>
      <c r="AB440" s="110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U440" s="135"/>
    </row>
    <row r="441" spans="1:47" hidden="1">
      <c r="A441" s="169" t="s">
        <v>151</v>
      </c>
      <c r="B441" s="169"/>
      <c r="C441" s="227">
        <v>0</v>
      </c>
      <c r="D441" s="248">
        <v>5.8120000000000003</v>
      </c>
      <c r="E441" s="231" t="s">
        <v>107</v>
      </c>
      <c r="F441" s="131">
        <f>ROUND(D441*$C441/100*D434,0)</f>
        <v>0</v>
      </c>
      <c r="G441" s="248">
        <v>6.1660000000000004</v>
      </c>
      <c r="H441" s="231" t="s">
        <v>107</v>
      </c>
      <c r="I441" s="131">
        <f>ROUND(G441*$C441/100*G434,0)</f>
        <v>0</v>
      </c>
      <c r="J441" s="248">
        <f>J429</f>
        <v>6.218</v>
      </c>
      <c r="K441" s="231" t="s">
        <v>107</v>
      </c>
      <c r="L441" s="131">
        <f>ROUND(J441*$C441/100*J434,0)</f>
        <v>0</v>
      </c>
      <c r="M441" s="131"/>
      <c r="N441" s="248">
        <f>N429</f>
        <v>0.81193939748297494</v>
      </c>
      <c r="O441" s="231" t="s">
        <v>107</v>
      </c>
      <c r="P441" s="131">
        <f>ROUND(N441*$C441/100*N434,0)</f>
        <v>0</v>
      </c>
      <c r="Q441" s="131"/>
      <c r="R441" s="248">
        <f>R429</f>
        <v>1.0689569190308457</v>
      </c>
      <c r="S441" s="231" t="s">
        <v>107</v>
      </c>
      <c r="T441" s="131">
        <f>ROUND(R441*$C441/100*R434,0)</f>
        <v>0</v>
      </c>
      <c r="U441" s="131"/>
      <c r="V441" s="248">
        <f>V429</f>
        <v>4.3370117827017491</v>
      </c>
      <c r="W441" s="231" t="s">
        <v>107</v>
      </c>
      <c r="X441" s="131">
        <f>ROUND(V441*$C441/100*V434,0)</f>
        <v>0</v>
      </c>
      <c r="Y441" s="53"/>
      <c r="Z441" s="110"/>
      <c r="AA441" s="110"/>
      <c r="AB441" s="110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U441" s="135"/>
    </row>
    <row r="442" spans="1:47" hidden="1">
      <c r="A442" s="169" t="s">
        <v>152</v>
      </c>
      <c r="B442" s="169"/>
      <c r="C442" s="227">
        <v>0</v>
      </c>
      <c r="D442" s="249">
        <v>56</v>
      </c>
      <c r="E442" s="231" t="s">
        <v>107</v>
      </c>
      <c r="F442" s="131">
        <f>ROUND(D442*$C442/100*D434,0)</f>
        <v>0</v>
      </c>
      <c r="G442" s="249">
        <v>56</v>
      </c>
      <c r="H442" s="231" t="s">
        <v>107</v>
      </c>
      <c r="I442" s="131">
        <f>ROUND(G442*$C442/100*G434,0)</f>
        <v>0</v>
      </c>
      <c r="J442" s="249">
        <f>J430</f>
        <v>56</v>
      </c>
      <c r="K442" s="231" t="s">
        <v>107</v>
      </c>
      <c r="L442" s="131">
        <f>ROUND(J442*$C442/100*J434,0)</f>
        <v>0</v>
      </c>
      <c r="M442" s="131"/>
      <c r="N442" s="249" t="str">
        <f>N430</f>
        <v xml:space="preserve"> </v>
      </c>
      <c r="O442" s="231" t="s">
        <v>107</v>
      </c>
      <c r="P442" s="131">
        <f>ROUND(N442*$C442/100*N434,0)</f>
        <v>0</v>
      </c>
      <c r="Q442" s="131"/>
      <c r="R442" s="249">
        <f>R430</f>
        <v>11</v>
      </c>
      <c r="S442" s="231" t="s">
        <v>107</v>
      </c>
      <c r="T442" s="131">
        <f>ROUND(R442*$C442/100*R434,0)</f>
        <v>0</v>
      </c>
      <c r="U442" s="131"/>
      <c r="V442" s="249">
        <f>V430</f>
        <v>45</v>
      </c>
      <c r="W442" s="231" t="s">
        <v>107</v>
      </c>
      <c r="X442" s="131">
        <f>ROUND(V442*$C442/100*V434,0)</f>
        <v>0</v>
      </c>
      <c r="Y442" s="53"/>
      <c r="Z442" s="110"/>
      <c r="AA442" s="110"/>
      <c r="AB442" s="110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U442" s="135"/>
    </row>
    <row r="443" spans="1:47" hidden="1">
      <c r="A443" s="169" t="s">
        <v>163</v>
      </c>
      <c r="B443" s="169"/>
      <c r="C443" s="227">
        <v>0</v>
      </c>
      <c r="D443" s="250">
        <v>60</v>
      </c>
      <c r="E443" s="229"/>
      <c r="F443" s="131">
        <f>ROUND(D443*$C443,0)</f>
        <v>0</v>
      </c>
      <c r="G443" s="250">
        <v>60</v>
      </c>
      <c r="H443" s="231"/>
      <c r="I443" s="131">
        <f>ROUND(G443*C443,0)</f>
        <v>0</v>
      </c>
      <c r="J443" s="250">
        <f>$J$198</f>
        <v>60</v>
      </c>
      <c r="K443" s="231"/>
      <c r="L443" s="131">
        <f>ROUND(J443*$C443,0)</f>
        <v>0</v>
      </c>
      <c r="M443" s="131"/>
      <c r="N443" s="250" t="str">
        <f>$N$198</f>
        <v xml:space="preserve"> </v>
      </c>
      <c r="O443" s="231"/>
      <c r="P443" s="131">
        <f>ROUND(N443*$C443,0)</f>
        <v>0</v>
      </c>
      <c r="Q443" s="131"/>
      <c r="R443" s="250">
        <f>$R$198</f>
        <v>11.86</v>
      </c>
      <c r="S443" s="231"/>
      <c r="T443" s="131">
        <f>ROUND(R443*$C443,0)</f>
        <v>0</v>
      </c>
      <c r="U443" s="131"/>
      <c r="V443" s="250">
        <f>$V$198</f>
        <v>48.14</v>
      </c>
      <c r="W443" s="231"/>
      <c r="X443" s="131">
        <f>ROUND(V443*$C443,0)</f>
        <v>0</v>
      </c>
      <c r="Y443" s="53"/>
      <c r="Z443" s="110"/>
      <c r="AA443" s="110"/>
      <c r="AB443" s="110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U443" s="135"/>
    </row>
    <row r="444" spans="1:47" hidden="1">
      <c r="A444" s="169" t="s">
        <v>164</v>
      </c>
      <c r="B444" s="169"/>
      <c r="C444" s="227">
        <v>0</v>
      </c>
      <c r="D444" s="251">
        <v>-30</v>
      </c>
      <c r="E444" s="229" t="s">
        <v>107</v>
      </c>
      <c r="F444" s="131">
        <f>ROUND(D444*$C444/100,0)</f>
        <v>0</v>
      </c>
      <c r="G444" s="251">
        <v>-30</v>
      </c>
      <c r="H444" s="231" t="s">
        <v>107</v>
      </c>
      <c r="I444" s="131">
        <f>ROUND(G444*C444/100,0)</f>
        <v>0</v>
      </c>
      <c r="J444" s="251">
        <f>$J$199</f>
        <v>-30</v>
      </c>
      <c r="K444" s="231" t="s">
        <v>107</v>
      </c>
      <c r="L444" s="131">
        <f>ROUND(J444*$C444/100,0)</f>
        <v>0</v>
      </c>
      <c r="M444" s="131"/>
      <c r="N444" s="251">
        <f>$N$199</f>
        <v>-30</v>
      </c>
      <c r="O444" s="231" t="s">
        <v>107</v>
      </c>
      <c r="P444" s="131">
        <f>ROUND(N444*$C444/100,0)</f>
        <v>0</v>
      </c>
      <c r="Q444" s="131"/>
      <c r="R444" s="251" t="str">
        <f>$R$199</f>
        <v xml:space="preserve"> </v>
      </c>
      <c r="S444" s="231" t="s">
        <v>107</v>
      </c>
      <c r="T444" s="131">
        <f>ROUND(R444*$C444/100,0)</f>
        <v>0</v>
      </c>
      <c r="U444" s="131"/>
      <c r="V444" s="251" t="str">
        <f>$V$199</f>
        <v xml:space="preserve"> </v>
      </c>
      <c r="W444" s="231" t="s">
        <v>107</v>
      </c>
      <c r="X444" s="131">
        <f>ROUND(V444*$C444/100,0)</f>
        <v>0</v>
      </c>
      <c r="Y444" s="53"/>
      <c r="Z444" s="110"/>
      <c r="AA444" s="110"/>
      <c r="AB444" s="110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U444" s="135"/>
    </row>
    <row r="445" spans="1:47" s="141" customFormat="1" hidden="1">
      <c r="A445" s="140" t="s">
        <v>153</v>
      </c>
      <c r="C445" s="142">
        <f>C439</f>
        <v>0</v>
      </c>
      <c r="D445" s="138"/>
      <c r="E445" s="143"/>
      <c r="F445" s="144"/>
      <c r="G445" s="138"/>
      <c r="H445" s="143"/>
      <c r="I445" s="144"/>
      <c r="J445" s="145">
        <f>J183</f>
        <v>0</v>
      </c>
      <c r="K445" s="240" t="s">
        <v>107</v>
      </c>
      <c r="L445" s="131">
        <f>ROUND(J445*$C445/100*J434,0)</f>
        <v>0</v>
      </c>
      <c r="M445" s="131"/>
      <c r="N445" s="145" t="str">
        <f>N183</f>
        <v xml:space="preserve"> </v>
      </c>
      <c r="O445" s="240" t="s">
        <v>107</v>
      </c>
      <c r="P445" s="131">
        <f>ROUND(N445*$C445/100*N434,0)</f>
        <v>0</v>
      </c>
      <c r="Q445" s="131"/>
      <c r="R445" s="145" t="str">
        <f>R183</f>
        <v xml:space="preserve"> </v>
      </c>
      <c r="S445" s="240" t="s">
        <v>107</v>
      </c>
      <c r="T445" s="131">
        <f>ROUND(R445*$C445/100*R434,0)</f>
        <v>0</v>
      </c>
      <c r="U445" s="131"/>
      <c r="V445" s="145">
        <f>V183</f>
        <v>0</v>
      </c>
      <c r="W445" s="240" t="s">
        <v>107</v>
      </c>
      <c r="X445" s="131">
        <f>ROUND(V445*$C445/100*V434,0)</f>
        <v>0</v>
      </c>
      <c r="Z445" s="132"/>
      <c r="AC445" s="148"/>
      <c r="AD445" s="148"/>
      <c r="AI445" s="143"/>
      <c r="AJ445" s="143"/>
      <c r="AK445" s="143"/>
      <c r="AL445" s="143"/>
      <c r="AM445" s="143"/>
      <c r="AN445" s="143"/>
      <c r="AO445" s="143"/>
      <c r="AP445" s="143"/>
      <c r="AQ445" s="143"/>
      <c r="AR445" s="143"/>
      <c r="AS445" s="143"/>
      <c r="AU445" s="147"/>
    </row>
    <row r="446" spans="1:47" s="141" customFormat="1" hidden="1">
      <c r="A446" s="140" t="s">
        <v>154</v>
      </c>
      <c r="C446" s="142">
        <f>C440</f>
        <v>0</v>
      </c>
      <c r="D446" s="138"/>
      <c r="E446" s="143"/>
      <c r="F446" s="144"/>
      <c r="G446" s="138"/>
      <c r="H446" s="143"/>
      <c r="I446" s="144"/>
      <c r="J446" s="145">
        <f>J184</f>
        <v>0</v>
      </c>
      <c r="K446" s="240" t="s">
        <v>107</v>
      </c>
      <c r="L446" s="131">
        <f>ROUND(J446*$C446/100*J434,0)</f>
        <v>0</v>
      </c>
      <c r="M446" s="131"/>
      <c r="N446" s="145" t="str">
        <f>N184</f>
        <v xml:space="preserve"> </v>
      </c>
      <c r="O446" s="240" t="s">
        <v>107</v>
      </c>
      <c r="P446" s="131">
        <f>ROUND(N446*$C446/100*N434,0)</f>
        <v>0</v>
      </c>
      <c r="Q446" s="131"/>
      <c r="R446" s="145" t="str">
        <f>R184</f>
        <v xml:space="preserve"> </v>
      </c>
      <c r="S446" s="240" t="s">
        <v>107</v>
      </c>
      <c r="T446" s="131">
        <f>ROUND(R446*$C446/100*R434,0)</f>
        <v>0</v>
      </c>
      <c r="U446" s="131"/>
      <c r="V446" s="145">
        <f>V184</f>
        <v>0</v>
      </c>
      <c r="W446" s="240" t="s">
        <v>107</v>
      </c>
      <c r="X446" s="131">
        <f>ROUND(V446*$C446/100*V434,0)</f>
        <v>0</v>
      </c>
      <c r="Z446" s="132"/>
      <c r="AC446" s="148"/>
      <c r="AD446" s="148"/>
      <c r="AI446" s="143"/>
      <c r="AJ446" s="143"/>
      <c r="AK446" s="143"/>
      <c r="AL446" s="143"/>
      <c r="AM446" s="143"/>
      <c r="AN446" s="143"/>
      <c r="AO446" s="143"/>
      <c r="AP446" s="143"/>
      <c r="AQ446" s="143"/>
      <c r="AR446" s="143"/>
      <c r="AS446" s="143"/>
      <c r="AU446" s="147"/>
    </row>
    <row r="447" spans="1:47" s="141" customFormat="1" hidden="1">
      <c r="A447" s="140" t="s">
        <v>155</v>
      </c>
      <c r="C447" s="142">
        <f>C441</f>
        <v>0</v>
      </c>
      <c r="D447" s="138"/>
      <c r="E447" s="143"/>
      <c r="F447" s="144"/>
      <c r="G447" s="138"/>
      <c r="H447" s="143"/>
      <c r="I447" s="144"/>
      <c r="J447" s="145">
        <f>J185</f>
        <v>0</v>
      </c>
      <c r="K447" s="240" t="s">
        <v>107</v>
      </c>
      <c r="L447" s="131">
        <f>ROUND(J447*$C447/100*J434,0)</f>
        <v>0</v>
      </c>
      <c r="M447" s="131"/>
      <c r="N447" s="145" t="str">
        <f>N185</f>
        <v xml:space="preserve"> </v>
      </c>
      <c r="O447" s="240" t="s">
        <v>107</v>
      </c>
      <c r="P447" s="131">
        <f>ROUND(N447*$C447/100*N434,0)</f>
        <v>0</v>
      </c>
      <c r="Q447" s="131"/>
      <c r="R447" s="145" t="str">
        <f>R185</f>
        <v xml:space="preserve"> </v>
      </c>
      <c r="S447" s="240" t="s">
        <v>107</v>
      </c>
      <c r="T447" s="131">
        <f>ROUND(R447*$C447/100*R434,0)</f>
        <v>0</v>
      </c>
      <c r="U447" s="131"/>
      <c r="V447" s="145">
        <f>V185</f>
        <v>0</v>
      </c>
      <c r="W447" s="240" t="s">
        <v>107</v>
      </c>
      <c r="X447" s="131">
        <f>ROUND(V447*$C447/100*V434,0)</f>
        <v>0</v>
      </c>
      <c r="Z447" s="132"/>
      <c r="AC447" s="148"/>
      <c r="AD447" s="148"/>
      <c r="AI447" s="143"/>
      <c r="AJ447" s="143"/>
      <c r="AK447" s="143"/>
      <c r="AL447" s="143"/>
      <c r="AM447" s="143"/>
      <c r="AN447" s="143"/>
      <c r="AO447" s="143"/>
      <c r="AP447" s="143"/>
      <c r="AQ447" s="143"/>
      <c r="AR447" s="143"/>
      <c r="AS447" s="143"/>
      <c r="AU447" s="147"/>
    </row>
    <row r="448" spans="1:47" hidden="1">
      <c r="A448" s="169" t="s">
        <v>133</v>
      </c>
      <c r="B448" s="169"/>
      <c r="C448" s="227">
        <f>SUM(C427:C429)</f>
        <v>33313</v>
      </c>
      <c r="D448" s="237"/>
      <c r="E448" s="131"/>
      <c r="F448" s="131">
        <f>SUM(F421:F444)</f>
        <v>7805</v>
      </c>
      <c r="G448" s="237"/>
      <c r="H448" s="231"/>
      <c r="I448" s="131">
        <f>SUM(I421:I444)</f>
        <v>8003</v>
      </c>
      <c r="J448" s="237"/>
      <c r="K448" s="231"/>
      <c r="L448" s="131">
        <f>SUM(L421:L447)</f>
        <v>8498</v>
      </c>
      <c r="M448" s="131"/>
      <c r="N448" s="237"/>
      <c r="O448" s="231"/>
      <c r="P448" s="131">
        <f>SUM(P421:P447)</f>
        <v>5472</v>
      </c>
      <c r="Q448" s="131"/>
      <c r="R448" s="237"/>
      <c r="S448" s="231"/>
      <c r="T448" s="131">
        <f>SUM(T421:T447)</f>
        <v>599</v>
      </c>
      <c r="U448" s="131"/>
      <c r="V448" s="237"/>
      <c r="W448" s="231"/>
      <c r="X448" s="131">
        <f>SUM(X421:X447)</f>
        <v>2428</v>
      </c>
      <c r="Y448" s="53"/>
      <c r="Z448" s="110"/>
      <c r="AA448" s="110"/>
      <c r="AB448" s="110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U448" s="135"/>
    </row>
    <row r="449" spans="1:47" hidden="1">
      <c r="A449" s="169" t="s">
        <v>111</v>
      </c>
      <c r="B449" s="169"/>
      <c r="C449" s="275">
        <v>-533.59230834667824</v>
      </c>
      <c r="D449" s="154"/>
      <c r="E449" s="154"/>
      <c r="F449" s="254">
        <f>I449</f>
        <v>-170.24425922328714</v>
      </c>
      <c r="G449" s="154"/>
      <c r="H449" s="154"/>
      <c r="I449" s="254">
        <v>-170.24425922328714</v>
      </c>
      <c r="J449" s="154"/>
      <c r="K449" s="154"/>
      <c r="L449" s="254">
        <f>I449</f>
        <v>-170.24425922328714</v>
      </c>
      <c r="M449" s="230"/>
      <c r="N449" s="154"/>
      <c r="O449" s="154"/>
      <c r="P449" s="254">
        <f>P204/L204*L449</f>
        <v>-33.560489614293502</v>
      </c>
      <c r="Q449" s="230"/>
      <c r="R449" s="154"/>
      <c r="S449" s="154"/>
      <c r="T449" s="254">
        <f>T204/L204*L449</f>
        <v>-27.026886482190687</v>
      </c>
      <c r="U449" s="230"/>
      <c r="V449" s="154"/>
      <c r="W449" s="154"/>
      <c r="X449" s="254">
        <f>X204/L204*L449</f>
        <v>-109.65688312680294</v>
      </c>
      <c r="Y449" s="185"/>
      <c r="Z449" s="183"/>
      <c r="AA449" s="110"/>
      <c r="AB449" s="110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U449" s="135"/>
    </row>
    <row r="450" spans="1:47" ht="16.5" hidden="1" thickBot="1">
      <c r="A450" s="169" t="s">
        <v>134</v>
      </c>
      <c r="B450" s="169"/>
      <c r="C450" s="214">
        <f>SUM(C448:C449)</f>
        <v>32779.407691653323</v>
      </c>
      <c r="D450" s="272"/>
      <c r="E450" s="256"/>
      <c r="F450" s="257">
        <f>F448+F449</f>
        <v>7634.7557407767126</v>
      </c>
      <c r="G450" s="272"/>
      <c r="H450" s="258"/>
      <c r="I450" s="257">
        <f>I448+I449</f>
        <v>7832.7557407767126</v>
      </c>
      <c r="J450" s="272"/>
      <c r="K450" s="258"/>
      <c r="L450" s="257">
        <f>L448+L449</f>
        <v>8327.7557407767126</v>
      </c>
      <c r="M450" s="257"/>
      <c r="N450" s="272"/>
      <c r="O450" s="258"/>
      <c r="P450" s="257">
        <f>P448+P449</f>
        <v>5438.4395103857069</v>
      </c>
      <c r="Q450" s="257"/>
      <c r="R450" s="272"/>
      <c r="S450" s="258"/>
      <c r="T450" s="257">
        <f>T448+T449</f>
        <v>571.97311351780934</v>
      </c>
      <c r="U450" s="257"/>
      <c r="V450" s="272"/>
      <c r="W450" s="258"/>
      <c r="X450" s="257">
        <f>X448+X449</f>
        <v>2318.3431168731972</v>
      </c>
      <c r="Y450" s="186"/>
      <c r="Z450" s="187"/>
      <c r="AA450" s="110"/>
      <c r="AB450" s="110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U450" s="135"/>
    </row>
    <row r="451" spans="1:47" hidden="1">
      <c r="A451" s="169"/>
      <c r="B451" s="169"/>
      <c r="C451" s="189"/>
      <c r="D451" s="250" t="s">
        <v>0</v>
      </c>
      <c r="E451" s="131"/>
      <c r="F451" s="131"/>
      <c r="G451" s="250" t="s">
        <v>0</v>
      </c>
      <c r="H451" s="169"/>
      <c r="I451" s="131"/>
      <c r="J451" s="277" t="s">
        <v>0</v>
      </c>
      <c r="K451" s="169"/>
      <c r="L451" s="131" t="s">
        <v>0</v>
      </c>
      <c r="M451" s="131"/>
      <c r="N451" s="277" t="s">
        <v>0</v>
      </c>
      <c r="O451" s="169"/>
      <c r="P451" s="131" t="s">
        <v>0</v>
      </c>
      <c r="Q451" s="131"/>
      <c r="R451" s="277" t="s">
        <v>0</v>
      </c>
      <c r="S451" s="169"/>
      <c r="T451" s="131" t="s">
        <v>0</v>
      </c>
      <c r="U451" s="131"/>
      <c r="V451" s="277" t="s">
        <v>0</v>
      </c>
      <c r="W451" s="169"/>
      <c r="X451" s="131" t="s">
        <v>0</v>
      </c>
      <c r="Y451" s="53"/>
      <c r="Z451" s="110"/>
      <c r="AA451" s="110"/>
      <c r="AB451" s="110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U451" s="135"/>
    </row>
    <row r="452" spans="1:47" hidden="1">
      <c r="A452" s="169"/>
      <c r="B452" s="169"/>
      <c r="C452" s="189"/>
      <c r="D452" s="250" t="s">
        <v>0</v>
      </c>
      <c r="E452" s="131"/>
      <c r="F452" s="131"/>
      <c r="G452" s="250" t="s">
        <v>0</v>
      </c>
      <c r="H452" s="169"/>
      <c r="I452" s="131"/>
      <c r="J452" s="277" t="s">
        <v>0</v>
      </c>
      <c r="K452" s="169"/>
      <c r="L452" s="131" t="s">
        <v>0</v>
      </c>
      <c r="M452" s="131"/>
      <c r="N452" s="277" t="s">
        <v>0</v>
      </c>
      <c r="O452" s="169"/>
      <c r="P452" s="131" t="s">
        <v>0</v>
      </c>
      <c r="Q452" s="131"/>
      <c r="R452" s="277" t="s">
        <v>0</v>
      </c>
      <c r="S452" s="169"/>
      <c r="T452" s="131" t="s">
        <v>0</v>
      </c>
      <c r="U452" s="131"/>
      <c r="V452" s="277" t="s">
        <v>0</v>
      </c>
      <c r="W452" s="169"/>
      <c r="X452" s="131" t="s">
        <v>0</v>
      </c>
      <c r="Y452" s="53"/>
      <c r="Z452" s="110"/>
      <c r="AA452" s="110"/>
      <c r="AB452" s="110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U452" s="135"/>
    </row>
    <row r="453" spans="1:47" hidden="1">
      <c r="A453" s="188" t="s">
        <v>174</v>
      </c>
      <c r="B453" s="169"/>
      <c r="C453" s="169"/>
      <c r="D453" s="131"/>
      <c r="E453" s="131"/>
      <c r="F453" s="169" t="s">
        <v>0</v>
      </c>
      <c r="G453" s="131"/>
      <c r="H453" s="169"/>
      <c r="I453" s="169"/>
      <c r="J453" s="131"/>
      <c r="K453" s="169"/>
      <c r="L453" s="169"/>
      <c r="M453" s="169"/>
      <c r="N453" s="131"/>
      <c r="O453" s="169"/>
      <c r="P453" s="169"/>
      <c r="Q453" s="169"/>
      <c r="R453" s="131"/>
      <c r="S453" s="169"/>
      <c r="T453" s="169"/>
      <c r="U453" s="169"/>
      <c r="V453" s="131"/>
      <c r="W453" s="169"/>
      <c r="X453" s="169"/>
      <c r="Y453" s="53"/>
      <c r="Z453" s="110"/>
      <c r="AA453" s="110"/>
      <c r="AB453" s="110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U453" s="135"/>
    </row>
    <row r="454" spans="1:47" hidden="1">
      <c r="A454" s="169" t="s">
        <v>166</v>
      </c>
      <c r="B454" s="169"/>
      <c r="C454" s="169"/>
      <c r="D454" s="131"/>
      <c r="E454" s="131"/>
      <c r="F454" s="169"/>
      <c r="G454" s="131"/>
      <c r="H454" s="169"/>
      <c r="I454" s="169"/>
      <c r="J454" s="131"/>
      <c r="K454" s="169"/>
      <c r="L454" s="169"/>
      <c r="M454" s="169"/>
      <c r="N454" s="131"/>
      <c r="O454" s="169"/>
      <c r="P454" s="169"/>
      <c r="Q454" s="169"/>
      <c r="R454" s="131"/>
      <c r="S454" s="169"/>
      <c r="T454" s="169"/>
      <c r="U454" s="169"/>
      <c r="V454" s="131"/>
      <c r="W454" s="169"/>
      <c r="X454" s="169"/>
      <c r="Y454" s="53"/>
      <c r="Z454" s="110"/>
      <c r="AA454" s="110"/>
      <c r="AB454" s="110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</row>
    <row r="455" spans="1:47" hidden="1">
      <c r="A455" s="169" t="s">
        <v>175</v>
      </c>
      <c r="B455" s="169"/>
      <c r="C455" s="169"/>
      <c r="D455" s="131"/>
      <c r="E455" s="131"/>
      <c r="F455" s="169"/>
      <c r="G455" s="131"/>
      <c r="H455" s="169"/>
      <c r="I455" s="169"/>
      <c r="J455" s="131"/>
      <c r="K455" s="169"/>
      <c r="L455" s="169"/>
      <c r="M455" s="169"/>
      <c r="N455" s="131"/>
      <c r="O455" s="169"/>
      <c r="P455" s="169"/>
      <c r="Q455" s="169"/>
      <c r="R455" s="131"/>
      <c r="S455" s="169"/>
      <c r="T455" s="169"/>
      <c r="U455" s="169"/>
      <c r="V455" s="131"/>
      <c r="W455" s="169"/>
      <c r="X455" s="169"/>
      <c r="Y455" s="53"/>
      <c r="Z455" s="110"/>
      <c r="AA455" s="110"/>
      <c r="AB455" s="110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</row>
    <row r="456" spans="1:47" hidden="1">
      <c r="A456" s="169" t="s">
        <v>146</v>
      </c>
      <c r="B456" s="169"/>
      <c r="C456" s="227"/>
      <c r="D456" s="131"/>
      <c r="E456" s="131"/>
      <c r="F456" s="169"/>
      <c r="G456" s="131"/>
      <c r="H456" s="169"/>
      <c r="I456" s="169"/>
      <c r="J456" s="131"/>
      <c r="K456" s="169"/>
      <c r="L456" s="169"/>
      <c r="M456" s="169"/>
      <c r="N456" s="131"/>
      <c r="O456" s="169"/>
      <c r="P456" s="169"/>
      <c r="Q456" s="169"/>
      <c r="R456" s="131"/>
      <c r="S456" s="169"/>
      <c r="T456" s="169"/>
      <c r="U456" s="169"/>
      <c r="V456" s="131"/>
      <c r="W456" s="169"/>
      <c r="X456" s="169"/>
      <c r="Y456" s="53"/>
      <c r="Z456" s="110"/>
      <c r="AA456" s="110"/>
      <c r="AB456" s="110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</row>
    <row r="457" spans="1:47" hidden="1">
      <c r="A457" s="169" t="s">
        <v>143</v>
      </c>
      <c r="B457" s="169"/>
      <c r="C457" s="227">
        <f t="shared" ref="C457:C466" si="133">C492+C527</f>
        <v>1</v>
      </c>
      <c r="D457" s="193">
        <v>104.52000000000001</v>
      </c>
      <c r="E457" s="229"/>
      <c r="F457" s="131">
        <f>F492+F527</f>
        <v>105</v>
      </c>
      <c r="G457" s="193">
        <v>104.52000000000001</v>
      </c>
      <c r="H457" s="231"/>
      <c r="I457" s="131">
        <f>I492+I527</f>
        <v>105</v>
      </c>
      <c r="J457" s="193">
        <f>$J$169</f>
        <v>115.19999999999999</v>
      </c>
      <c r="K457" s="231"/>
      <c r="L457" s="131">
        <f>L492+L527</f>
        <v>115</v>
      </c>
      <c r="M457" s="131"/>
      <c r="N457" s="193">
        <f>$N$169</f>
        <v>115.19999999999999</v>
      </c>
      <c r="O457" s="231"/>
      <c r="P457" s="131">
        <f>P492+P527</f>
        <v>115</v>
      </c>
      <c r="Q457" s="131"/>
      <c r="R457" s="193" t="str">
        <f>$R$169</f>
        <v xml:space="preserve"> </v>
      </c>
      <c r="S457" s="231"/>
      <c r="T457" s="131">
        <f>T492+T527</f>
        <v>0</v>
      </c>
      <c r="U457" s="131"/>
      <c r="V457" s="193" t="str">
        <f>$V$169</f>
        <v xml:space="preserve"> </v>
      </c>
      <c r="W457" s="231"/>
      <c r="X457" s="131">
        <f>X492+X527</f>
        <v>0</v>
      </c>
      <c r="Y457" s="53"/>
      <c r="Z457" s="110"/>
      <c r="AA457" s="110"/>
      <c r="AB457" s="110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</row>
    <row r="458" spans="1:47" hidden="1">
      <c r="A458" s="169" t="s">
        <v>144</v>
      </c>
      <c r="B458" s="169"/>
      <c r="C458" s="227">
        <f t="shared" si="133"/>
        <v>86.216438356164403</v>
      </c>
      <c r="D458" s="193">
        <v>155.76</v>
      </c>
      <c r="E458" s="232"/>
      <c r="F458" s="131">
        <f>F493+F528</f>
        <v>13429</v>
      </c>
      <c r="G458" s="193">
        <v>155.76</v>
      </c>
      <c r="H458" s="233"/>
      <c r="I458" s="131">
        <f>I493+I528</f>
        <v>13429</v>
      </c>
      <c r="J458" s="193">
        <f>$J$170</f>
        <v>171.60000000000002</v>
      </c>
      <c r="K458" s="233"/>
      <c r="L458" s="131">
        <f>L493+L528</f>
        <v>14795</v>
      </c>
      <c r="M458" s="131"/>
      <c r="N458" s="193">
        <f>$N$170</f>
        <v>171.60000000000002</v>
      </c>
      <c r="O458" s="233"/>
      <c r="P458" s="131">
        <f>P493+P528</f>
        <v>14795</v>
      </c>
      <c r="Q458" s="131"/>
      <c r="R458" s="193" t="str">
        <f>$R$170</f>
        <v xml:space="preserve"> </v>
      </c>
      <c r="S458" s="233"/>
      <c r="T458" s="131">
        <f>T493+T528</f>
        <v>0</v>
      </c>
      <c r="U458" s="131"/>
      <c r="V458" s="193" t="str">
        <f>$V$170</f>
        <v xml:space="preserve"> </v>
      </c>
      <c r="W458" s="233"/>
      <c r="X458" s="131">
        <f>X493+X528</f>
        <v>0</v>
      </c>
      <c r="Y458" s="53"/>
      <c r="Z458" s="110"/>
      <c r="AA458" s="110"/>
      <c r="AB458" s="110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</row>
    <row r="459" spans="1:47" hidden="1">
      <c r="A459" s="169" t="s">
        <v>145</v>
      </c>
      <c r="B459" s="169"/>
      <c r="C459" s="227">
        <f t="shared" si="133"/>
        <v>3360.78082191781</v>
      </c>
      <c r="D459" s="193">
        <v>11.040000000000001</v>
      </c>
      <c r="E459" s="232"/>
      <c r="F459" s="131">
        <f>F494+F529</f>
        <v>37103</v>
      </c>
      <c r="G459" s="193">
        <v>11.040000000000001</v>
      </c>
      <c r="H459" s="233"/>
      <c r="I459" s="131">
        <f>I494+I529</f>
        <v>37103</v>
      </c>
      <c r="J459" s="193">
        <f>$J$171</f>
        <v>12</v>
      </c>
      <c r="K459" s="233"/>
      <c r="L459" s="131">
        <f>L494+L529</f>
        <v>40329</v>
      </c>
      <c r="M459" s="131"/>
      <c r="N459" s="193">
        <f>$N$171</f>
        <v>12</v>
      </c>
      <c r="O459" s="233"/>
      <c r="P459" s="131">
        <f>P494+P529</f>
        <v>40329</v>
      </c>
      <c r="Q459" s="131"/>
      <c r="R459" s="193" t="str">
        <f>$R$171</f>
        <v xml:space="preserve"> </v>
      </c>
      <c r="S459" s="233"/>
      <c r="T459" s="131">
        <f>T494+T529</f>
        <v>0</v>
      </c>
      <c r="U459" s="131"/>
      <c r="V459" s="193" t="str">
        <f>$V$171</f>
        <v xml:space="preserve"> </v>
      </c>
      <c r="W459" s="233"/>
      <c r="X459" s="131">
        <f>X494+X529</f>
        <v>0</v>
      </c>
      <c r="Y459" s="53"/>
      <c r="Z459" s="110"/>
      <c r="AA459" s="110"/>
      <c r="AB459" s="110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</row>
    <row r="460" spans="1:47" hidden="1">
      <c r="A460" s="169" t="s">
        <v>147</v>
      </c>
      <c r="B460" s="169"/>
      <c r="C460" s="227">
        <f t="shared" si="133"/>
        <v>87.216438356164403</v>
      </c>
      <c r="D460" s="193"/>
      <c r="E460" s="229"/>
      <c r="F460" s="131"/>
      <c r="G460" s="193"/>
      <c r="H460" s="231"/>
      <c r="I460" s="131"/>
      <c r="J460" s="193"/>
      <c r="K460" s="231"/>
      <c r="L460" s="131"/>
      <c r="M460" s="131"/>
      <c r="N460" s="193"/>
      <c r="O460" s="231"/>
      <c r="P460" s="131"/>
      <c r="Q460" s="131"/>
      <c r="R460" s="193"/>
      <c r="S460" s="231"/>
      <c r="T460" s="131"/>
      <c r="U460" s="131"/>
      <c r="V460" s="193"/>
      <c r="W460" s="231"/>
      <c r="X460" s="131"/>
      <c r="Y460" s="53"/>
      <c r="Z460" s="110"/>
      <c r="AA460" s="110"/>
      <c r="AB460" s="110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</row>
    <row r="461" spans="1:47" hidden="1">
      <c r="A461" s="169" t="s">
        <v>176</v>
      </c>
      <c r="B461" s="169"/>
      <c r="C461" s="227">
        <f t="shared" si="133"/>
        <v>1020.2583333333331</v>
      </c>
      <c r="D461" s="193"/>
      <c r="E461" s="229"/>
      <c r="F461" s="131"/>
      <c r="G461" s="193"/>
      <c r="H461" s="231"/>
      <c r="I461" s="131"/>
      <c r="J461" s="193"/>
      <c r="K461" s="231"/>
      <c r="L461" s="131"/>
      <c r="M461" s="131"/>
      <c r="N461" s="193"/>
      <c r="O461" s="231"/>
      <c r="P461" s="131"/>
      <c r="Q461" s="131"/>
      <c r="R461" s="193"/>
      <c r="S461" s="231"/>
      <c r="T461" s="131"/>
      <c r="U461" s="131"/>
      <c r="V461" s="193"/>
      <c r="W461" s="231"/>
      <c r="X461" s="131"/>
      <c r="Y461" s="53"/>
      <c r="Z461" s="110"/>
      <c r="AA461" s="110"/>
      <c r="AB461" s="110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</row>
    <row r="462" spans="1:47" hidden="1">
      <c r="A462" s="169" t="s">
        <v>148</v>
      </c>
      <c r="B462" s="169"/>
      <c r="C462" s="227">
        <f t="shared" si="133"/>
        <v>9001.8205882352995</v>
      </c>
      <c r="D462" s="250">
        <v>3.4</v>
      </c>
      <c r="E462" s="231"/>
      <c r="F462" s="131">
        <f>F497+F532</f>
        <v>30606</v>
      </c>
      <c r="G462" s="250">
        <v>3.61</v>
      </c>
      <c r="H462" s="231"/>
      <c r="I462" s="131">
        <f>I497+I532</f>
        <v>32497</v>
      </c>
      <c r="J462" s="250">
        <f>$J$178</f>
        <v>3.64</v>
      </c>
      <c r="K462" s="231"/>
      <c r="L462" s="131">
        <f>L497+L532</f>
        <v>32767</v>
      </c>
      <c r="M462" s="131"/>
      <c r="N462" s="250">
        <f>$N$178</f>
        <v>0.48</v>
      </c>
      <c r="O462" s="231"/>
      <c r="P462" s="131">
        <f>P497+P532</f>
        <v>4321</v>
      </c>
      <c r="Q462" s="131"/>
      <c r="R462" s="250">
        <f>$R$178</f>
        <v>0.63</v>
      </c>
      <c r="S462" s="231"/>
      <c r="T462" s="131">
        <f>T497+T532</f>
        <v>5672</v>
      </c>
      <c r="U462" s="131"/>
      <c r="V462" s="250">
        <f>$V$178</f>
        <v>2.54</v>
      </c>
      <c r="W462" s="231"/>
      <c r="X462" s="131">
        <f>X497+X532</f>
        <v>22864</v>
      </c>
      <c r="Y462" s="53"/>
      <c r="Z462" s="110"/>
      <c r="AA462" s="110"/>
      <c r="AB462" s="110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</row>
    <row r="463" spans="1:47" hidden="1">
      <c r="A463" s="169" t="s">
        <v>149</v>
      </c>
      <c r="B463" s="169"/>
      <c r="C463" s="227">
        <f t="shared" si="133"/>
        <v>153159</v>
      </c>
      <c r="D463" s="195">
        <v>9.766</v>
      </c>
      <c r="E463" s="231" t="s">
        <v>107</v>
      </c>
      <c r="F463" s="131">
        <f>F498+F533</f>
        <v>14958</v>
      </c>
      <c r="G463" s="195">
        <v>10.359</v>
      </c>
      <c r="H463" s="231" t="s">
        <v>107</v>
      </c>
      <c r="I463" s="131">
        <f>I498+I533</f>
        <v>15866</v>
      </c>
      <c r="J463" s="195">
        <f>$J$179</f>
        <v>10.449</v>
      </c>
      <c r="K463" s="231" t="s">
        <v>107</v>
      </c>
      <c r="L463" s="131">
        <f>L498+L533</f>
        <v>16003</v>
      </c>
      <c r="M463" s="131"/>
      <c r="N463" s="195">
        <f>$N$179</f>
        <v>1.3644187751662151</v>
      </c>
      <c r="O463" s="231" t="s">
        <v>107</v>
      </c>
      <c r="P463" s="131">
        <f>P498+P533</f>
        <v>2090</v>
      </c>
      <c r="Q463" s="131"/>
      <c r="R463" s="195">
        <f>$R$179</f>
        <v>1.7973223544650079</v>
      </c>
      <c r="S463" s="231" t="s">
        <v>107</v>
      </c>
      <c r="T463" s="131">
        <f>T498+T533</f>
        <v>2753</v>
      </c>
      <c r="U463" s="131"/>
      <c r="V463" s="195">
        <f>$V$179</f>
        <v>7.2874254450520697</v>
      </c>
      <c r="W463" s="231" t="s">
        <v>107</v>
      </c>
      <c r="X463" s="131">
        <f>X498+X533</f>
        <v>11161</v>
      </c>
      <c r="Y463" s="53"/>
      <c r="Z463" s="110"/>
      <c r="AA463" s="110"/>
      <c r="AB463" s="110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</row>
    <row r="464" spans="1:47" hidden="1">
      <c r="A464" s="169" t="s">
        <v>150</v>
      </c>
      <c r="B464" s="169"/>
      <c r="C464" s="227">
        <f t="shared" si="133"/>
        <v>143166</v>
      </c>
      <c r="D464" s="195">
        <v>6.7460000000000004</v>
      </c>
      <c r="E464" s="231" t="s">
        <v>107</v>
      </c>
      <c r="F464" s="131">
        <f>F499+F534</f>
        <v>9658</v>
      </c>
      <c r="G464" s="195">
        <v>7.1559999999999997</v>
      </c>
      <c r="H464" s="231" t="s">
        <v>107</v>
      </c>
      <c r="I464" s="131">
        <f>I499+I534</f>
        <v>10245</v>
      </c>
      <c r="J464" s="195">
        <f>$J$180</f>
        <v>7.218</v>
      </c>
      <c r="K464" s="231" t="s">
        <v>107</v>
      </c>
      <c r="L464" s="131">
        <f>L499+L534</f>
        <v>10334</v>
      </c>
      <c r="M464" s="131"/>
      <c r="N464" s="195">
        <f>$N$180</f>
        <v>0.94251839115112013</v>
      </c>
      <c r="O464" s="231" t="s">
        <v>107</v>
      </c>
      <c r="P464" s="131">
        <f>P499+P534</f>
        <v>1349</v>
      </c>
      <c r="Q464" s="131"/>
      <c r="R464" s="195">
        <f>$R$180</f>
        <v>1.2418703884281421</v>
      </c>
      <c r="S464" s="231" t="s">
        <v>107</v>
      </c>
      <c r="T464" s="131">
        <f>T499+T534</f>
        <v>1778</v>
      </c>
      <c r="U464" s="131"/>
      <c r="V464" s="195">
        <f>$V$180</f>
        <v>5.0333446832527242</v>
      </c>
      <c r="W464" s="231" t="s">
        <v>107</v>
      </c>
      <c r="X464" s="131">
        <f>X499+X534</f>
        <v>7206</v>
      </c>
      <c r="Y464" s="53"/>
      <c r="Z464" s="110"/>
      <c r="AA464" s="110"/>
      <c r="AB464" s="110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</row>
    <row r="465" spans="1:47" hidden="1">
      <c r="A465" s="169" t="s">
        <v>151</v>
      </c>
      <c r="B465" s="169"/>
      <c r="C465" s="227">
        <f t="shared" si="133"/>
        <v>173680</v>
      </c>
      <c r="D465" s="195">
        <v>5.8120000000000003</v>
      </c>
      <c r="E465" s="231" t="s">
        <v>107</v>
      </c>
      <c r="F465" s="131">
        <f>F500+F535</f>
        <v>10094</v>
      </c>
      <c r="G465" s="195">
        <v>6.1660000000000004</v>
      </c>
      <c r="H465" s="231" t="s">
        <v>107</v>
      </c>
      <c r="I465" s="131">
        <f>I500+I535</f>
        <v>10709</v>
      </c>
      <c r="J465" s="195">
        <f>$J$181</f>
        <v>6.218</v>
      </c>
      <c r="K465" s="231" t="s">
        <v>107</v>
      </c>
      <c r="L465" s="131">
        <f>L500+L535</f>
        <v>10799</v>
      </c>
      <c r="M465" s="131"/>
      <c r="N465" s="195">
        <f>$N$181</f>
        <v>0.81193939748297494</v>
      </c>
      <c r="O465" s="231" t="s">
        <v>107</v>
      </c>
      <c r="P465" s="131">
        <f>P500+P535</f>
        <v>1410</v>
      </c>
      <c r="Q465" s="131"/>
      <c r="R465" s="195">
        <f>$R$181</f>
        <v>1.0689569190308457</v>
      </c>
      <c r="S465" s="231" t="s">
        <v>107</v>
      </c>
      <c r="T465" s="131">
        <f>T500+T535</f>
        <v>1857</v>
      </c>
      <c r="U465" s="131"/>
      <c r="V465" s="195">
        <f>$V$181</f>
        <v>4.3370117827017491</v>
      </c>
      <c r="W465" s="231" t="s">
        <v>107</v>
      </c>
      <c r="X465" s="131">
        <f>X500+X535</f>
        <v>7533</v>
      </c>
      <c r="Y465" s="53"/>
      <c r="Z465" s="110"/>
      <c r="AA465" s="110"/>
      <c r="AB465" s="110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</row>
    <row r="466" spans="1:47" hidden="1">
      <c r="A466" s="169" t="s">
        <v>152</v>
      </c>
      <c r="B466" s="169"/>
      <c r="C466" s="227">
        <f t="shared" si="133"/>
        <v>1100.8816666666701</v>
      </c>
      <c r="D466" s="237">
        <v>56</v>
      </c>
      <c r="E466" s="229" t="s">
        <v>107</v>
      </c>
      <c r="F466" s="131">
        <f>F501+F536</f>
        <v>616</v>
      </c>
      <c r="G466" s="237">
        <v>56</v>
      </c>
      <c r="H466" s="231" t="s">
        <v>107</v>
      </c>
      <c r="I466" s="131">
        <f>I501+I536</f>
        <v>616</v>
      </c>
      <c r="J466" s="237">
        <f>$J$182</f>
        <v>56</v>
      </c>
      <c r="K466" s="231" t="s">
        <v>107</v>
      </c>
      <c r="L466" s="131">
        <f>L501+L536</f>
        <v>616</v>
      </c>
      <c r="M466" s="131"/>
      <c r="N466" s="237" t="str">
        <f>$N$182</f>
        <v xml:space="preserve"> </v>
      </c>
      <c r="O466" s="231" t="s">
        <v>107</v>
      </c>
      <c r="P466" s="131">
        <f>P501+P536</f>
        <v>0</v>
      </c>
      <c r="Q466" s="131"/>
      <c r="R466" s="237">
        <f>$R$182</f>
        <v>11</v>
      </c>
      <c r="S466" s="231" t="s">
        <v>107</v>
      </c>
      <c r="T466" s="131">
        <f>T501+T536</f>
        <v>121</v>
      </c>
      <c r="U466" s="131"/>
      <c r="V466" s="237">
        <f>$V$182</f>
        <v>45</v>
      </c>
      <c r="W466" s="231" t="s">
        <v>107</v>
      </c>
      <c r="X466" s="131">
        <f>X501+X536</f>
        <v>495</v>
      </c>
      <c r="Y466" s="53"/>
      <c r="Z466" s="110"/>
      <c r="AA466" s="110"/>
      <c r="AB466" s="110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</row>
    <row r="467" spans="1:47" s="141" customFormat="1" hidden="1">
      <c r="A467" s="140" t="s">
        <v>153</v>
      </c>
      <c r="C467" s="239">
        <f>C463</f>
        <v>153159</v>
      </c>
      <c r="D467" s="138"/>
      <c r="E467" s="143"/>
      <c r="F467" s="144"/>
      <c r="G467" s="138"/>
      <c r="H467" s="143"/>
      <c r="I467" s="144"/>
      <c r="J467" s="145">
        <f>J183</f>
        <v>0</v>
      </c>
      <c r="K467" s="240" t="s">
        <v>107</v>
      </c>
      <c r="L467" s="131">
        <f t="shared" ref="L467:L469" si="134">L502+L537</f>
        <v>0</v>
      </c>
      <c r="M467" s="131"/>
      <c r="N467" s="145" t="str">
        <f>N183</f>
        <v xml:space="preserve"> </v>
      </c>
      <c r="O467" s="240" t="s">
        <v>107</v>
      </c>
      <c r="P467" s="131">
        <f t="shared" ref="P467:P469" si="135">P502+P537</f>
        <v>0</v>
      </c>
      <c r="Q467" s="131"/>
      <c r="R467" s="145" t="str">
        <f>R183</f>
        <v xml:space="preserve"> </v>
      </c>
      <c r="S467" s="240" t="s">
        <v>107</v>
      </c>
      <c r="T467" s="131">
        <f t="shared" ref="T467:T469" si="136">T502+T537</f>
        <v>0</v>
      </c>
      <c r="U467" s="131"/>
      <c r="V467" s="145">
        <f>V183</f>
        <v>0</v>
      </c>
      <c r="W467" s="240" t="s">
        <v>107</v>
      </c>
      <c r="X467" s="131">
        <f t="shared" ref="X467:X469" si="137">X502+X537</f>
        <v>0</v>
      </c>
      <c r="Z467" s="132"/>
      <c r="AC467" s="148"/>
      <c r="AD467" s="148"/>
      <c r="AI467" s="143"/>
      <c r="AJ467" s="143"/>
      <c r="AK467" s="143"/>
      <c r="AL467" s="143"/>
      <c r="AM467" s="143"/>
      <c r="AN467" s="143"/>
      <c r="AO467" s="143"/>
      <c r="AP467" s="143"/>
      <c r="AQ467" s="143"/>
      <c r="AR467" s="143"/>
      <c r="AS467" s="143"/>
      <c r="AU467" s="147"/>
    </row>
    <row r="468" spans="1:47" s="141" customFormat="1" hidden="1">
      <c r="A468" s="140" t="s">
        <v>154</v>
      </c>
      <c r="C468" s="239">
        <f t="shared" ref="C468:C469" si="138">C464</f>
        <v>143166</v>
      </c>
      <c r="D468" s="138"/>
      <c r="E468" s="143"/>
      <c r="F468" s="144"/>
      <c r="G468" s="138"/>
      <c r="H468" s="143"/>
      <c r="I468" s="144"/>
      <c r="J468" s="145">
        <f>J184</f>
        <v>0</v>
      </c>
      <c r="K468" s="240" t="s">
        <v>107</v>
      </c>
      <c r="L468" s="131">
        <f t="shared" si="134"/>
        <v>0</v>
      </c>
      <c r="M468" s="131"/>
      <c r="N468" s="145" t="str">
        <f>N184</f>
        <v xml:space="preserve"> </v>
      </c>
      <c r="O468" s="240" t="s">
        <v>107</v>
      </c>
      <c r="P468" s="131">
        <f t="shared" si="135"/>
        <v>0</v>
      </c>
      <c r="Q468" s="131"/>
      <c r="R468" s="145" t="str">
        <f>R184</f>
        <v xml:space="preserve"> </v>
      </c>
      <c r="S468" s="240" t="s">
        <v>107</v>
      </c>
      <c r="T468" s="131">
        <f t="shared" si="136"/>
        <v>0</v>
      </c>
      <c r="U468" s="131"/>
      <c r="V468" s="145">
        <f>V184</f>
        <v>0</v>
      </c>
      <c r="W468" s="240" t="s">
        <v>107</v>
      </c>
      <c r="X468" s="131">
        <f t="shared" si="137"/>
        <v>0</v>
      </c>
      <c r="Z468" s="132"/>
      <c r="AC468" s="148"/>
      <c r="AD468" s="148"/>
      <c r="AI468" s="143"/>
      <c r="AJ468" s="143"/>
      <c r="AK468" s="143"/>
      <c r="AL468" s="143"/>
      <c r="AM468" s="143"/>
      <c r="AN468" s="143"/>
      <c r="AO468" s="143"/>
      <c r="AP468" s="143"/>
      <c r="AQ468" s="143"/>
      <c r="AR468" s="143"/>
      <c r="AS468" s="143"/>
      <c r="AU468" s="147"/>
    </row>
    <row r="469" spans="1:47" s="141" customFormat="1" hidden="1">
      <c r="A469" s="140" t="s">
        <v>155</v>
      </c>
      <c r="C469" s="239">
        <f t="shared" si="138"/>
        <v>173680</v>
      </c>
      <c r="D469" s="138"/>
      <c r="E469" s="143"/>
      <c r="F469" s="144"/>
      <c r="G469" s="138"/>
      <c r="H469" s="143"/>
      <c r="I469" s="144"/>
      <c r="J469" s="145">
        <f>J185</f>
        <v>0</v>
      </c>
      <c r="K469" s="240" t="s">
        <v>107</v>
      </c>
      <c r="L469" s="131">
        <f t="shared" si="134"/>
        <v>0</v>
      </c>
      <c r="M469" s="131"/>
      <c r="N469" s="145" t="str">
        <f>N185</f>
        <v xml:space="preserve"> </v>
      </c>
      <c r="O469" s="240" t="s">
        <v>107</v>
      </c>
      <c r="P469" s="131">
        <f t="shared" si="135"/>
        <v>0</v>
      </c>
      <c r="Q469" s="131"/>
      <c r="R469" s="145" t="str">
        <f>R185</f>
        <v xml:space="preserve"> </v>
      </c>
      <c r="S469" s="240" t="s">
        <v>107</v>
      </c>
      <c r="T469" s="131">
        <f t="shared" si="136"/>
        <v>0</v>
      </c>
      <c r="U469" s="131"/>
      <c r="V469" s="145">
        <f>V185</f>
        <v>0</v>
      </c>
      <c r="W469" s="240" t="s">
        <v>107</v>
      </c>
      <c r="X469" s="131">
        <f t="shared" si="137"/>
        <v>0</v>
      </c>
      <c r="Y469" s="140" t="s">
        <v>0</v>
      </c>
      <c r="Z469" s="132"/>
      <c r="AC469" s="148"/>
      <c r="AD469" s="148"/>
      <c r="AI469" s="143"/>
      <c r="AJ469" s="143"/>
      <c r="AK469" s="143"/>
      <c r="AL469" s="143"/>
      <c r="AM469" s="143"/>
      <c r="AN469" s="143"/>
      <c r="AO469" s="143"/>
      <c r="AP469" s="143"/>
      <c r="AQ469" s="143"/>
      <c r="AR469" s="143"/>
      <c r="AS469" s="143"/>
      <c r="AU469" s="147"/>
    </row>
    <row r="470" spans="1:47" hidden="1">
      <c r="A470" s="244" t="s">
        <v>159</v>
      </c>
      <c r="B470" s="169"/>
      <c r="C470" s="227"/>
      <c r="D470" s="245">
        <v>-0.01</v>
      </c>
      <c r="E470" s="229"/>
      <c r="F470" s="131"/>
      <c r="G470" s="245">
        <v>-0.01</v>
      </c>
      <c r="H470" s="231"/>
      <c r="I470" s="131"/>
      <c r="J470" s="245">
        <v>-0.01</v>
      </c>
      <c r="K470" s="231"/>
      <c r="L470" s="131"/>
      <c r="M470" s="131"/>
      <c r="N470" s="245">
        <v>-0.01</v>
      </c>
      <c r="O470" s="231"/>
      <c r="P470" s="131"/>
      <c r="Q470" s="131"/>
      <c r="R470" s="245">
        <v>-0.01</v>
      </c>
      <c r="S470" s="231"/>
      <c r="T470" s="131"/>
      <c r="U470" s="131"/>
      <c r="V470" s="245">
        <v>-0.01</v>
      </c>
      <c r="W470" s="231"/>
      <c r="X470" s="131"/>
      <c r="Y470" s="53"/>
      <c r="Z470" s="110"/>
      <c r="AA470" s="110"/>
      <c r="AB470" s="110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</row>
    <row r="471" spans="1:47" hidden="1">
      <c r="A471" s="169" t="s">
        <v>143</v>
      </c>
      <c r="B471" s="169"/>
      <c r="C471" s="227">
        <v>0</v>
      </c>
      <c r="D471" s="247">
        <v>104.52000000000001</v>
      </c>
      <c r="E471" s="229"/>
      <c r="F471" s="131">
        <f t="shared" ref="F471:F480" si="139">F506+F541</f>
        <v>0</v>
      </c>
      <c r="G471" s="247">
        <v>104.52000000000001</v>
      </c>
      <c r="H471" s="229"/>
      <c r="I471" s="131">
        <f t="shared" ref="I471:I480" si="140">I506+I541</f>
        <v>0</v>
      </c>
      <c r="J471" s="247">
        <f>J457</f>
        <v>115.19999999999999</v>
      </c>
      <c r="K471" s="229"/>
      <c r="L471" s="131">
        <f t="shared" ref="L471:L480" si="141">L506+L541</f>
        <v>0</v>
      </c>
      <c r="M471" s="131"/>
      <c r="N471" s="247">
        <f>N457</f>
        <v>115.19999999999999</v>
      </c>
      <c r="O471" s="229"/>
      <c r="P471" s="131">
        <f t="shared" ref="P471:P480" si="142">P506+P541</f>
        <v>0</v>
      </c>
      <c r="Q471" s="131"/>
      <c r="R471" s="247" t="str">
        <f>R457</f>
        <v xml:space="preserve"> </v>
      </c>
      <c r="S471" s="229"/>
      <c r="T471" s="131">
        <f t="shared" ref="T471:T480" si="143">T506+T541</f>
        <v>0</v>
      </c>
      <c r="U471" s="131"/>
      <c r="V471" s="247" t="str">
        <f>V457</f>
        <v xml:space="preserve"> </v>
      </c>
      <c r="W471" s="229"/>
      <c r="X471" s="131">
        <f t="shared" ref="X471:X480" si="144">X506+X541</f>
        <v>0</v>
      </c>
      <c r="Y471" s="53"/>
      <c r="Z471" s="110"/>
      <c r="AA471" s="110"/>
      <c r="AB471" s="110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</row>
    <row r="472" spans="1:47" hidden="1">
      <c r="A472" s="169" t="s">
        <v>144</v>
      </c>
      <c r="B472" s="169"/>
      <c r="C472" s="227">
        <v>0</v>
      </c>
      <c r="D472" s="247">
        <v>155.76</v>
      </c>
      <c r="E472" s="229"/>
      <c r="F472" s="131">
        <f t="shared" si="139"/>
        <v>0</v>
      </c>
      <c r="G472" s="247">
        <v>155.76</v>
      </c>
      <c r="H472" s="229"/>
      <c r="I472" s="131">
        <f t="shared" si="140"/>
        <v>0</v>
      </c>
      <c r="J472" s="247">
        <f>J458</f>
        <v>171.60000000000002</v>
      </c>
      <c r="K472" s="229"/>
      <c r="L472" s="131">
        <f t="shared" si="141"/>
        <v>0</v>
      </c>
      <c r="M472" s="131"/>
      <c r="N472" s="247">
        <f>N458</f>
        <v>171.60000000000002</v>
      </c>
      <c r="O472" s="229"/>
      <c r="P472" s="131">
        <f t="shared" si="142"/>
        <v>0</v>
      </c>
      <c r="Q472" s="131"/>
      <c r="R472" s="247" t="str">
        <f>R458</f>
        <v xml:space="preserve"> </v>
      </c>
      <c r="S472" s="229"/>
      <c r="T472" s="131">
        <f t="shared" si="143"/>
        <v>0</v>
      </c>
      <c r="U472" s="131"/>
      <c r="V472" s="247" t="str">
        <f>V458</f>
        <v xml:space="preserve"> </v>
      </c>
      <c r="W472" s="229"/>
      <c r="X472" s="131">
        <f t="shared" si="144"/>
        <v>0</v>
      </c>
      <c r="Y472" s="53"/>
      <c r="Z472" s="110"/>
      <c r="AA472" s="270" t="s">
        <v>0</v>
      </c>
      <c r="AB472" s="110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</row>
    <row r="473" spans="1:47" hidden="1">
      <c r="A473" s="169" t="s">
        <v>160</v>
      </c>
      <c r="B473" s="169"/>
      <c r="C473" s="227">
        <v>0</v>
      </c>
      <c r="D473" s="247">
        <v>11.040000000000001</v>
      </c>
      <c r="E473" s="229"/>
      <c r="F473" s="131">
        <f t="shared" si="139"/>
        <v>0</v>
      </c>
      <c r="G473" s="247">
        <v>11.040000000000001</v>
      </c>
      <c r="H473" s="229"/>
      <c r="I473" s="131">
        <f t="shared" si="140"/>
        <v>0</v>
      </c>
      <c r="J473" s="247">
        <f>J459</f>
        <v>12</v>
      </c>
      <c r="K473" s="229"/>
      <c r="L473" s="131">
        <f t="shared" si="141"/>
        <v>0</v>
      </c>
      <c r="M473" s="131"/>
      <c r="N473" s="247">
        <f>N459</f>
        <v>12</v>
      </c>
      <c r="O473" s="229"/>
      <c r="P473" s="131">
        <f t="shared" si="142"/>
        <v>0</v>
      </c>
      <c r="Q473" s="131"/>
      <c r="R473" s="247" t="str">
        <f>R459</f>
        <v xml:space="preserve"> </v>
      </c>
      <c r="S473" s="229"/>
      <c r="T473" s="131">
        <f t="shared" si="143"/>
        <v>0</v>
      </c>
      <c r="U473" s="131"/>
      <c r="V473" s="247" t="str">
        <f>V459</f>
        <v xml:space="preserve"> </v>
      </c>
      <c r="W473" s="229"/>
      <c r="X473" s="131">
        <f t="shared" si="144"/>
        <v>0</v>
      </c>
      <c r="Y473" s="53"/>
      <c r="Z473" s="110"/>
      <c r="AA473" s="110"/>
      <c r="AB473" s="110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</row>
    <row r="474" spans="1:47" hidden="1">
      <c r="A474" s="169" t="s">
        <v>161</v>
      </c>
      <c r="B474" s="169"/>
      <c r="C474" s="227">
        <v>0</v>
      </c>
      <c r="D474" s="247">
        <v>3.4</v>
      </c>
      <c r="E474" s="231"/>
      <c r="F474" s="131">
        <f t="shared" si="139"/>
        <v>0</v>
      </c>
      <c r="G474" s="247">
        <v>3.61</v>
      </c>
      <c r="H474" s="231"/>
      <c r="I474" s="131">
        <f t="shared" si="140"/>
        <v>0</v>
      </c>
      <c r="J474" s="247">
        <f>J462</f>
        <v>3.64</v>
      </c>
      <c r="K474" s="231"/>
      <c r="L474" s="131">
        <f t="shared" si="141"/>
        <v>0</v>
      </c>
      <c r="M474" s="131"/>
      <c r="N474" s="247">
        <f>N462</f>
        <v>0.48</v>
      </c>
      <c r="O474" s="231"/>
      <c r="P474" s="131">
        <f t="shared" si="142"/>
        <v>0</v>
      </c>
      <c r="Q474" s="131"/>
      <c r="R474" s="247">
        <f>R462</f>
        <v>0.63</v>
      </c>
      <c r="S474" s="231"/>
      <c r="T474" s="131">
        <f t="shared" si="143"/>
        <v>0</v>
      </c>
      <c r="U474" s="131"/>
      <c r="V474" s="247">
        <f>V462</f>
        <v>2.54</v>
      </c>
      <c r="W474" s="231"/>
      <c r="X474" s="131">
        <f t="shared" si="144"/>
        <v>0</v>
      </c>
      <c r="Y474" s="53"/>
      <c r="Z474" s="110"/>
      <c r="AA474" s="110"/>
      <c r="AB474" s="110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</row>
    <row r="475" spans="1:47" hidden="1">
      <c r="A475" s="169" t="s">
        <v>162</v>
      </c>
      <c r="B475" s="169"/>
      <c r="C475" s="227">
        <v>0</v>
      </c>
      <c r="D475" s="248">
        <v>9.766</v>
      </c>
      <c r="E475" s="231" t="s">
        <v>107</v>
      </c>
      <c r="F475" s="131">
        <f t="shared" si="139"/>
        <v>0</v>
      </c>
      <c r="G475" s="248">
        <v>10.359</v>
      </c>
      <c r="H475" s="231" t="s">
        <v>107</v>
      </c>
      <c r="I475" s="131">
        <f t="shared" si="140"/>
        <v>0</v>
      </c>
      <c r="J475" s="248">
        <f>J463</f>
        <v>10.449</v>
      </c>
      <c r="K475" s="231" t="s">
        <v>107</v>
      </c>
      <c r="L475" s="131">
        <f t="shared" si="141"/>
        <v>0</v>
      </c>
      <c r="M475" s="131"/>
      <c r="N475" s="248">
        <f>N463</f>
        <v>1.3644187751662151</v>
      </c>
      <c r="O475" s="231" t="s">
        <v>107</v>
      </c>
      <c r="P475" s="131">
        <f t="shared" si="142"/>
        <v>0</v>
      </c>
      <c r="Q475" s="131"/>
      <c r="R475" s="248">
        <f>R463</f>
        <v>1.7973223544650079</v>
      </c>
      <c r="S475" s="231" t="s">
        <v>107</v>
      </c>
      <c r="T475" s="131">
        <f t="shared" si="143"/>
        <v>0</v>
      </c>
      <c r="U475" s="131"/>
      <c r="V475" s="248">
        <f>V463</f>
        <v>7.2874254450520697</v>
      </c>
      <c r="W475" s="231" t="s">
        <v>107</v>
      </c>
      <c r="X475" s="131">
        <f t="shared" si="144"/>
        <v>0</v>
      </c>
      <c r="Y475" s="53"/>
      <c r="Z475" s="110"/>
      <c r="AA475" s="110"/>
      <c r="AB475" s="110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</row>
    <row r="476" spans="1:47" hidden="1">
      <c r="A476" s="169" t="s">
        <v>150</v>
      </c>
      <c r="B476" s="169"/>
      <c r="C476" s="227">
        <v>0</v>
      </c>
      <c r="D476" s="248">
        <v>6.7460000000000004</v>
      </c>
      <c r="E476" s="231" t="s">
        <v>107</v>
      </c>
      <c r="F476" s="131">
        <f t="shared" si="139"/>
        <v>0</v>
      </c>
      <c r="G476" s="248">
        <v>7.1559999999999997</v>
      </c>
      <c r="H476" s="231" t="s">
        <v>107</v>
      </c>
      <c r="I476" s="131">
        <f t="shared" si="140"/>
        <v>0</v>
      </c>
      <c r="J476" s="248">
        <f>J464</f>
        <v>7.218</v>
      </c>
      <c r="K476" s="231" t="s">
        <v>107</v>
      </c>
      <c r="L476" s="131">
        <f t="shared" si="141"/>
        <v>0</v>
      </c>
      <c r="M476" s="131"/>
      <c r="N476" s="248">
        <f>N464</f>
        <v>0.94251839115112013</v>
      </c>
      <c r="O476" s="231" t="s">
        <v>107</v>
      </c>
      <c r="P476" s="131">
        <f t="shared" si="142"/>
        <v>0</v>
      </c>
      <c r="Q476" s="131"/>
      <c r="R476" s="248">
        <f>R464</f>
        <v>1.2418703884281421</v>
      </c>
      <c r="S476" s="231" t="s">
        <v>107</v>
      </c>
      <c r="T476" s="131">
        <f t="shared" si="143"/>
        <v>0</v>
      </c>
      <c r="U476" s="131"/>
      <c r="V476" s="248">
        <f>V464</f>
        <v>5.0333446832527242</v>
      </c>
      <c r="W476" s="231" t="s">
        <v>107</v>
      </c>
      <c r="X476" s="131">
        <f t="shared" si="144"/>
        <v>0</v>
      </c>
      <c r="Y476" s="53"/>
      <c r="Z476" s="110"/>
      <c r="AA476" s="110"/>
      <c r="AB476" s="110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</row>
    <row r="477" spans="1:47" hidden="1">
      <c r="A477" s="169" t="s">
        <v>151</v>
      </c>
      <c r="B477" s="169"/>
      <c r="C477" s="227">
        <v>0</v>
      </c>
      <c r="D477" s="248">
        <v>5.8120000000000003</v>
      </c>
      <c r="E477" s="231" t="s">
        <v>107</v>
      </c>
      <c r="F477" s="131">
        <f t="shared" si="139"/>
        <v>0</v>
      </c>
      <c r="G477" s="248">
        <v>6.1660000000000004</v>
      </c>
      <c r="H477" s="231" t="s">
        <v>107</v>
      </c>
      <c r="I477" s="131">
        <f t="shared" si="140"/>
        <v>0</v>
      </c>
      <c r="J477" s="248">
        <f>J465</f>
        <v>6.218</v>
      </c>
      <c r="K477" s="231" t="s">
        <v>107</v>
      </c>
      <c r="L477" s="131">
        <f t="shared" si="141"/>
        <v>0</v>
      </c>
      <c r="M477" s="131"/>
      <c r="N477" s="248">
        <f>N465</f>
        <v>0.81193939748297494</v>
      </c>
      <c r="O477" s="231" t="s">
        <v>107</v>
      </c>
      <c r="P477" s="131">
        <f t="shared" si="142"/>
        <v>0</v>
      </c>
      <c r="Q477" s="131"/>
      <c r="R477" s="248">
        <f>R465</f>
        <v>1.0689569190308457</v>
      </c>
      <c r="S477" s="231" t="s">
        <v>107</v>
      </c>
      <c r="T477" s="131">
        <f t="shared" si="143"/>
        <v>0</v>
      </c>
      <c r="U477" s="131"/>
      <c r="V477" s="248">
        <f>V465</f>
        <v>4.3370117827017491</v>
      </c>
      <c r="W477" s="231" t="s">
        <v>107</v>
      </c>
      <c r="X477" s="131">
        <f t="shared" si="144"/>
        <v>0</v>
      </c>
      <c r="Y477" s="53"/>
      <c r="Z477" s="110"/>
      <c r="AA477" s="110"/>
      <c r="AB477" s="110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</row>
    <row r="478" spans="1:47" hidden="1">
      <c r="A478" s="169" t="s">
        <v>152</v>
      </c>
      <c r="B478" s="169"/>
      <c r="C478" s="227">
        <v>0</v>
      </c>
      <c r="D478" s="249">
        <v>56</v>
      </c>
      <c r="E478" s="231" t="s">
        <v>107</v>
      </c>
      <c r="F478" s="131">
        <f t="shared" si="139"/>
        <v>0</v>
      </c>
      <c r="G478" s="249">
        <v>56</v>
      </c>
      <c r="H478" s="231" t="s">
        <v>107</v>
      </c>
      <c r="I478" s="131">
        <f t="shared" si="140"/>
        <v>0</v>
      </c>
      <c r="J478" s="249">
        <f>J466</f>
        <v>56</v>
      </c>
      <c r="K478" s="231" t="s">
        <v>107</v>
      </c>
      <c r="L478" s="131">
        <f t="shared" si="141"/>
        <v>0</v>
      </c>
      <c r="M478" s="131"/>
      <c r="N478" s="249" t="str">
        <f>N466</f>
        <v xml:space="preserve"> </v>
      </c>
      <c r="O478" s="231" t="s">
        <v>107</v>
      </c>
      <c r="P478" s="131">
        <f t="shared" si="142"/>
        <v>0</v>
      </c>
      <c r="Q478" s="131"/>
      <c r="R478" s="249">
        <f>R466</f>
        <v>11</v>
      </c>
      <c r="S478" s="231" t="s">
        <v>107</v>
      </c>
      <c r="T478" s="131">
        <f t="shared" si="143"/>
        <v>0</v>
      </c>
      <c r="U478" s="131"/>
      <c r="V478" s="249">
        <f>V466</f>
        <v>45</v>
      </c>
      <c r="W478" s="231" t="s">
        <v>107</v>
      </c>
      <c r="X478" s="131">
        <f t="shared" si="144"/>
        <v>0</v>
      </c>
      <c r="Y478" s="53"/>
      <c r="Z478" s="110"/>
      <c r="AA478" s="110"/>
      <c r="AB478" s="110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</row>
    <row r="479" spans="1:47" hidden="1">
      <c r="A479" s="169" t="s">
        <v>163</v>
      </c>
      <c r="B479" s="169"/>
      <c r="C479" s="227">
        <v>0</v>
      </c>
      <c r="D479" s="250">
        <v>60</v>
      </c>
      <c r="E479" s="229"/>
      <c r="F479" s="131">
        <f t="shared" si="139"/>
        <v>0</v>
      </c>
      <c r="G479" s="250">
        <v>60</v>
      </c>
      <c r="H479" s="231"/>
      <c r="I479" s="131">
        <f t="shared" si="140"/>
        <v>0</v>
      </c>
      <c r="J479" s="250">
        <f>$J$198</f>
        <v>60</v>
      </c>
      <c r="K479" s="231"/>
      <c r="L479" s="131">
        <f t="shared" si="141"/>
        <v>0</v>
      </c>
      <c r="M479" s="131"/>
      <c r="N479" s="250" t="str">
        <f>$N$198</f>
        <v xml:space="preserve"> </v>
      </c>
      <c r="O479" s="231"/>
      <c r="P479" s="131">
        <f t="shared" si="142"/>
        <v>0</v>
      </c>
      <c r="Q479" s="131"/>
      <c r="R479" s="250">
        <f>$R$198</f>
        <v>11.86</v>
      </c>
      <c r="S479" s="231"/>
      <c r="T479" s="131">
        <f t="shared" si="143"/>
        <v>0</v>
      </c>
      <c r="U479" s="131"/>
      <c r="V479" s="250">
        <f>$V$198</f>
        <v>48.14</v>
      </c>
      <c r="W479" s="231"/>
      <c r="X479" s="131">
        <f t="shared" si="144"/>
        <v>0</v>
      </c>
      <c r="Y479" s="53"/>
      <c r="Z479" s="110"/>
      <c r="AA479" s="110"/>
      <c r="AB479" s="110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</row>
    <row r="480" spans="1:47" hidden="1">
      <c r="A480" s="169" t="s">
        <v>164</v>
      </c>
      <c r="B480" s="169"/>
      <c r="C480" s="227">
        <v>0</v>
      </c>
      <c r="D480" s="251">
        <v>-30</v>
      </c>
      <c r="E480" s="229" t="s">
        <v>107</v>
      </c>
      <c r="F480" s="131">
        <f t="shared" si="139"/>
        <v>0</v>
      </c>
      <c r="G480" s="251">
        <v>-30</v>
      </c>
      <c r="H480" s="231" t="s">
        <v>107</v>
      </c>
      <c r="I480" s="131">
        <f t="shared" si="140"/>
        <v>0</v>
      </c>
      <c r="J480" s="251">
        <f>$J$199</f>
        <v>-30</v>
      </c>
      <c r="K480" s="231" t="s">
        <v>107</v>
      </c>
      <c r="L480" s="131">
        <f t="shared" si="141"/>
        <v>0</v>
      </c>
      <c r="M480" s="131"/>
      <c r="N480" s="251">
        <f>$N$199</f>
        <v>-30</v>
      </c>
      <c r="O480" s="231" t="s">
        <v>107</v>
      </c>
      <c r="P480" s="131">
        <f t="shared" si="142"/>
        <v>0</v>
      </c>
      <c r="Q480" s="131"/>
      <c r="R480" s="251" t="str">
        <f>$R$199</f>
        <v xml:space="preserve"> </v>
      </c>
      <c r="S480" s="231" t="s">
        <v>107</v>
      </c>
      <c r="T480" s="131">
        <f t="shared" si="143"/>
        <v>0</v>
      </c>
      <c r="U480" s="131"/>
      <c r="V480" s="251" t="str">
        <f>$V$199</f>
        <v xml:space="preserve"> </v>
      </c>
      <c r="W480" s="231" t="s">
        <v>107</v>
      </c>
      <c r="X480" s="131">
        <f t="shared" si="144"/>
        <v>0</v>
      </c>
      <c r="Y480" s="53"/>
      <c r="Z480" s="110"/>
      <c r="AA480" s="110"/>
      <c r="AB480" s="110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</row>
    <row r="481" spans="1:47" s="141" customFormat="1" hidden="1">
      <c r="A481" s="140" t="s">
        <v>153</v>
      </c>
      <c r="C481" s="142">
        <f>C475</f>
        <v>0</v>
      </c>
      <c r="D481" s="138"/>
      <c r="E481" s="143"/>
      <c r="F481" s="144"/>
      <c r="G481" s="138"/>
      <c r="H481" s="143"/>
      <c r="I481" s="144"/>
      <c r="J481" s="145">
        <f>J183</f>
        <v>0</v>
      </c>
      <c r="K481" s="240" t="s">
        <v>107</v>
      </c>
      <c r="L481" s="144">
        <f>L522+L562</f>
        <v>0</v>
      </c>
      <c r="M481" s="144"/>
      <c r="N481" s="145" t="str">
        <f>N183</f>
        <v xml:space="preserve"> </v>
      </c>
      <c r="O481" s="240" t="s">
        <v>107</v>
      </c>
      <c r="P481" s="144">
        <f>P522+P562</f>
        <v>0</v>
      </c>
      <c r="Q481" s="144"/>
      <c r="R481" s="145" t="str">
        <f>R183</f>
        <v xml:space="preserve"> </v>
      </c>
      <c r="S481" s="240" t="s">
        <v>107</v>
      </c>
      <c r="T481" s="144">
        <f>T522+T562</f>
        <v>0</v>
      </c>
      <c r="U481" s="144"/>
      <c r="V481" s="145">
        <f>V183</f>
        <v>0</v>
      </c>
      <c r="W481" s="240" t="s">
        <v>107</v>
      </c>
      <c r="X481" s="144">
        <f>X522+X562</f>
        <v>0</v>
      </c>
      <c r="Z481" s="132"/>
      <c r="AC481" s="148"/>
      <c r="AD481" s="148"/>
      <c r="AI481" s="143"/>
      <c r="AJ481" s="143"/>
      <c r="AK481" s="143"/>
      <c r="AL481" s="143"/>
      <c r="AM481" s="143"/>
      <c r="AN481" s="143"/>
      <c r="AO481" s="143"/>
      <c r="AP481" s="143"/>
      <c r="AQ481" s="143"/>
      <c r="AR481" s="143"/>
      <c r="AS481" s="143"/>
      <c r="AU481" s="147"/>
    </row>
    <row r="482" spans="1:47" s="141" customFormat="1" hidden="1">
      <c r="A482" s="140" t="s">
        <v>154</v>
      </c>
      <c r="C482" s="142">
        <f>C476</f>
        <v>0</v>
      </c>
      <c r="D482" s="138"/>
      <c r="E482" s="143"/>
      <c r="F482" s="144"/>
      <c r="G482" s="138"/>
      <c r="H482" s="143"/>
      <c r="I482" s="144"/>
      <c r="J482" s="145">
        <f>J184</f>
        <v>0</v>
      </c>
      <c r="K482" s="240" t="s">
        <v>107</v>
      </c>
      <c r="L482" s="144">
        <f>L523+L563</f>
        <v>0</v>
      </c>
      <c r="M482" s="144"/>
      <c r="N482" s="145" t="str">
        <f>N184</f>
        <v xml:space="preserve"> </v>
      </c>
      <c r="O482" s="240" t="s">
        <v>107</v>
      </c>
      <c r="P482" s="144">
        <f>P523+P563</f>
        <v>0</v>
      </c>
      <c r="Q482" s="144"/>
      <c r="R482" s="145" t="str">
        <f>R184</f>
        <v xml:space="preserve"> </v>
      </c>
      <c r="S482" s="240" t="s">
        <v>107</v>
      </c>
      <c r="T482" s="144">
        <f>T523+T563</f>
        <v>0</v>
      </c>
      <c r="U482" s="144"/>
      <c r="V482" s="145">
        <f>V184</f>
        <v>0</v>
      </c>
      <c r="W482" s="240" t="s">
        <v>107</v>
      </c>
      <c r="X482" s="144">
        <f>X523+X563</f>
        <v>0</v>
      </c>
      <c r="Z482" s="132"/>
      <c r="AC482" s="148"/>
      <c r="AD482" s="148"/>
      <c r="AI482" s="143"/>
      <c r="AJ482" s="143"/>
      <c r="AK482" s="143"/>
      <c r="AL482" s="143"/>
      <c r="AM482" s="143"/>
      <c r="AN482" s="143"/>
      <c r="AO482" s="143"/>
      <c r="AP482" s="143"/>
      <c r="AQ482" s="143"/>
      <c r="AR482" s="143"/>
      <c r="AS482" s="143"/>
      <c r="AU482" s="147"/>
    </row>
    <row r="483" spans="1:47" s="141" customFormat="1" hidden="1">
      <c r="A483" s="140" t="s">
        <v>155</v>
      </c>
      <c r="C483" s="142">
        <f>C477</f>
        <v>0</v>
      </c>
      <c r="D483" s="138"/>
      <c r="E483" s="143"/>
      <c r="F483" s="144"/>
      <c r="G483" s="138"/>
      <c r="H483" s="143"/>
      <c r="I483" s="144"/>
      <c r="J483" s="145">
        <f>J185</f>
        <v>0</v>
      </c>
      <c r="K483" s="240" t="s">
        <v>107</v>
      </c>
      <c r="L483" s="144">
        <f>L524+L564</f>
        <v>0</v>
      </c>
      <c r="M483" s="144"/>
      <c r="N483" s="145" t="str">
        <f>N185</f>
        <v xml:space="preserve"> </v>
      </c>
      <c r="O483" s="240" t="s">
        <v>107</v>
      </c>
      <c r="P483" s="144">
        <f>P524+P564</f>
        <v>0</v>
      </c>
      <c r="Q483" s="144"/>
      <c r="R483" s="145" t="str">
        <f>R185</f>
        <v xml:space="preserve"> </v>
      </c>
      <c r="S483" s="240" t="s">
        <v>107</v>
      </c>
      <c r="T483" s="144">
        <f>T524+T564</f>
        <v>0</v>
      </c>
      <c r="U483" s="144"/>
      <c r="V483" s="145">
        <f>V185</f>
        <v>0</v>
      </c>
      <c r="W483" s="240" t="s">
        <v>107</v>
      </c>
      <c r="X483" s="144">
        <f>X524+X564</f>
        <v>0</v>
      </c>
      <c r="Z483" s="132"/>
      <c r="AC483" s="148"/>
      <c r="AD483" s="148"/>
      <c r="AI483" s="143"/>
      <c r="AJ483" s="143"/>
      <c r="AK483" s="143"/>
      <c r="AL483" s="143"/>
      <c r="AM483" s="143"/>
      <c r="AN483" s="143"/>
      <c r="AO483" s="143"/>
      <c r="AP483" s="143"/>
      <c r="AQ483" s="143"/>
      <c r="AR483" s="143"/>
      <c r="AS483" s="143"/>
      <c r="AU483" s="147"/>
    </row>
    <row r="484" spans="1:47" hidden="1">
      <c r="A484" s="169" t="s">
        <v>133</v>
      </c>
      <c r="B484" s="169"/>
      <c r="C484" s="227">
        <f>C519+C554</f>
        <v>470005</v>
      </c>
      <c r="D484" s="232"/>
      <c r="E484" s="131"/>
      <c r="F484" s="131">
        <f t="shared" ref="F484" si="145">F519+F554</f>
        <v>116569</v>
      </c>
      <c r="G484" s="232"/>
      <c r="H484" s="231"/>
      <c r="I484" s="131">
        <f>I519+I554</f>
        <v>120570</v>
      </c>
      <c r="J484" s="131"/>
      <c r="K484" s="231"/>
      <c r="L484" s="131">
        <f t="shared" ref="L484" si="146">L519+L554</f>
        <v>125758</v>
      </c>
      <c r="M484" s="131"/>
      <c r="N484" s="131"/>
      <c r="O484" s="231"/>
      <c r="P484" s="131">
        <f t="shared" ref="P484" si="147">P519+P554</f>
        <v>64409</v>
      </c>
      <c r="Q484" s="131"/>
      <c r="R484" s="131"/>
      <c r="S484" s="231"/>
      <c r="T484" s="131">
        <f t="shared" ref="T484" si="148">T519+T554</f>
        <v>12181</v>
      </c>
      <c r="U484" s="131"/>
      <c r="V484" s="131"/>
      <c r="W484" s="231"/>
      <c r="X484" s="131">
        <f t="shared" ref="X484" si="149">X519+X554</f>
        <v>49259</v>
      </c>
      <c r="Y484" s="53"/>
      <c r="Z484" s="110"/>
      <c r="AA484" s="110"/>
      <c r="AB484" s="110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</row>
    <row r="485" spans="1:47" hidden="1">
      <c r="A485" s="169" t="s">
        <v>111</v>
      </c>
      <c r="B485" s="169"/>
      <c r="C485" s="253">
        <f>C520+C555</f>
        <v>-1455.4651470486108</v>
      </c>
      <c r="D485" s="154"/>
      <c r="E485" s="154"/>
      <c r="F485" s="254">
        <f>I485</f>
        <v>-342.84775965875946</v>
      </c>
      <c r="G485" s="154"/>
      <c r="H485" s="154"/>
      <c r="I485" s="254">
        <f>I520+I555</f>
        <v>-342.84775965875946</v>
      </c>
      <c r="J485" s="154"/>
      <c r="K485" s="154"/>
      <c r="L485" s="254">
        <f>I485</f>
        <v>-342.84775965875946</v>
      </c>
      <c r="M485" s="230"/>
      <c r="N485" s="154"/>
      <c r="O485" s="154"/>
      <c r="P485" s="254">
        <f>P204/L204*L485</f>
        <v>-67.586059757941641</v>
      </c>
      <c r="Q485" s="230"/>
      <c r="R485" s="154"/>
      <c r="S485" s="154"/>
      <c r="T485" s="254">
        <f>T204/L204*L485</f>
        <v>-54.428310964762375</v>
      </c>
      <c r="U485" s="230"/>
      <c r="V485" s="154"/>
      <c r="W485" s="154"/>
      <c r="X485" s="254">
        <f>X204/L204*L485</f>
        <v>-220.8333889360554</v>
      </c>
      <c r="Y485" s="185"/>
      <c r="Z485" s="183"/>
      <c r="AA485" s="110"/>
      <c r="AB485" s="110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</row>
    <row r="486" spans="1:47" ht="16.5" hidden="1" thickBot="1">
      <c r="A486" s="169" t="s">
        <v>134</v>
      </c>
      <c r="B486" s="169"/>
      <c r="C486" s="214">
        <f>SUM(C484:C485)</f>
        <v>468549.53485295142</v>
      </c>
      <c r="D486" s="272"/>
      <c r="E486" s="256"/>
      <c r="F486" s="257">
        <f>F484+F485</f>
        <v>116226.15224034124</v>
      </c>
      <c r="G486" s="272"/>
      <c r="H486" s="258"/>
      <c r="I486" s="257">
        <f>I484+I485</f>
        <v>120227.15224034124</v>
      </c>
      <c r="J486" s="272"/>
      <c r="K486" s="258"/>
      <c r="L486" s="257">
        <f>L484+L485</f>
        <v>125415.15224034124</v>
      </c>
      <c r="M486" s="257"/>
      <c r="N486" s="272"/>
      <c r="O486" s="258"/>
      <c r="P486" s="257">
        <f>P484+P485</f>
        <v>64341.413940242055</v>
      </c>
      <c r="Q486" s="257"/>
      <c r="R486" s="272"/>
      <c r="S486" s="258"/>
      <c r="T486" s="257">
        <f>T484+T485</f>
        <v>12126.571689035238</v>
      </c>
      <c r="U486" s="257"/>
      <c r="V486" s="272"/>
      <c r="W486" s="258"/>
      <c r="X486" s="257">
        <f>X484+X485</f>
        <v>49038.166611063942</v>
      </c>
      <c r="Y486" s="186"/>
      <c r="Z486" s="187"/>
      <c r="AA486" s="110"/>
      <c r="AB486" s="110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</row>
    <row r="487" spans="1:47" hidden="1">
      <c r="A487" s="169"/>
      <c r="B487" s="169"/>
      <c r="C487" s="189"/>
      <c r="D487" s="250" t="s">
        <v>0</v>
      </c>
      <c r="E487" s="131"/>
      <c r="F487" s="131"/>
      <c r="G487" s="250" t="s">
        <v>0</v>
      </c>
      <c r="H487" s="169"/>
      <c r="I487" s="131"/>
      <c r="J487" s="277" t="s">
        <v>0</v>
      </c>
      <c r="K487" s="169"/>
      <c r="L487" s="131" t="s">
        <v>0</v>
      </c>
      <c r="M487" s="131"/>
      <c r="N487" s="277" t="s">
        <v>0</v>
      </c>
      <c r="O487" s="169"/>
      <c r="P487" s="131" t="s">
        <v>0</v>
      </c>
      <c r="Q487" s="131"/>
      <c r="R487" s="277" t="s">
        <v>0</v>
      </c>
      <c r="S487" s="169"/>
      <c r="T487" s="131" t="s">
        <v>0</v>
      </c>
      <c r="U487" s="131"/>
      <c r="V487" s="277" t="s">
        <v>0</v>
      </c>
      <c r="W487" s="169"/>
      <c r="X487" s="131" t="s">
        <v>0</v>
      </c>
      <c r="Y487" s="53"/>
      <c r="Z487" s="110"/>
      <c r="AA487" s="110"/>
      <c r="AB487" s="110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</row>
    <row r="488" spans="1:47" hidden="1">
      <c r="A488" s="188" t="s">
        <v>174</v>
      </c>
      <c r="B488" s="169"/>
      <c r="C488" s="169"/>
      <c r="D488" s="131"/>
      <c r="E488" s="131"/>
      <c r="F488" s="169" t="s">
        <v>0</v>
      </c>
      <c r="G488" s="131"/>
      <c r="H488" s="169"/>
      <c r="I488" s="169"/>
      <c r="J488" s="131"/>
      <c r="K488" s="169"/>
      <c r="L488" s="169"/>
      <c r="M488" s="169"/>
      <c r="N488" s="131"/>
      <c r="O488" s="169"/>
      <c r="P488" s="169"/>
      <c r="Q488" s="169"/>
      <c r="R488" s="131"/>
      <c r="S488" s="169"/>
      <c r="T488" s="169"/>
      <c r="U488" s="169"/>
      <c r="V488" s="131"/>
      <c r="W488" s="169"/>
      <c r="X488" s="169"/>
      <c r="Y488" s="53"/>
      <c r="Z488" s="110"/>
      <c r="AA488" s="110"/>
      <c r="AB488" s="110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</row>
    <row r="489" spans="1:47" hidden="1">
      <c r="A489" s="169" t="s">
        <v>169</v>
      </c>
      <c r="B489" s="169"/>
      <c r="C489" s="169"/>
      <c r="D489" s="131"/>
      <c r="E489" s="131"/>
      <c r="F489" s="169"/>
      <c r="G489" s="131"/>
      <c r="H489" s="169"/>
      <c r="I489" s="169"/>
      <c r="J489" s="131"/>
      <c r="K489" s="169"/>
      <c r="L489" s="169"/>
      <c r="M489" s="169"/>
      <c r="N489" s="131"/>
      <c r="O489" s="169"/>
      <c r="P489" s="169"/>
      <c r="Q489" s="169"/>
      <c r="R489" s="131"/>
      <c r="S489" s="169"/>
      <c r="T489" s="169"/>
      <c r="U489" s="169"/>
      <c r="V489" s="131"/>
      <c r="W489" s="169"/>
      <c r="X489" s="169"/>
      <c r="Y489" s="53"/>
      <c r="Z489" s="110"/>
      <c r="AA489" s="110"/>
      <c r="AB489" s="110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</row>
    <row r="490" spans="1:47" hidden="1">
      <c r="A490" s="169" t="s">
        <v>175</v>
      </c>
      <c r="B490" s="169"/>
      <c r="C490" s="169"/>
      <c r="D490" s="131"/>
      <c r="E490" s="131"/>
      <c r="F490" s="169"/>
      <c r="G490" s="131"/>
      <c r="H490" s="169"/>
      <c r="I490" s="169"/>
      <c r="J490" s="131"/>
      <c r="K490" s="169"/>
      <c r="L490" s="169"/>
      <c r="M490" s="169"/>
      <c r="N490" s="131"/>
      <c r="O490" s="169"/>
      <c r="P490" s="169"/>
      <c r="Q490" s="169"/>
      <c r="R490" s="131"/>
      <c r="S490" s="169"/>
      <c r="T490" s="169"/>
      <c r="U490" s="169"/>
      <c r="V490" s="131"/>
      <c r="W490" s="169"/>
      <c r="X490" s="169"/>
      <c r="Y490" s="53"/>
      <c r="Z490" s="110"/>
      <c r="AA490" s="110"/>
      <c r="AB490" s="110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</row>
    <row r="491" spans="1:47" hidden="1">
      <c r="A491" s="169" t="s">
        <v>146</v>
      </c>
      <c r="B491" s="169"/>
      <c r="C491" s="227"/>
      <c r="D491" s="131"/>
      <c r="E491" s="131"/>
      <c r="F491" s="169"/>
      <c r="G491" s="131"/>
      <c r="H491" s="169"/>
      <c r="I491" s="169"/>
      <c r="J491" s="131"/>
      <c r="K491" s="169"/>
      <c r="L491" s="169"/>
      <c r="M491" s="169"/>
      <c r="N491" s="131"/>
      <c r="O491" s="169"/>
      <c r="P491" s="169"/>
      <c r="Q491" s="169"/>
      <c r="R491" s="131"/>
      <c r="S491" s="169"/>
      <c r="T491" s="169"/>
      <c r="U491" s="169"/>
      <c r="V491" s="131"/>
      <c r="W491" s="169"/>
      <c r="X491" s="169"/>
      <c r="Y491" s="53"/>
      <c r="Z491" s="110"/>
      <c r="AA491" s="110"/>
      <c r="AB491" s="110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</row>
    <row r="492" spans="1:47" hidden="1">
      <c r="A492" s="169" t="s">
        <v>143</v>
      </c>
      <c r="B492" s="169"/>
      <c r="C492" s="227">
        <v>1</v>
      </c>
      <c r="D492" s="193">
        <v>104.52000000000001</v>
      </c>
      <c r="E492" s="229"/>
      <c r="F492" s="131">
        <f>ROUND(D492*$C492,0)</f>
        <v>105</v>
      </c>
      <c r="G492" s="193">
        <v>104.52000000000001</v>
      </c>
      <c r="H492" s="231"/>
      <c r="I492" s="131">
        <f>ROUND(G492*$C492,0)</f>
        <v>105</v>
      </c>
      <c r="J492" s="193">
        <f>$J$169</f>
        <v>115.19999999999999</v>
      </c>
      <c r="K492" s="231"/>
      <c r="L492" s="131">
        <f>ROUND(J492*$C492,0)</f>
        <v>115</v>
      </c>
      <c r="M492" s="131"/>
      <c r="N492" s="193">
        <f>$N$169</f>
        <v>115.19999999999999</v>
      </c>
      <c r="O492" s="231"/>
      <c r="P492" s="131">
        <f>ROUND(N492*$C492,0)</f>
        <v>115</v>
      </c>
      <c r="Q492" s="131"/>
      <c r="R492" s="193" t="str">
        <f>$R$169</f>
        <v xml:space="preserve"> </v>
      </c>
      <c r="S492" s="231"/>
      <c r="T492" s="131">
        <f>ROUND(R492*$C492,0)</f>
        <v>0</v>
      </c>
      <c r="U492" s="131"/>
      <c r="V492" s="193" t="str">
        <f>$V$169</f>
        <v xml:space="preserve"> </v>
      </c>
      <c r="W492" s="231"/>
      <c r="X492" s="131">
        <f>ROUND(V492*$C492,0)</f>
        <v>0</v>
      </c>
      <c r="Y492" s="53"/>
      <c r="Z492" s="110"/>
      <c r="AA492" s="110"/>
      <c r="AB492" s="110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</row>
    <row r="493" spans="1:47" hidden="1">
      <c r="A493" s="169" t="s">
        <v>144</v>
      </c>
      <c r="B493" s="169"/>
      <c r="C493" s="227">
        <v>85.216438356164403</v>
      </c>
      <c r="D493" s="193">
        <v>155.76</v>
      </c>
      <c r="E493" s="232"/>
      <c r="F493" s="131">
        <f>ROUND(D493*$C493,0)</f>
        <v>13273</v>
      </c>
      <c r="G493" s="193">
        <v>155.76</v>
      </c>
      <c r="H493" s="233"/>
      <c r="I493" s="131">
        <f t="shared" ref="I493:I494" si="150">ROUND(G493*$C493,0)</f>
        <v>13273</v>
      </c>
      <c r="J493" s="193">
        <f>$J$170</f>
        <v>171.60000000000002</v>
      </c>
      <c r="K493" s="233"/>
      <c r="L493" s="131">
        <f>ROUND(J493*$C493,0)</f>
        <v>14623</v>
      </c>
      <c r="M493" s="131"/>
      <c r="N493" s="193">
        <f>$N$170</f>
        <v>171.60000000000002</v>
      </c>
      <c r="O493" s="233"/>
      <c r="P493" s="131">
        <f>ROUND(N493*$C493,0)</f>
        <v>14623</v>
      </c>
      <c r="Q493" s="131"/>
      <c r="R493" s="193" t="str">
        <f>$R$170</f>
        <v xml:space="preserve"> </v>
      </c>
      <c r="S493" s="233"/>
      <c r="T493" s="131">
        <f>ROUND(R493*$C493,0)</f>
        <v>0</v>
      </c>
      <c r="U493" s="131"/>
      <c r="V493" s="193" t="str">
        <f>$V$170</f>
        <v xml:space="preserve"> </v>
      </c>
      <c r="W493" s="233"/>
      <c r="X493" s="131">
        <f>ROUND(V493*$C493,0)</f>
        <v>0</v>
      </c>
      <c r="Y493" s="53"/>
      <c r="Z493" s="110"/>
      <c r="AA493" s="110"/>
      <c r="AB493" s="110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</row>
    <row r="494" spans="1:47" hidden="1">
      <c r="A494" s="169" t="s">
        <v>145</v>
      </c>
      <c r="B494" s="169"/>
      <c r="C494" s="227">
        <v>3285.78082191781</v>
      </c>
      <c r="D494" s="193">
        <v>11.040000000000001</v>
      </c>
      <c r="E494" s="232"/>
      <c r="F494" s="131">
        <f>ROUND(D494*$C494,0)</f>
        <v>36275</v>
      </c>
      <c r="G494" s="193">
        <v>11.040000000000001</v>
      </c>
      <c r="H494" s="233"/>
      <c r="I494" s="131">
        <f t="shared" si="150"/>
        <v>36275</v>
      </c>
      <c r="J494" s="193">
        <f>$J$171</f>
        <v>12</v>
      </c>
      <c r="K494" s="233"/>
      <c r="L494" s="131">
        <f>ROUND(J494*$C494,0)</f>
        <v>39429</v>
      </c>
      <c r="M494" s="131"/>
      <c r="N494" s="193">
        <f>$N$171</f>
        <v>12</v>
      </c>
      <c r="O494" s="233"/>
      <c r="P494" s="131">
        <f>ROUND(N494*$C494,0)</f>
        <v>39429</v>
      </c>
      <c r="Q494" s="131"/>
      <c r="R494" s="193" t="str">
        <f>$R$171</f>
        <v xml:space="preserve"> </v>
      </c>
      <c r="S494" s="233"/>
      <c r="T494" s="131">
        <f>ROUND(R494*$C494,0)</f>
        <v>0</v>
      </c>
      <c r="U494" s="131"/>
      <c r="V494" s="193" t="str">
        <f>$V$171</f>
        <v xml:space="preserve"> </v>
      </c>
      <c r="W494" s="233"/>
      <c r="X494" s="131">
        <f>ROUND(V494*$C494,0)</f>
        <v>0</v>
      </c>
      <c r="Y494" s="53"/>
      <c r="Z494" s="110"/>
      <c r="AA494" s="110"/>
      <c r="AB494" s="110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</row>
    <row r="495" spans="1:47" hidden="1">
      <c r="A495" s="169" t="s">
        <v>147</v>
      </c>
      <c r="B495" s="169"/>
      <c r="C495" s="227">
        <f>SUM(C492:C493)</f>
        <v>86.216438356164403</v>
      </c>
      <c r="D495" s="193"/>
      <c r="E495" s="229"/>
      <c r="F495" s="131"/>
      <c r="G495" s="193"/>
      <c r="H495" s="231"/>
      <c r="I495" s="131"/>
      <c r="J495" s="193"/>
      <c r="K495" s="231"/>
      <c r="L495" s="131"/>
      <c r="M495" s="131"/>
      <c r="N495" s="193"/>
      <c r="O495" s="231"/>
      <c r="P495" s="131"/>
      <c r="Q495" s="131"/>
      <c r="R495" s="193"/>
      <c r="S495" s="231"/>
      <c r="T495" s="131"/>
      <c r="U495" s="131"/>
      <c r="V495" s="193"/>
      <c r="W495" s="231"/>
      <c r="X495" s="131"/>
      <c r="Y495" s="53"/>
      <c r="Z495" s="110"/>
      <c r="AA495" s="110"/>
      <c r="AB495" s="110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</row>
    <row r="496" spans="1:47" hidden="1">
      <c r="A496" s="169" t="s">
        <v>176</v>
      </c>
      <c r="B496" s="169"/>
      <c r="C496" s="227">
        <v>1009.0816666666664</v>
      </c>
      <c r="D496" s="193"/>
      <c r="E496" s="229"/>
      <c r="F496" s="131"/>
      <c r="G496" s="193"/>
      <c r="H496" s="231"/>
      <c r="I496" s="131"/>
      <c r="J496" s="193"/>
      <c r="K496" s="231"/>
      <c r="L496" s="131"/>
      <c r="M496" s="131"/>
      <c r="N496" s="193"/>
      <c r="O496" s="231"/>
      <c r="P496" s="131"/>
      <c r="Q496" s="131"/>
      <c r="R496" s="193"/>
      <c r="S496" s="231"/>
      <c r="T496" s="131"/>
      <c r="U496" s="131"/>
      <c r="V496" s="193"/>
      <c r="W496" s="231"/>
      <c r="X496" s="131"/>
      <c r="Y496" s="53"/>
      <c r="Z496" s="110"/>
      <c r="AA496" s="110"/>
      <c r="AB496" s="110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</row>
    <row r="497" spans="1:47" hidden="1">
      <c r="A497" s="169" t="s">
        <v>148</v>
      </c>
      <c r="B497" s="169"/>
      <c r="C497" s="227">
        <v>8708.8205882352995</v>
      </c>
      <c r="D497" s="250">
        <v>3.4</v>
      </c>
      <c r="E497" s="231"/>
      <c r="F497" s="131">
        <f>ROUND(D497*$C497,0)</f>
        <v>29610</v>
      </c>
      <c r="G497" s="250">
        <v>3.61</v>
      </c>
      <c r="H497" s="231"/>
      <c r="I497" s="131">
        <f>ROUND(G497*C497,0)</f>
        <v>31439</v>
      </c>
      <c r="J497" s="250">
        <f>$J$178</f>
        <v>3.64</v>
      </c>
      <c r="K497" s="231"/>
      <c r="L497" s="131">
        <f>ROUND(J497*$C497,0)</f>
        <v>31700</v>
      </c>
      <c r="M497" s="131"/>
      <c r="N497" s="250">
        <f>$N$178</f>
        <v>0.48</v>
      </c>
      <c r="O497" s="231"/>
      <c r="P497" s="131">
        <f>ROUND(N497*$C497,0)</f>
        <v>4180</v>
      </c>
      <c r="Q497" s="131"/>
      <c r="R497" s="250">
        <f>$R$178</f>
        <v>0.63</v>
      </c>
      <c r="S497" s="231"/>
      <c r="T497" s="131">
        <f>ROUND(R497*$C497,0)</f>
        <v>5487</v>
      </c>
      <c r="U497" s="131"/>
      <c r="V497" s="250">
        <f>$V$178</f>
        <v>2.54</v>
      </c>
      <c r="W497" s="231"/>
      <c r="X497" s="131">
        <f>ROUND(V497*$C497,0)</f>
        <v>22120</v>
      </c>
      <c r="Y497" s="53"/>
      <c r="Z497" s="110"/>
      <c r="AA497" s="110"/>
      <c r="AB497" s="110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</row>
    <row r="498" spans="1:47" hidden="1">
      <c r="A498" s="169" t="s">
        <v>149</v>
      </c>
      <c r="B498" s="169"/>
      <c r="C498" s="227">
        <v>146926</v>
      </c>
      <c r="D498" s="195">
        <v>9.766</v>
      </c>
      <c r="E498" s="231" t="s">
        <v>107</v>
      </c>
      <c r="F498" s="131">
        <f>ROUND(D498*$C498/100,0)</f>
        <v>14349</v>
      </c>
      <c r="G498" s="195">
        <v>10.359</v>
      </c>
      <c r="H498" s="231" t="s">
        <v>107</v>
      </c>
      <c r="I498" s="131">
        <f>ROUND(G498*C498/100,0)</f>
        <v>15220</v>
      </c>
      <c r="J498" s="195">
        <f>$J$179</f>
        <v>10.449</v>
      </c>
      <c r="K498" s="231" t="s">
        <v>107</v>
      </c>
      <c r="L498" s="131">
        <f>ROUND(J498*$C498/100,0)</f>
        <v>15352</v>
      </c>
      <c r="M498" s="131"/>
      <c r="N498" s="195">
        <f>$N$179</f>
        <v>1.3644187751662151</v>
      </c>
      <c r="O498" s="231" t="s">
        <v>107</v>
      </c>
      <c r="P498" s="131">
        <f>ROUND(N498*$C498/100,0)</f>
        <v>2005</v>
      </c>
      <c r="Q498" s="131"/>
      <c r="R498" s="195">
        <f>$R$179</f>
        <v>1.7973223544650079</v>
      </c>
      <c r="S498" s="231" t="s">
        <v>107</v>
      </c>
      <c r="T498" s="131">
        <f>ROUND(R498*$C498/100,0)</f>
        <v>2641</v>
      </c>
      <c r="U498" s="131"/>
      <c r="V498" s="195">
        <f>$V$179</f>
        <v>7.2874254450520697</v>
      </c>
      <c r="W498" s="231" t="s">
        <v>107</v>
      </c>
      <c r="X498" s="131">
        <f>ROUND(V498*$C498/100,0)</f>
        <v>10707</v>
      </c>
      <c r="Y498" s="53"/>
      <c r="Z498" s="110"/>
      <c r="AA498" s="110"/>
      <c r="AB498" s="110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</row>
    <row r="499" spans="1:47" hidden="1">
      <c r="A499" s="169" t="s">
        <v>150</v>
      </c>
      <c r="B499" s="169"/>
      <c r="C499" s="227">
        <v>139847</v>
      </c>
      <c r="D499" s="195">
        <v>6.7460000000000004</v>
      </c>
      <c r="E499" s="231" t="s">
        <v>107</v>
      </c>
      <c r="F499" s="131">
        <f>ROUND(D499*$C499/100,0)</f>
        <v>9434</v>
      </c>
      <c r="G499" s="195">
        <v>7.1559999999999997</v>
      </c>
      <c r="H499" s="231" t="s">
        <v>107</v>
      </c>
      <c r="I499" s="131">
        <f t="shared" ref="I499:I501" si="151">ROUND(G499*C499/100,0)</f>
        <v>10007</v>
      </c>
      <c r="J499" s="195">
        <f>$J$180</f>
        <v>7.218</v>
      </c>
      <c r="K499" s="231" t="s">
        <v>107</v>
      </c>
      <c r="L499" s="131">
        <f>ROUND(J499*$C499/100,0)</f>
        <v>10094</v>
      </c>
      <c r="M499" s="131"/>
      <c r="N499" s="195">
        <f>$N$180</f>
        <v>0.94251839115112013</v>
      </c>
      <c r="O499" s="231" t="s">
        <v>107</v>
      </c>
      <c r="P499" s="131">
        <f>ROUND(N499*$C499/100,0)</f>
        <v>1318</v>
      </c>
      <c r="Q499" s="131"/>
      <c r="R499" s="195">
        <f>$R$180</f>
        <v>1.2418703884281421</v>
      </c>
      <c r="S499" s="231" t="s">
        <v>107</v>
      </c>
      <c r="T499" s="131">
        <f>ROUND(R499*$C499/100,0)</f>
        <v>1737</v>
      </c>
      <c r="U499" s="131"/>
      <c r="V499" s="195">
        <f>$V$180</f>
        <v>5.0333446832527242</v>
      </c>
      <c r="W499" s="231" t="s">
        <v>107</v>
      </c>
      <c r="X499" s="131">
        <f>ROUND(V499*$C499/100,0)</f>
        <v>7039</v>
      </c>
      <c r="Y499" s="53"/>
      <c r="Z499" s="110"/>
      <c r="AA499" s="110"/>
      <c r="AB499" s="110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</row>
    <row r="500" spans="1:47" hidden="1">
      <c r="A500" s="169" t="s">
        <v>151</v>
      </c>
      <c r="B500" s="169"/>
      <c r="C500" s="227">
        <v>173680</v>
      </c>
      <c r="D500" s="195">
        <v>5.8120000000000003</v>
      </c>
      <c r="E500" s="231" t="s">
        <v>107</v>
      </c>
      <c r="F500" s="131">
        <f>ROUND(D500*$C500/100,0)</f>
        <v>10094</v>
      </c>
      <c r="G500" s="195">
        <v>6.1660000000000004</v>
      </c>
      <c r="H500" s="231" t="s">
        <v>107</v>
      </c>
      <c r="I500" s="131">
        <f t="shared" si="151"/>
        <v>10709</v>
      </c>
      <c r="J500" s="195">
        <f>$J$181</f>
        <v>6.218</v>
      </c>
      <c r="K500" s="231" t="s">
        <v>107</v>
      </c>
      <c r="L500" s="131">
        <f>ROUND(J500*$C500/100,0)</f>
        <v>10799</v>
      </c>
      <c r="M500" s="131"/>
      <c r="N500" s="195">
        <f>$N$181</f>
        <v>0.81193939748297494</v>
      </c>
      <c r="O500" s="231" t="s">
        <v>107</v>
      </c>
      <c r="P500" s="131">
        <f>ROUND(N500*$C500/100,0)</f>
        <v>1410</v>
      </c>
      <c r="Q500" s="131"/>
      <c r="R500" s="195">
        <f>$R$181</f>
        <v>1.0689569190308457</v>
      </c>
      <c r="S500" s="231" t="s">
        <v>107</v>
      </c>
      <c r="T500" s="131">
        <f>ROUND(R500*$C500/100,0)</f>
        <v>1857</v>
      </c>
      <c r="U500" s="131"/>
      <c r="V500" s="195">
        <f>$V$181</f>
        <v>4.3370117827017491</v>
      </c>
      <c r="W500" s="231" t="s">
        <v>107</v>
      </c>
      <c r="X500" s="131">
        <f>ROUND(V500*$C500/100,0)</f>
        <v>7533</v>
      </c>
      <c r="Y500" s="53"/>
      <c r="Z500" s="110"/>
      <c r="AA500" s="110"/>
      <c r="AB500" s="110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</row>
    <row r="501" spans="1:47" hidden="1">
      <c r="A501" s="169" t="s">
        <v>152</v>
      </c>
      <c r="B501" s="169"/>
      <c r="C501" s="227">
        <v>1100.8816666666701</v>
      </c>
      <c r="D501" s="237">
        <v>56</v>
      </c>
      <c r="E501" s="229" t="s">
        <v>107</v>
      </c>
      <c r="F501" s="131">
        <f>ROUND(D501*$C501/100,0)</f>
        <v>616</v>
      </c>
      <c r="G501" s="237">
        <v>56</v>
      </c>
      <c r="H501" s="231" t="s">
        <v>107</v>
      </c>
      <c r="I501" s="131">
        <f t="shared" si="151"/>
        <v>616</v>
      </c>
      <c r="J501" s="237">
        <f>$J$182</f>
        <v>56</v>
      </c>
      <c r="K501" s="231" t="s">
        <v>107</v>
      </c>
      <c r="L501" s="131">
        <f>ROUND(J501*$C501/100,0)</f>
        <v>616</v>
      </c>
      <c r="M501" s="131"/>
      <c r="N501" s="237" t="str">
        <f>$N$182</f>
        <v xml:space="preserve"> </v>
      </c>
      <c r="O501" s="231" t="s">
        <v>107</v>
      </c>
      <c r="P501" s="131">
        <f>ROUND(N501*$C501/100,0)</f>
        <v>0</v>
      </c>
      <c r="Q501" s="131"/>
      <c r="R501" s="237">
        <f>$R$182</f>
        <v>11</v>
      </c>
      <c r="S501" s="231" t="s">
        <v>107</v>
      </c>
      <c r="T501" s="131">
        <f>ROUND(R501*$C501/100,0)</f>
        <v>121</v>
      </c>
      <c r="U501" s="131"/>
      <c r="V501" s="237">
        <f>$V$182</f>
        <v>45</v>
      </c>
      <c r="W501" s="231" t="s">
        <v>107</v>
      </c>
      <c r="X501" s="131">
        <f>ROUND(V501*$C501/100,0)</f>
        <v>495</v>
      </c>
      <c r="Y501" s="53"/>
      <c r="Z501" s="110"/>
      <c r="AA501" s="110"/>
      <c r="AB501" s="110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</row>
    <row r="502" spans="1:47" s="141" customFormat="1" hidden="1">
      <c r="A502" s="140" t="s">
        <v>153</v>
      </c>
      <c r="C502" s="142">
        <f>C498</f>
        <v>146926</v>
      </c>
      <c r="D502" s="138"/>
      <c r="E502" s="143"/>
      <c r="F502" s="144"/>
      <c r="G502" s="138"/>
      <c r="H502" s="143"/>
      <c r="I502" s="144"/>
      <c r="J502" s="145">
        <f>J183</f>
        <v>0</v>
      </c>
      <c r="K502" s="240" t="s">
        <v>107</v>
      </c>
      <c r="L502" s="144">
        <f t="shared" ref="L502:L504" si="152">ROUND(J502*$C502/100,0)</f>
        <v>0</v>
      </c>
      <c r="M502" s="144"/>
      <c r="N502" s="145" t="str">
        <f>N183</f>
        <v xml:space="preserve"> </v>
      </c>
      <c r="O502" s="240" t="s">
        <v>107</v>
      </c>
      <c r="P502" s="144">
        <f t="shared" ref="P502:P504" si="153">ROUND(N502*$C502/100,0)</f>
        <v>0</v>
      </c>
      <c r="Q502" s="144"/>
      <c r="R502" s="145" t="str">
        <f>R183</f>
        <v xml:space="preserve"> </v>
      </c>
      <c r="S502" s="240" t="s">
        <v>107</v>
      </c>
      <c r="T502" s="144">
        <f t="shared" ref="T502:T504" si="154">ROUND(R502*$C502/100,0)</f>
        <v>0</v>
      </c>
      <c r="U502" s="144"/>
      <c r="V502" s="145">
        <f>V183</f>
        <v>0</v>
      </c>
      <c r="W502" s="240" t="s">
        <v>107</v>
      </c>
      <c r="X502" s="144">
        <f t="shared" ref="X502:X504" si="155">ROUND(V502*$C502/100,0)</f>
        <v>0</v>
      </c>
      <c r="Z502" s="132"/>
      <c r="AC502" s="148"/>
      <c r="AD502" s="148"/>
      <c r="AI502" s="143"/>
      <c r="AJ502" s="143"/>
      <c r="AK502" s="143"/>
      <c r="AL502" s="143"/>
      <c r="AM502" s="143"/>
      <c r="AN502" s="143"/>
      <c r="AO502" s="143"/>
      <c r="AP502" s="143"/>
      <c r="AQ502" s="143"/>
      <c r="AR502" s="143"/>
      <c r="AS502" s="143"/>
      <c r="AU502" s="147"/>
    </row>
    <row r="503" spans="1:47" s="141" customFormat="1" hidden="1">
      <c r="A503" s="140" t="s">
        <v>154</v>
      </c>
      <c r="C503" s="142">
        <f t="shared" ref="C503:C504" si="156">C499</f>
        <v>139847</v>
      </c>
      <c r="D503" s="138"/>
      <c r="E503" s="143"/>
      <c r="F503" s="144"/>
      <c r="G503" s="138"/>
      <c r="H503" s="143"/>
      <c r="I503" s="144"/>
      <c r="J503" s="145">
        <f>J184</f>
        <v>0</v>
      </c>
      <c r="K503" s="240" t="s">
        <v>107</v>
      </c>
      <c r="L503" s="144">
        <f t="shared" si="152"/>
        <v>0</v>
      </c>
      <c r="M503" s="144"/>
      <c r="N503" s="145" t="str">
        <f>N184</f>
        <v xml:space="preserve"> </v>
      </c>
      <c r="O503" s="240" t="s">
        <v>107</v>
      </c>
      <c r="P503" s="144">
        <f t="shared" si="153"/>
        <v>0</v>
      </c>
      <c r="Q503" s="144"/>
      <c r="R503" s="145" t="str">
        <f>R184</f>
        <v xml:space="preserve"> </v>
      </c>
      <c r="S503" s="240" t="s">
        <v>107</v>
      </c>
      <c r="T503" s="144">
        <f t="shared" si="154"/>
        <v>0</v>
      </c>
      <c r="U503" s="144"/>
      <c r="V503" s="145">
        <f>V184</f>
        <v>0</v>
      </c>
      <c r="W503" s="240" t="s">
        <v>107</v>
      </c>
      <c r="X503" s="144">
        <f t="shared" si="155"/>
        <v>0</v>
      </c>
      <c r="Z503" s="132"/>
      <c r="AC503" s="148"/>
      <c r="AD503" s="148"/>
      <c r="AI503" s="143"/>
      <c r="AJ503" s="143"/>
      <c r="AK503" s="143"/>
      <c r="AL503" s="143"/>
      <c r="AM503" s="143"/>
      <c r="AN503" s="143"/>
      <c r="AO503" s="143"/>
      <c r="AP503" s="143"/>
      <c r="AQ503" s="143"/>
      <c r="AR503" s="143"/>
      <c r="AS503" s="143"/>
      <c r="AU503" s="147"/>
    </row>
    <row r="504" spans="1:47" s="141" customFormat="1" hidden="1">
      <c r="A504" s="140" t="s">
        <v>155</v>
      </c>
      <c r="C504" s="142">
        <f t="shared" si="156"/>
        <v>173680</v>
      </c>
      <c r="D504" s="138"/>
      <c r="E504" s="143"/>
      <c r="F504" s="144"/>
      <c r="G504" s="138"/>
      <c r="H504" s="143"/>
      <c r="I504" s="144"/>
      <c r="J504" s="145">
        <f>J185</f>
        <v>0</v>
      </c>
      <c r="K504" s="240" t="s">
        <v>107</v>
      </c>
      <c r="L504" s="144">
        <f t="shared" si="152"/>
        <v>0</v>
      </c>
      <c r="M504" s="144"/>
      <c r="N504" s="145" t="str">
        <f>N185</f>
        <v xml:space="preserve"> </v>
      </c>
      <c r="O504" s="240" t="s">
        <v>107</v>
      </c>
      <c r="P504" s="144">
        <f t="shared" si="153"/>
        <v>0</v>
      </c>
      <c r="Q504" s="144"/>
      <c r="R504" s="145" t="str">
        <f>R185</f>
        <v xml:space="preserve"> </v>
      </c>
      <c r="S504" s="240" t="s">
        <v>107</v>
      </c>
      <c r="T504" s="144">
        <f t="shared" si="154"/>
        <v>0</v>
      </c>
      <c r="U504" s="144"/>
      <c r="V504" s="145">
        <f>V185</f>
        <v>0</v>
      </c>
      <c r="W504" s="240" t="s">
        <v>107</v>
      </c>
      <c r="X504" s="144">
        <f t="shared" si="155"/>
        <v>0</v>
      </c>
      <c r="Z504" s="132"/>
      <c r="AC504" s="148"/>
      <c r="AD504" s="148"/>
      <c r="AI504" s="143"/>
      <c r="AJ504" s="143"/>
      <c r="AK504" s="143"/>
      <c r="AL504" s="143"/>
      <c r="AM504" s="143"/>
      <c r="AN504" s="143"/>
      <c r="AO504" s="143"/>
      <c r="AP504" s="143"/>
      <c r="AQ504" s="143"/>
      <c r="AR504" s="143"/>
      <c r="AS504" s="143"/>
      <c r="AU504" s="147"/>
    </row>
    <row r="505" spans="1:47" hidden="1">
      <c r="A505" s="244" t="s">
        <v>159</v>
      </c>
      <c r="B505" s="169"/>
      <c r="C505" s="227"/>
      <c r="D505" s="245">
        <v>-0.01</v>
      </c>
      <c r="E505" s="229"/>
      <c r="F505" s="131"/>
      <c r="G505" s="245">
        <v>-0.01</v>
      </c>
      <c r="H505" s="231"/>
      <c r="I505" s="131"/>
      <c r="J505" s="245">
        <v>-0.01</v>
      </c>
      <c r="K505" s="231"/>
      <c r="L505" s="131"/>
      <c r="M505" s="131"/>
      <c r="N505" s="245">
        <v>-0.01</v>
      </c>
      <c r="O505" s="231"/>
      <c r="P505" s="131"/>
      <c r="Q505" s="131"/>
      <c r="R505" s="245">
        <v>-0.01</v>
      </c>
      <c r="S505" s="231"/>
      <c r="T505" s="131"/>
      <c r="U505" s="131"/>
      <c r="V505" s="245">
        <v>-0.01</v>
      </c>
      <c r="W505" s="231"/>
      <c r="X505" s="131"/>
      <c r="Y505" s="53"/>
      <c r="Z505" s="110"/>
      <c r="AA505" s="110"/>
      <c r="AB505" s="110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</row>
    <row r="506" spans="1:47" hidden="1">
      <c r="A506" s="169" t="s">
        <v>143</v>
      </c>
      <c r="B506" s="169"/>
      <c r="C506" s="227">
        <v>0</v>
      </c>
      <c r="D506" s="247">
        <v>104.52000000000001</v>
      </c>
      <c r="E506" s="229"/>
      <c r="F506" s="131">
        <f>-ROUND(D506*$C506/100,0)</f>
        <v>0</v>
      </c>
      <c r="G506" s="247">
        <v>104.52000000000001</v>
      </c>
      <c r="H506" s="229"/>
      <c r="I506" s="131">
        <f>-ROUND(G506*$C506/100,0)</f>
        <v>0</v>
      </c>
      <c r="J506" s="247">
        <f>J492</f>
        <v>115.19999999999999</v>
      </c>
      <c r="K506" s="229"/>
      <c r="L506" s="131">
        <f>-ROUND(J506*$C506/100,0)</f>
        <v>0</v>
      </c>
      <c r="M506" s="131"/>
      <c r="N506" s="247">
        <f>N492</f>
        <v>115.19999999999999</v>
      </c>
      <c r="O506" s="229"/>
      <c r="P506" s="131">
        <f>-ROUND(N506*$C506/100,0)</f>
        <v>0</v>
      </c>
      <c r="Q506" s="131"/>
      <c r="R506" s="247" t="str">
        <f>R492</f>
        <v xml:space="preserve"> </v>
      </c>
      <c r="S506" s="229"/>
      <c r="T506" s="131">
        <f>-ROUND(R506*$C506/100,0)</f>
        <v>0</v>
      </c>
      <c r="U506" s="131"/>
      <c r="V506" s="247" t="str">
        <f>V492</f>
        <v xml:space="preserve"> </v>
      </c>
      <c r="W506" s="229"/>
      <c r="X506" s="131">
        <f>-ROUND(V506*$C506/100,0)</f>
        <v>0</v>
      </c>
      <c r="Y506" s="53"/>
      <c r="Z506" s="110"/>
      <c r="AA506" s="110"/>
      <c r="AB506" s="110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</row>
    <row r="507" spans="1:47" hidden="1">
      <c r="A507" s="169" t="s">
        <v>144</v>
      </c>
      <c r="B507" s="169"/>
      <c r="C507" s="227">
        <v>0</v>
      </c>
      <c r="D507" s="247">
        <v>155.76</v>
      </c>
      <c r="E507" s="229"/>
      <c r="F507" s="131">
        <f>-ROUND(D507*$C507/100,0)</f>
        <v>0</v>
      </c>
      <c r="G507" s="247">
        <v>155.76</v>
      </c>
      <c r="H507" s="229"/>
      <c r="I507" s="131">
        <f t="shared" ref="I507:I509" si="157">-ROUND(G507*$C507/100,0)</f>
        <v>0</v>
      </c>
      <c r="J507" s="247">
        <f>J493</f>
        <v>171.60000000000002</v>
      </c>
      <c r="K507" s="229"/>
      <c r="L507" s="131">
        <f>-ROUND(J507*$C507/100,0)</f>
        <v>0</v>
      </c>
      <c r="M507" s="131"/>
      <c r="N507" s="247">
        <f>N493</f>
        <v>171.60000000000002</v>
      </c>
      <c r="O507" s="229"/>
      <c r="P507" s="131">
        <f>-ROUND(N507*$C507/100,0)</f>
        <v>0</v>
      </c>
      <c r="Q507" s="131"/>
      <c r="R507" s="247" t="str">
        <f>R493</f>
        <v xml:space="preserve"> </v>
      </c>
      <c r="S507" s="229"/>
      <c r="T507" s="131">
        <f>-ROUND(R507*$C507/100,0)</f>
        <v>0</v>
      </c>
      <c r="U507" s="131"/>
      <c r="V507" s="247" t="str">
        <f>V493</f>
        <v xml:space="preserve"> </v>
      </c>
      <c r="W507" s="229"/>
      <c r="X507" s="131">
        <f>-ROUND(V507*$C507/100,0)</f>
        <v>0</v>
      </c>
      <c r="Y507" s="53"/>
      <c r="Z507" s="110"/>
      <c r="AA507" s="110"/>
      <c r="AB507" s="110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</row>
    <row r="508" spans="1:47" hidden="1">
      <c r="A508" s="169" t="s">
        <v>160</v>
      </c>
      <c r="B508" s="169"/>
      <c r="C508" s="227">
        <v>0</v>
      </c>
      <c r="D508" s="247">
        <v>11.040000000000001</v>
      </c>
      <c r="E508" s="229"/>
      <c r="F508" s="131">
        <f>-ROUND(D508*$C508/100,0)</f>
        <v>0</v>
      </c>
      <c r="G508" s="247">
        <v>11.040000000000001</v>
      </c>
      <c r="H508" s="229"/>
      <c r="I508" s="131">
        <f t="shared" si="157"/>
        <v>0</v>
      </c>
      <c r="J508" s="247">
        <f>J494</f>
        <v>12</v>
      </c>
      <c r="K508" s="229"/>
      <c r="L508" s="131">
        <f>-ROUND(J508*$C508/100,0)</f>
        <v>0</v>
      </c>
      <c r="M508" s="131"/>
      <c r="N508" s="247">
        <f>N494</f>
        <v>12</v>
      </c>
      <c r="O508" s="229"/>
      <c r="P508" s="131">
        <f>-ROUND(N508*$C508/100,0)</f>
        <v>0</v>
      </c>
      <c r="Q508" s="131"/>
      <c r="R508" s="247" t="str">
        <f>R494</f>
        <v xml:space="preserve"> </v>
      </c>
      <c r="S508" s="229"/>
      <c r="T508" s="131">
        <f>-ROUND(R508*$C508/100,0)</f>
        <v>0</v>
      </c>
      <c r="U508" s="131"/>
      <c r="V508" s="247" t="str">
        <f>V494</f>
        <v xml:space="preserve"> </v>
      </c>
      <c r="W508" s="229"/>
      <c r="X508" s="131">
        <f>-ROUND(V508*$C508/100,0)</f>
        <v>0</v>
      </c>
      <c r="Y508" s="53"/>
      <c r="Z508" s="110"/>
      <c r="AA508" s="110"/>
      <c r="AB508" s="110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</row>
    <row r="509" spans="1:47" hidden="1">
      <c r="A509" s="169" t="s">
        <v>161</v>
      </c>
      <c r="B509" s="169"/>
      <c r="C509" s="227">
        <v>0</v>
      </c>
      <c r="D509" s="247">
        <v>3.4</v>
      </c>
      <c r="E509" s="231"/>
      <c r="F509" s="131">
        <f>-ROUND(D509*$C509/100,0)</f>
        <v>0</v>
      </c>
      <c r="G509" s="247">
        <v>3.61</v>
      </c>
      <c r="H509" s="231"/>
      <c r="I509" s="131">
        <f t="shared" si="157"/>
        <v>0</v>
      </c>
      <c r="J509" s="247">
        <f>J497</f>
        <v>3.64</v>
      </c>
      <c r="K509" s="231"/>
      <c r="L509" s="131">
        <f>-ROUND(J509*$C509/100,0)</f>
        <v>0</v>
      </c>
      <c r="M509" s="131"/>
      <c r="N509" s="247">
        <f>N497</f>
        <v>0.48</v>
      </c>
      <c r="O509" s="231"/>
      <c r="P509" s="131">
        <f>-ROUND(N509*$C509/100,0)</f>
        <v>0</v>
      </c>
      <c r="Q509" s="131"/>
      <c r="R509" s="247">
        <f>R497</f>
        <v>0.63</v>
      </c>
      <c r="S509" s="231"/>
      <c r="T509" s="131">
        <f>-ROUND(R509*$C509/100,0)</f>
        <v>0</v>
      </c>
      <c r="U509" s="131"/>
      <c r="V509" s="247">
        <f>V497</f>
        <v>2.54</v>
      </c>
      <c r="W509" s="231"/>
      <c r="X509" s="131">
        <f>-ROUND(V509*$C509/100,0)</f>
        <v>0</v>
      </c>
      <c r="Y509" s="53"/>
      <c r="Z509" s="110"/>
      <c r="AA509" s="110"/>
      <c r="AB509" s="110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</row>
    <row r="510" spans="1:47" hidden="1">
      <c r="A510" s="169" t="s">
        <v>162</v>
      </c>
      <c r="B510" s="169"/>
      <c r="C510" s="227">
        <v>0</v>
      </c>
      <c r="D510" s="248">
        <v>9.766</v>
      </c>
      <c r="E510" s="231" t="s">
        <v>107</v>
      </c>
      <c r="F510" s="131">
        <f>ROUND(D510*$C510/100*D505,0)</f>
        <v>0</v>
      </c>
      <c r="G510" s="248">
        <v>10.359</v>
      </c>
      <c r="H510" s="231" t="s">
        <v>107</v>
      </c>
      <c r="I510" s="131">
        <f>ROUND(G510*$C510/100*G505,0)</f>
        <v>0</v>
      </c>
      <c r="J510" s="248">
        <f>J498</f>
        <v>10.449</v>
      </c>
      <c r="K510" s="231" t="s">
        <v>107</v>
      </c>
      <c r="L510" s="131">
        <f>ROUND(J510*$C510/100*J505,0)</f>
        <v>0</v>
      </c>
      <c r="M510" s="131"/>
      <c r="N510" s="248">
        <f>N498</f>
        <v>1.3644187751662151</v>
      </c>
      <c r="O510" s="231" t="s">
        <v>107</v>
      </c>
      <c r="P510" s="131">
        <f>ROUND(N510*$C510/100*N505,0)</f>
        <v>0</v>
      </c>
      <c r="Q510" s="131"/>
      <c r="R510" s="248">
        <f>R498</f>
        <v>1.7973223544650079</v>
      </c>
      <c r="S510" s="231" t="s">
        <v>107</v>
      </c>
      <c r="T510" s="131">
        <f>ROUND(R510*$C510/100*R505,0)</f>
        <v>0</v>
      </c>
      <c r="U510" s="131"/>
      <c r="V510" s="248">
        <f>V498</f>
        <v>7.2874254450520697</v>
      </c>
      <c r="W510" s="231" t="s">
        <v>107</v>
      </c>
      <c r="X510" s="131">
        <f>ROUND(V510*$C510/100*V505,0)</f>
        <v>0</v>
      </c>
      <c r="Y510" s="53"/>
      <c r="Z510" s="110"/>
      <c r="AA510" s="110"/>
      <c r="AB510" s="110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</row>
    <row r="511" spans="1:47" hidden="1">
      <c r="A511" s="169" t="s">
        <v>150</v>
      </c>
      <c r="B511" s="169"/>
      <c r="C511" s="227">
        <v>0</v>
      </c>
      <c r="D511" s="248">
        <v>6.7460000000000004</v>
      </c>
      <c r="E511" s="231" t="s">
        <v>107</v>
      </c>
      <c r="F511" s="131">
        <f>ROUND(D511*$C511/100*D505,0)</f>
        <v>0</v>
      </c>
      <c r="G511" s="248">
        <v>7.1559999999999997</v>
      </c>
      <c r="H511" s="231" t="s">
        <v>107</v>
      </c>
      <c r="I511" s="131">
        <f>ROUND(G511*$C511/100*G505,0)</f>
        <v>0</v>
      </c>
      <c r="J511" s="248">
        <f>J499</f>
        <v>7.218</v>
      </c>
      <c r="K511" s="231" t="s">
        <v>107</v>
      </c>
      <c r="L511" s="131">
        <f>ROUND(J511*$C511/100*J505,0)</f>
        <v>0</v>
      </c>
      <c r="M511" s="131"/>
      <c r="N511" s="248">
        <f>N499</f>
        <v>0.94251839115112013</v>
      </c>
      <c r="O511" s="231" t="s">
        <v>107</v>
      </c>
      <c r="P511" s="131">
        <f>ROUND(N511*$C511/100*N505,0)</f>
        <v>0</v>
      </c>
      <c r="Q511" s="131"/>
      <c r="R511" s="248">
        <f>R499</f>
        <v>1.2418703884281421</v>
      </c>
      <c r="S511" s="231" t="s">
        <v>107</v>
      </c>
      <c r="T511" s="131">
        <f>ROUND(R511*$C511/100*R505,0)</f>
        <v>0</v>
      </c>
      <c r="U511" s="131"/>
      <c r="V511" s="248">
        <f>V499</f>
        <v>5.0333446832527242</v>
      </c>
      <c r="W511" s="231" t="s">
        <v>107</v>
      </c>
      <c r="X511" s="131">
        <f>ROUND(V511*$C511/100*V505,0)</f>
        <v>0</v>
      </c>
      <c r="Y511" s="53"/>
      <c r="Z511" s="110"/>
      <c r="AA511" s="110"/>
      <c r="AB511" s="110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</row>
    <row r="512" spans="1:47" hidden="1">
      <c r="A512" s="169" t="s">
        <v>151</v>
      </c>
      <c r="B512" s="169"/>
      <c r="C512" s="227">
        <v>0</v>
      </c>
      <c r="D512" s="248">
        <v>5.8120000000000003</v>
      </c>
      <c r="E512" s="231" t="s">
        <v>107</v>
      </c>
      <c r="F512" s="131">
        <f>ROUND(D512*$C512/100*D505,0)</f>
        <v>0</v>
      </c>
      <c r="G512" s="248">
        <v>6.1660000000000004</v>
      </c>
      <c r="H512" s="231" t="s">
        <v>107</v>
      </c>
      <c r="I512" s="131">
        <f>ROUND(G512*$C512/100*G505,0)</f>
        <v>0</v>
      </c>
      <c r="J512" s="248">
        <f>J500</f>
        <v>6.218</v>
      </c>
      <c r="K512" s="231" t="s">
        <v>107</v>
      </c>
      <c r="L512" s="131">
        <f>ROUND(J512*$C512/100*J505,0)</f>
        <v>0</v>
      </c>
      <c r="M512" s="131"/>
      <c r="N512" s="248">
        <f>N500</f>
        <v>0.81193939748297494</v>
      </c>
      <c r="O512" s="231" t="s">
        <v>107</v>
      </c>
      <c r="P512" s="131">
        <f>ROUND(N512*$C512/100*N505,0)</f>
        <v>0</v>
      </c>
      <c r="Q512" s="131"/>
      <c r="R512" s="248">
        <f>R500</f>
        <v>1.0689569190308457</v>
      </c>
      <c r="S512" s="231" t="s">
        <v>107</v>
      </c>
      <c r="T512" s="131">
        <f>ROUND(R512*$C512/100*R505,0)</f>
        <v>0</v>
      </c>
      <c r="U512" s="131"/>
      <c r="V512" s="248">
        <f>V500</f>
        <v>4.3370117827017491</v>
      </c>
      <c r="W512" s="231" t="s">
        <v>107</v>
      </c>
      <c r="X512" s="131">
        <f>ROUND(V512*$C512/100*V505,0)</f>
        <v>0</v>
      </c>
      <c r="Y512" s="53"/>
      <c r="Z512" s="110"/>
      <c r="AA512" s="110"/>
      <c r="AB512" s="110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</row>
    <row r="513" spans="1:47" hidden="1">
      <c r="A513" s="169" t="s">
        <v>152</v>
      </c>
      <c r="B513" s="169"/>
      <c r="C513" s="227">
        <v>0</v>
      </c>
      <c r="D513" s="249">
        <v>56</v>
      </c>
      <c r="E513" s="231" t="s">
        <v>107</v>
      </c>
      <c r="F513" s="131">
        <f>ROUND(D513*$C513/100*D505,0)</f>
        <v>0</v>
      </c>
      <c r="G513" s="249">
        <v>56</v>
      </c>
      <c r="H513" s="231" t="s">
        <v>107</v>
      </c>
      <c r="I513" s="131">
        <f>ROUND(G513*$C513/100*G505,0)</f>
        <v>0</v>
      </c>
      <c r="J513" s="249">
        <f>J501</f>
        <v>56</v>
      </c>
      <c r="K513" s="231" t="s">
        <v>107</v>
      </c>
      <c r="L513" s="131">
        <f>ROUND(J513*$C513/100*J505,0)</f>
        <v>0</v>
      </c>
      <c r="M513" s="131"/>
      <c r="N513" s="249" t="str">
        <f>N501</f>
        <v xml:space="preserve"> </v>
      </c>
      <c r="O513" s="231" t="s">
        <v>107</v>
      </c>
      <c r="P513" s="131">
        <f>ROUND(N513*$C513/100*N505,0)</f>
        <v>0</v>
      </c>
      <c r="Q513" s="131"/>
      <c r="R513" s="249">
        <f>R501</f>
        <v>11</v>
      </c>
      <c r="S513" s="231" t="s">
        <v>107</v>
      </c>
      <c r="T513" s="131">
        <f>ROUND(R513*$C513/100*R505,0)</f>
        <v>0</v>
      </c>
      <c r="U513" s="131"/>
      <c r="V513" s="249">
        <f>V501</f>
        <v>45</v>
      </c>
      <c r="W513" s="231" t="s">
        <v>107</v>
      </c>
      <c r="X513" s="131">
        <f>ROUND(V513*$C513/100*V505,0)</f>
        <v>0</v>
      </c>
      <c r="Y513" s="53"/>
      <c r="Z513" s="110"/>
      <c r="AA513" s="110"/>
      <c r="AB513" s="110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</row>
    <row r="514" spans="1:47" hidden="1">
      <c r="A514" s="169" t="s">
        <v>163</v>
      </c>
      <c r="B514" s="169"/>
      <c r="C514" s="227">
        <v>0</v>
      </c>
      <c r="D514" s="250">
        <v>60</v>
      </c>
      <c r="E514" s="229"/>
      <c r="F514" s="131">
        <f>ROUND(D514*$C514,0)</f>
        <v>0</v>
      </c>
      <c r="G514" s="250">
        <v>60</v>
      </c>
      <c r="H514" s="231"/>
      <c r="I514" s="131">
        <f>ROUND(G514*C514,0)</f>
        <v>0</v>
      </c>
      <c r="J514" s="250">
        <f>$J$198</f>
        <v>60</v>
      </c>
      <c r="K514" s="231"/>
      <c r="L514" s="131">
        <f>ROUND(J514*$C514,0)</f>
        <v>0</v>
      </c>
      <c r="M514" s="131"/>
      <c r="N514" s="250" t="str">
        <f>$N$198</f>
        <v xml:space="preserve"> </v>
      </c>
      <c r="O514" s="231"/>
      <c r="P514" s="131">
        <f>ROUND(N514*$C514,0)</f>
        <v>0</v>
      </c>
      <c r="Q514" s="131"/>
      <c r="R514" s="250">
        <f>$R$198</f>
        <v>11.86</v>
      </c>
      <c r="S514" s="231"/>
      <c r="T514" s="131">
        <f>ROUND(R514*$C514,0)</f>
        <v>0</v>
      </c>
      <c r="U514" s="131"/>
      <c r="V514" s="250">
        <f>$V$198</f>
        <v>48.14</v>
      </c>
      <c r="W514" s="231"/>
      <c r="X514" s="131">
        <f>ROUND(V514*$C514,0)</f>
        <v>0</v>
      </c>
      <c r="Y514" s="53"/>
      <c r="Z514" s="110"/>
      <c r="AA514" s="110"/>
      <c r="AB514" s="110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</row>
    <row r="515" spans="1:47" hidden="1">
      <c r="A515" s="169" t="s">
        <v>164</v>
      </c>
      <c r="B515" s="169"/>
      <c r="C515" s="227">
        <v>0</v>
      </c>
      <c r="D515" s="251">
        <v>-30</v>
      </c>
      <c r="E515" s="229" t="s">
        <v>107</v>
      </c>
      <c r="F515" s="131">
        <f>ROUND(D515*$C515/100,0)</f>
        <v>0</v>
      </c>
      <c r="G515" s="251">
        <v>-30</v>
      </c>
      <c r="H515" s="231" t="s">
        <v>107</v>
      </c>
      <c r="I515" s="131">
        <f>ROUND(G515*C515/100,0)</f>
        <v>0</v>
      </c>
      <c r="J515" s="251">
        <f>$J$199</f>
        <v>-30</v>
      </c>
      <c r="K515" s="231" t="s">
        <v>107</v>
      </c>
      <c r="L515" s="131">
        <f>ROUND(J515*$C515/100,0)</f>
        <v>0</v>
      </c>
      <c r="M515" s="131"/>
      <c r="N515" s="251">
        <f>$N$199</f>
        <v>-30</v>
      </c>
      <c r="O515" s="231" t="s">
        <v>107</v>
      </c>
      <c r="P515" s="131">
        <f>ROUND(N515*$C515/100,0)</f>
        <v>0</v>
      </c>
      <c r="Q515" s="131"/>
      <c r="R515" s="251" t="str">
        <f>$R$199</f>
        <v xml:space="preserve"> </v>
      </c>
      <c r="S515" s="231" t="s">
        <v>107</v>
      </c>
      <c r="T515" s="131">
        <f>ROUND(R515*$C515/100,0)</f>
        <v>0</v>
      </c>
      <c r="U515" s="131"/>
      <c r="V515" s="251" t="str">
        <f>$V$199</f>
        <v xml:space="preserve"> </v>
      </c>
      <c r="W515" s="231" t="s">
        <v>107</v>
      </c>
      <c r="X515" s="131">
        <f>ROUND(V515*$C515/100,0)</f>
        <v>0</v>
      </c>
      <c r="Y515" s="53"/>
      <c r="Z515" s="110"/>
      <c r="AA515" s="110"/>
      <c r="AB515" s="110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</row>
    <row r="516" spans="1:47" s="141" customFormat="1" hidden="1">
      <c r="A516" s="140" t="s">
        <v>153</v>
      </c>
      <c r="C516" s="142">
        <f>C510</f>
        <v>0</v>
      </c>
      <c r="D516" s="138"/>
      <c r="E516" s="143"/>
      <c r="F516" s="144"/>
      <c r="G516" s="138"/>
      <c r="H516" s="143"/>
      <c r="I516" s="144"/>
      <c r="J516" s="145">
        <f>J183</f>
        <v>0</v>
      </c>
      <c r="K516" s="240" t="s">
        <v>107</v>
      </c>
      <c r="L516" s="131">
        <f>ROUND(J516*$C516/100*J505,0)</f>
        <v>0</v>
      </c>
      <c r="M516" s="131"/>
      <c r="N516" s="145" t="str">
        <f>N183</f>
        <v xml:space="preserve"> </v>
      </c>
      <c r="O516" s="240" t="s">
        <v>107</v>
      </c>
      <c r="P516" s="131">
        <f>ROUND(N516*$C516/100*N505,0)</f>
        <v>0</v>
      </c>
      <c r="Q516" s="131"/>
      <c r="R516" s="145" t="str">
        <f>R183</f>
        <v xml:space="preserve"> </v>
      </c>
      <c r="S516" s="240" t="s">
        <v>107</v>
      </c>
      <c r="T516" s="131">
        <f>ROUND(R516*$C516/100*R505,0)</f>
        <v>0</v>
      </c>
      <c r="U516" s="131"/>
      <c r="V516" s="145">
        <f>V183</f>
        <v>0</v>
      </c>
      <c r="W516" s="240" t="s">
        <v>107</v>
      </c>
      <c r="X516" s="131">
        <f>ROUND(V516*$C516/100*V505,0)</f>
        <v>0</v>
      </c>
      <c r="Z516" s="132"/>
      <c r="AC516" s="148"/>
      <c r="AD516" s="148"/>
      <c r="AI516" s="143"/>
      <c r="AJ516" s="143"/>
      <c r="AK516" s="143"/>
      <c r="AL516" s="143"/>
      <c r="AM516" s="143"/>
      <c r="AN516" s="143"/>
      <c r="AO516" s="143"/>
      <c r="AP516" s="143"/>
      <c r="AQ516" s="143"/>
      <c r="AR516" s="143"/>
      <c r="AS516" s="143"/>
      <c r="AU516" s="147"/>
    </row>
    <row r="517" spans="1:47" s="141" customFormat="1" hidden="1">
      <c r="A517" s="140" t="s">
        <v>154</v>
      </c>
      <c r="C517" s="142">
        <f t="shared" ref="C517:C518" si="158">C511</f>
        <v>0</v>
      </c>
      <c r="D517" s="138"/>
      <c r="E517" s="143"/>
      <c r="F517" s="144"/>
      <c r="G517" s="138"/>
      <c r="H517" s="143"/>
      <c r="I517" s="144"/>
      <c r="J517" s="145">
        <f>J184</f>
        <v>0</v>
      </c>
      <c r="K517" s="240" t="s">
        <v>107</v>
      </c>
      <c r="L517" s="131">
        <f>ROUND(J517*$C517/100*J505,0)</f>
        <v>0</v>
      </c>
      <c r="M517" s="131"/>
      <c r="N517" s="145" t="str">
        <f>N184</f>
        <v xml:space="preserve"> </v>
      </c>
      <c r="O517" s="240" t="s">
        <v>107</v>
      </c>
      <c r="P517" s="131">
        <f>ROUND(N517*$C517/100*N505,0)</f>
        <v>0</v>
      </c>
      <c r="Q517" s="131"/>
      <c r="R517" s="145" t="str">
        <f>R184</f>
        <v xml:space="preserve"> </v>
      </c>
      <c r="S517" s="240" t="s">
        <v>107</v>
      </c>
      <c r="T517" s="131">
        <f>ROUND(R517*$C517/100*R505,0)</f>
        <v>0</v>
      </c>
      <c r="U517" s="131"/>
      <c r="V517" s="145">
        <f>V184</f>
        <v>0</v>
      </c>
      <c r="W517" s="240" t="s">
        <v>107</v>
      </c>
      <c r="X517" s="131">
        <f>ROUND(V517*$C517/100*V505,0)</f>
        <v>0</v>
      </c>
      <c r="Z517" s="132"/>
      <c r="AC517" s="148"/>
      <c r="AD517" s="148"/>
      <c r="AI517" s="143"/>
      <c r="AJ517" s="143"/>
      <c r="AK517" s="143"/>
      <c r="AL517" s="143"/>
      <c r="AM517" s="143"/>
      <c r="AN517" s="143"/>
      <c r="AO517" s="143"/>
      <c r="AP517" s="143"/>
      <c r="AQ517" s="143"/>
      <c r="AR517" s="143"/>
      <c r="AS517" s="143"/>
      <c r="AU517" s="147"/>
    </row>
    <row r="518" spans="1:47" s="141" customFormat="1" hidden="1">
      <c r="A518" s="140" t="s">
        <v>155</v>
      </c>
      <c r="C518" s="142">
        <f t="shared" si="158"/>
        <v>0</v>
      </c>
      <c r="D518" s="138"/>
      <c r="E518" s="143"/>
      <c r="F518" s="144"/>
      <c r="G518" s="138"/>
      <c r="H518" s="143"/>
      <c r="I518" s="144"/>
      <c r="J518" s="145">
        <f>J185</f>
        <v>0</v>
      </c>
      <c r="K518" s="240" t="s">
        <v>107</v>
      </c>
      <c r="L518" s="131">
        <f>ROUND(J518*$C518/100*J505,0)</f>
        <v>0</v>
      </c>
      <c r="M518" s="131"/>
      <c r="N518" s="145" t="str">
        <f>N185</f>
        <v xml:space="preserve"> </v>
      </c>
      <c r="O518" s="240" t="s">
        <v>107</v>
      </c>
      <c r="P518" s="131">
        <f>ROUND(N518*$C518/100*N505,0)</f>
        <v>0</v>
      </c>
      <c r="Q518" s="131"/>
      <c r="R518" s="145" t="str">
        <f>R185</f>
        <v xml:space="preserve"> </v>
      </c>
      <c r="S518" s="240" t="s">
        <v>107</v>
      </c>
      <c r="T518" s="131">
        <f>ROUND(R518*$C518/100*R505,0)</f>
        <v>0</v>
      </c>
      <c r="U518" s="131"/>
      <c r="V518" s="145">
        <f>V185</f>
        <v>0</v>
      </c>
      <c r="W518" s="240" t="s">
        <v>107</v>
      </c>
      <c r="X518" s="131">
        <f>ROUND(V518*$C518/100*V505,0)</f>
        <v>0</v>
      </c>
      <c r="Z518" s="132"/>
      <c r="AC518" s="148"/>
      <c r="AD518" s="148"/>
      <c r="AI518" s="143"/>
      <c r="AJ518" s="143"/>
      <c r="AK518" s="143"/>
      <c r="AL518" s="143"/>
      <c r="AM518" s="143"/>
      <c r="AN518" s="143"/>
      <c r="AO518" s="143"/>
      <c r="AP518" s="143"/>
      <c r="AQ518" s="143"/>
      <c r="AR518" s="143"/>
      <c r="AS518" s="143"/>
      <c r="AU518" s="147"/>
    </row>
    <row r="519" spans="1:47" hidden="1">
      <c r="A519" s="169" t="s">
        <v>133</v>
      </c>
      <c r="B519" s="169"/>
      <c r="C519" s="227">
        <f>SUM(C498:C500)</f>
        <v>460453</v>
      </c>
      <c r="D519" s="237"/>
      <c r="E519" s="131"/>
      <c r="F519" s="131">
        <f>SUM(F492:F515)</f>
        <v>113756</v>
      </c>
      <c r="G519" s="237"/>
      <c r="H519" s="231"/>
      <c r="I519" s="131">
        <f>SUM(I492:I515)</f>
        <v>117644</v>
      </c>
      <c r="J519" s="237"/>
      <c r="K519" s="231"/>
      <c r="L519" s="131">
        <f>SUM(L492:L518)</f>
        <v>122728</v>
      </c>
      <c r="M519" s="131"/>
      <c r="N519" s="237"/>
      <c r="O519" s="231"/>
      <c r="P519" s="131">
        <f>SUM(P492:P518)</f>
        <v>63080</v>
      </c>
      <c r="Q519" s="131"/>
      <c r="R519" s="237"/>
      <c r="S519" s="231"/>
      <c r="T519" s="131">
        <f>SUM(T492:T518)</f>
        <v>11843</v>
      </c>
      <c r="U519" s="131"/>
      <c r="V519" s="237"/>
      <c r="W519" s="231"/>
      <c r="X519" s="131">
        <f>SUM(X492:X518)</f>
        <v>47894</v>
      </c>
      <c r="Y519" s="53"/>
      <c r="Z519" s="110"/>
      <c r="AA519" s="110"/>
      <c r="AB519" s="110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</row>
    <row r="520" spans="1:47" hidden="1">
      <c r="A520" s="169" t="s">
        <v>111</v>
      </c>
      <c r="B520" s="169"/>
      <c r="C520" s="275">
        <v>-1302.4656054484105</v>
      </c>
      <c r="D520" s="154"/>
      <c r="E520" s="154"/>
      <c r="F520" s="254">
        <f>I520</f>
        <v>-281.50082946927245</v>
      </c>
      <c r="G520" s="154"/>
      <c r="H520" s="154"/>
      <c r="I520" s="254">
        <v>-281.50082946927245</v>
      </c>
      <c r="J520" s="154"/>
      <c r="K520" s="154"/>
      <c r="L520" s="254">
        <f>I520</f>
        <v>-281.50082946927245</v>
      </c>
      <c r="M520" s="230"/>
      <c r="N520" s="154"/>
      <c r="O520" s="154"/>
      <c r="P520" s="254">
        <f>P204/L204*L520</f>
        <v>-55.492653361237444</v>
      </c>
      <c r="Q520" s="230"/>
      <c r="R520" s="154"/>
      <c r="S520" s="154"/>
      <c r="T520" s="254">
        <f>T204/L204*L520</f>
        <v>-44.689265866698079</v>
      </c>
      <c r="U520" s="230"/>
      <c r="V520" s="154"/>
      <c r="W520" s="154"/>
      <c r="X520" s="254">
        <f>X204/L204*L520</f>
        <v>-181.31891024133688</v>
      </c>
      <c r="Y520" s="185"/>
      <c r="Z520" s="183"/>
      <c r="AA520" s="110"/>
      <c r="AB520" s="110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</row>
    <row r="521" spans="1:47" ht="16.5" hidden="1" thickBot="1">
      <c r="A521" s="169" t="s">
        <v>134</v>
      </c>
      <c r="B521" s="169"/>
      <c r="C521" s="214">
        <f>SUM(C519:C520)</f>
        <v>459150.53439455159</v>
      </c>
      <c r="D521" s="272"/>
      <c r="E521" s="256"/>
      <c r="F521" s="257">
        <f>F519+F520</f>
        <v>113474.49917053073</v>
      </c>
      <c r="G521" s="272"/>
      <c r="H521" s="258"/>
      <c r="I521" s="257">
        <f>I519+I520</f>
        <v>117362.49917053073</v>
      </c>
      <c r="J521" s="272"/>
      <c r="K521" s="258"/>
      <c r="L521" s="257">
        <f>L519+L520</f>
        <v>122446.49917053073</v>
      </c>
      <c r="M521" s="257"/>
      <c r="N521" s="272"/>
      <c r="O521" s="258"/>
      <c r="P521" s="257">
        <f>P519+P520</f>
        <v>63024.507346638762</v>
      </c>
      <c r="Q521" s="257"/>
      <c r="R521" s="272"/>
      <c r="S521" s="258"/>
      <c r="T521" s="257">
        <f>T519+T520</f>
        <v>11798.310734133302</v>
      </c>
      <c r="U521" s="257"/>
      <c r="V521" s="272"/>
      <c r="W521" s="258"/>
      <c r="X521" s="257">
        <f>X519+X520</f>
        <v>47712.681089758662</v>
      </c>
      <c r="Y521" s="186"/>
      <c r="Z521" s="187"/>
      <c r="AA521" s="110"/>
      <c r="AB521" s="110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</row>
    <row r="522" spans="1:47" hidden="1">
      <c r="A522" s="169"/>
      <c r="B522" s="169"/>
      <c r="C522" s="189"/>
      <c r="D522" s="250" t="s">
        <v>0</v>
      </c>
      <c r="E522" s="131"/>
      <c r="F522" s="131"/>
      <c r="G522" s="250" t="s">
        <v>0</v>
      </c>
      <c r="H522" s="169"/>
      <c r="I522" s="131"/>
      <c r="J522" s="277" t="s">
        <v>0</v>
      </c>
      <c r="K522" s="169"/>
      <c r="L522" s="131" t="s">
        <v>0</v>
      </c>
      <c r="M522" s="131"/>
      <c r="N522" s="277" t="s">
        <v>0</v>
      </c>
      <c r="O522" s="169"/>
      <c r="P522" s="131" t="s">
        <v>0</v>
      </c>
      <c r="Q522" s="131"/>
      <c r="R522" s="277" t="s">
        <v>0</v>
      </c>
      <c r="S522" s="169"/>
      <c r="T522" s="131" t="s">
        <v>0</v>
      </c>
      <c r="U522" s="131"/>
      <c r="V522" s="277" t="s">
        <v>0</v>
      </c>
      <c r="W522" s="169"/>
      <c r="X522" s="131" t="s">
        <v>0</v>
      </c>
      <c r="Y522" s="53"/>
      <c r="Z522" s="110"/>
      <c r="AA522" s="110"/>
      <c r="AB522" s="110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</row>
    <row r="523" spans="1:47" hidden="1">
      <c r="A523" s="188" t="s">
        <v>174</v>
      </c>
      <c r="B523" s="169"/>
      <c r="C523" s="169"/>
      <c r="D523" s="131"/>
      <c r="E523" s="131"/>
      <c r="F523" s="169" t="s">
        <v>0</v>
      </c>
      <c r="G523" s="131"/>
      <c r="H523" s="169"/>
      <c r="I523" s="169"/>
      <c r="J523" s="131"/>
      <c r="K523" s="169"/>
      <c r="L523" s="169"/>
      <c r="M523" s="169"/>
      <c r="N523" s="131"/>
      <c r="O523" s="169"/>
      <c r="P523" s="169"/>
      <c r="Q523" s="169"/>
      <c r="R523" s="131"/>
      <c r="S523" s="169"/>
      <c r="T523" s="169"/>
      <c r="U523" s="169"/>
      <c r="V523" s="131"/>
      <c r="W523" s="169"/>
      <c r="X523" s="169"/>
      <c r="Y523" s="53"/>
      <c r="Z523" s="110"/>
      <c r="AA523" s="110"/>
      <c r="AB523" s="110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</row>
    <row r="524" spans="1:47" hidden="1">
      <c r="A524" s="169" t="s">
        <v>171</v>
      </c>
      <c r="B524" s="169"/>
      <c r="C524" s="169"/>
      <c r="D524" s="131"/>
      <c r="E524" s="131"/>
      <c r="F524" s="169"/>
      <c r="G524" s="131"/>
      <c r="H524" s="169"/>
      <c r="I524" s="169"/>
      <c r="J524" s="131"/>
      <c r="K524" s="169"/>
      <c r="L524" s="169"/>
      <c r="M524" s="169"/>
      <c r="N524" s="131"/>
      <c r="O524" s="169"/>
      <c r="P524" s="169"/>
      <c r="Q524" s="169"/>
      <c r="R524" s="131"/>
      <c r="S524" s="169"/>
      <c r="T524" s="169"/>
      <c r="U524" s="169"/>
      <c r="V524" s="131"/>
      <c r="W524" s="169"/>
      <c r="X524" s="169"/>
      <c r="Y524" s="53"/>
      <c r="Z524" s="110"/>
      <c r="AA524" s="110"/>
      <c r="AB524" s="110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</row>
    <row r="525" spans="1:47" hidden="1">
      <c r="A525" s="169" t="s">
        <v>175</v>
      </c>
      <c r="B525" s="169"/>
      <c r="C525" s="169"/>
      <c r="D525" s="131"/>
      <c r="E525" s="131"/>
      <c r="F525" s="169"/>
      <c r="G525" s="131"/>
      <c r="H525" s="169"/>
      <c r="I525" s="169"/>
      <c r="J525" s="131"/>
      <c r="K525" s="169"/>
      <c r="L525" s="169"/>
      <c r="M525" s="169"/>
      <c r="N525" s="131"/>
      <c r="O525" s="169"/>
      <c r="P525" s="169"/>
      <c r="Q525" s="169"/>
      <c r="R525" s="131"/>
      <c r="S525" s="169"/>
      <c r="T525" s="169"/>
      <c r="U525" s="169"/>
      <c r="V525" s="131"/>
      <c r="W525" s="169"/>
      <c r="X525" s="169"/>
      <c r="Y525" s="53"/>
      <c r="Z525" s="110"/>
      <c r="AA525" s="110"/>
      <c r="AB525" s="110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</row>
    <row r="526" spans="1:47" hidden="1">
      <c r="A526" s="169" t="s">
        <v>146</v>
      </c>
      <c r="B526" s="169"/>
      <c r="C526" s="227"/>
      <c r="D526" s="131"/>
      <c r="E526" s="131"/>
      <c r="F526" s="169"/>
      <c r="G526" s="131"/>
      <c r="H526" s="169"/>
      <c r="I526" s="169"/>
      <c r="J526" s="131"/>
      <c r="K526" s="169"/>
      <c r="L526" s="169"/>
      <c r="M526" s="169"/>
      <c r="N526" s="131"/>
      <c r="O526" s="169"/>
      <c r="P526" s="169"/>
      <c r="Q526" s="169"/>
      <c r="R526" s="131"/>
      <c r="S526" s="169"/>
      <c r="T526" s="169"/>
      <c r="U526" s="169"/>
      <c r="V526" s="131"/>
      <c r="W526" s="169"/>
      <c r="X526" s="169"/>
      <c r="Y526" s="53"/>
      <c r="Z526" s="110"/>
      <c r="AA526" s="110"/>
      <c r="AB526" s="110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</row>
    <row r="527" spans="1:47" hidden="1">
      <c r="A527" s="169" t="s">
        <v>143</v>
      </c>
      <c r="B527" s="169"/>
      <c r="C527" s="227">
        <v>0</v>
      </c>
      <c r="D527" s="193">
        <v>104.52000000000001</v>
      </c>
      <c r="E527" s="229"/>
      <c r="F527" s="131">
        <f>ROUND(D527*$C527,0)</f>
        <v>0</v>
      </c>
      <c r="G527" s="193">
        <v>104.52000000000001</v>
      </c>
      <c r="H527" s="231"/>
      <c r="I527" s="131">
        <f>ROUND(G527*$C527,0)</f>
        <v>0</v>
      </c>
      <c r="J527" s="193">
        <f>$J$169</f>
        <v>115.19999999999999</v>
      </c>
      <c r="K527" s="231"/>
      <c r="L527" s="131">
        <f>ROUND(J527*$C527,0)</f>
        <v>0</v>
      </c>
      <c r="M527" s="131"/>
      <c r="N527" s="193">
        <f>$N$169</f>
        <v>115.19999999999999</v>
      </c>
      <c r="O527" s="231"/>
      <c r="P527" s="131">
        <f>ROUND(N527*$C527,0)</f>
        <v>0</v>
      </c>
      <c r="Q527" s="131"/>
      <c r="R527" s="193" t="str">
        <f>$R$169</f>
        <v xml:space="preserve"> </v>
      </c>
      <c r="S527" s="231"/>
      <c r="T527" s="131">
        <f>ROUND(R527*$C527,0)</f>
        <v>0</v>
      </c>
      <c r="U527" s="131"/>
      <c r="V527" s="193" t="str">
        <f>$V$169</f>
        <v xml:space="preserve"> </v>
      </c>
      <c r="W527" s="231"/>
      <c r="X527" s="131">
        <f>ROUND(V527*$C527,0)</f>
        <v>0</v>
      </c>
      <c r="Y527" s="53"/>
      <c r="Z527" s="110"/>
      <c r="AA527" s="110"/>
      <c r="AB527" s="110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</row>
    <row r="528" spans="1:47" hidden="1">
      <c r="A528" s="169" t="s">
        <v>144</v>
      </c>
      <c r="B528" s="169"/>
      <c r="C528" s="227">
        <v>1</v>
      </c>
      <c r="D528" s="193">
        <v>155.76</v>
      </c>
      <c r="E528" s="232"/>
      <c r="F528" s="131">
        <f>ROUND(D528*$C528,0)</f>
        <v>156</v>
      </c>
      <c r="G528" s="193">
        <v>155.76</v>
      </c>
      <c r="H528" s="233"/>
      <c r="I528" s="131">
        <f t="shared" ref="I528:I529" si="159">ROUND(G528*$C528,0)</f>
        <v>156</v>
      </c>
      <c r="J528" s="193">
        <f>$J$170</f>
        <v>171.60000000000002</v>
      </c>
      <c r="K528" s="233"/>
      <c r="L528" s="131">
        <f>ROUND(J528*$C528,0)</f>
        <v>172</v>
      </c>
      <c r="M528" s="131"/>
      <c r="N528" s="193">
        <f>$N$170</f>
        <v>171.60000000000002</v>
      </c>
      <c r="O528" s="233"/>
      <c r="P528" s="131">
        <f>ROUND(N528*$C528,0)</f>
        <v>172</v>
      </c>
      <c r="Q528" s="131"/>
      <c r="R528" s="193" t="str">
        <f>$R$170</f>
        <v xml:space="preserve"> </v>
      </c>
      <c r="S528" s="233"/>
      <c r="T528" s="131">
        <f>ROUND(R528*$C528,0)</f>
        <v>0</v>
      </c>
      <c r="U528" s="131"/>
      <c r="V528" s="193" t="str">
        <f>$V$170</f>
        <v xml:space="preserve"> </v>
      </c>
      <c r="W528" s="233"/>
      <c r="X528" s="131">
        <f>ROUND(V528*$C528,0)</f>
        <v>0</v>
      </c>
      <c r="Y528" s="53"/>
      <c r="Z528" s="110"/>
      <c r="AA528" s="110"/>
      <c r="AB528" s="110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</row>
    <row r="529" spans="1:47" hidden="1">
      <c r="A529" s="169" t="s">
        <v>145</v>
      </c>
      <c r="B529" s="169"/>
      <c r="C529" s="227">
        <v>75</v>
      </c>
      <c r="D529" s="193">
        <v>11.040000000000001</v>
      </c>
      <c r="E529" s="232"/>
      <c r="F529" s="131">
        <f>ROUND(D529*$C529,0)</f>
        <v>828</v>
      </c>
      <c r="G529" s="193">
        <v>11.040000000000001</v>
      </c>
      <c r="H529" s="233"/>
      <c r="I529" s="131">
        <f t="shared" si="159"/>
        <v>828</v>
      </c>
      <c r="J529" s="193">
        <f>$J$171</f>
        <v>12</v>
      </c>
      <c r="K529" s="233"/>
      <c r="L529" s="131">
        <f>ROUND(J529*$C529,0)</f>
        <v>900</v>
      </c>
      <c r="M529" s="131"/>
      <c r="N529" s="193">
        <f>$N$171</f>
        <v>12</v>
      </c>
      <c r="O529" s="233"/>
      <c r="P529" s="131">
        <f>ROUND(N529*$C529,0)</f>
        <v>900</v>
      </c>
      <c r="Q529" s="131"/>
      <c r="R529" s="193" t="str">
        <f>$R$171</f>
        <v xml:space="preserve"> </v>
      </c>
      <c r="S529" s="233"/>
      <c r="T529" s="131">
        <f>ROUND(R529*$C529,0)</f>
        <v>0</v>
      </c>
      <c r="U529" s="131"/>
      <c r="V529" s="193" t="str">
        <f>$V$171</f>
        <v xml:space="preserve"> </v>
      </c>
      <c r="W529" s="233"/>
      <c r="X529" s="131">
        <f>ROUND(V529*$C529,0)</f>
        <v>0</v>
      </c>
      <c r="Y529" s="53"/>
      <c r="Z529" s="110"/>
      <c r="AA529" s="110"/>
      <c r="AB529" s="110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</row>
    <row r="530" spans="1:47" hidden="1">
      <c r="A530" s="169" t="s">
        <v>147</v>
      </c>
      <c r="B530" s="169"/>
      <c r="C530" s="227">
        <f>SUM(C527:C528)</f>
        <v>1</v>
      </c>
      <c r="D530" s="193"/>
      <c r="E530" s="229"/>
      <c r="F530" s="131"/>
      <c r="G530" s="193"/>
      <c r="H530" s="231"/>
      <c r="I530" s="131"/>
      <c r="J530" s="193"/>
      <c r="K530" s="231"/>
      <c r="L530" s="131"/>
      <c r="M530" s="131"/>
      <c r="N530" s="193"/>
      <c r="O530" s="231"/>
      <c r="P530" s="131"/>
      <c r="Q530" s="131"/>
      <c r="R530" s="193"/>
      <c r="S530" s="231"/>
      <c r="T530" s="131"/>
      <c r="U530" s="131"/>
      <c r="V530" s="193"/>
      <c r="W530" s="231"/>
      <c r="X530" s="131"/>
      <c r="Y530" s="53"/>
      <c r="Z530" s="110"/>
      <c r="AA530" s="110"/>
      <c r="AB530" s="110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</row>
    <row r="531" spans="1:47" hidden="1">
      <c r="A531" s="169" t="s">
        <v>176</v>
      </c>
      <c r="B531" s="169"/>
      <c r="C531" s="227">
        <v>11.1766666666667</v>
      </c>
      <c r="D531" s="193"/>
      <c r="E531" s="229"/>
      <c r="F531" s="131"/>
      <c r="G531" s="193"/>
      <c r="H531" s="231"/>
      <c r="I531" s="131"/>
      <c r="J531" s="193"/>
      <c r="K531" s="231"/>
      <c r="L531" s="131"/>
      <c r="M531" s="131"/>
      <c r="N531" s="193"/>
      <c r="O531" s="231"/>
      <c r="P531" s="131"/>
      <c r="Q531" s="131"/>
      <c r="R531" s="193"/>
      <c r="S531" s="231"/>
      <c r="T531" s="131"/>
      <c r="U531" s="131"/>
      <c r="V531" s="193"/>
      <c r="W531" s="231"/>
      <c r="X531" s="131"/>
      <c r="Y531" s="53"/>
      <c r="Z531" s="110"/>
      <c r="AA531" s="110"/>
      <c r="AB531" s="110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</row>
    <row r="532" spans="1:47" hidden="1">
      <c r="A532" s="169" t="s">
        <v>148</v>
      </c>
      <c r="B532" s="169"/>
      <c r="C532" s="227">
        <v>293</v>
      </c>
      <c r="D532" s="250">
        <v>3.4</v>
      </c>
      <c r="E532" s="231"/>
      <c r="F532" s="131">
        <f>ROUND(D532*$C532,0)</f>
        <v>996</v>
      </c>
      <c r="G532" s="250">
        <v>3.61</v>
      </c>
      <c r="H532" s="231"/>
      <c r="I532" s="131">
        <f>ROUND(G532*C532,0)</f>
        <v>1058</v>
      </c>
      <c r="J532" s="250">
        <f>$J$178</f>
        <v>3.64</v>
      </c>
      <c r="K532" s="231"/>
      <c r="L532" s="131">
        <f>ROUND(J532*$C532,0)</f>
        <v>1067</v>
      </c>
      <c r="M532" s="131"/>
      <c r="N532" s="250">
        <f>$N$178</f>
        <v>0.48</v>
      </c>
      <c r="O532" s="231"/>
      <c r="P532" s="131">
        <f>ROUND(N532*$C532,0)</f>
        <v>141</v>
      </c>
      <c r="Q532" s="131"/>
      <c r="R532" s="250">
        <f>$R$178</f>
        <v>0.63</v>
      </c>
      <c r="S532" s="231"/>
      <c r="T532" s="131">
        <f>ROUND(R532*$C532,0)</f>
        <v>185</v>
      </c>
      <c r="U532" s="131"/>
      <c r="V532" s="250">
        <f>$V$178</f>
        <v>2.54</v>
      </c>
      <c r="W532" s="231"/>
      <c r="X532" s="131">
        <f>ROUND(V532*$C532,0)</f>
        <v>744</v>
      </c>
      <c r="Y532" s="53"/>
      <c r="Z532" s="110"/>
      <c r="AA532" s="110"/>
      <c r="AB532" s="110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</row>
    <row r="533" spans="1:47" hidden="1">
      <c r="A533" s="169" t="s">
        <v>149</v>
      </c>
      <c r="B533" s="169"/>
      <c r="C533" s="227">
        <v>6233</v>
      </c>
      <c r="D533" s="195">
        <v>9.766</v>
      </c>
      <c r="E533" s="231" t="s">
        <v>107</v>
      </c>
      <c r="F533" s="131">
        <f>ROUND(D533*$C533/100,0)</f>
        <v>609</v>
      </c>
      <c r="G533" s="195">
        <v>10.359</v>
      </c>
      <c r="H533" s="231" t="s">
        <v>107</v>
      </c>
      <c r="I533" s="131">
        <f>ROUND(G533*C533/100,0)</f>
        <v>646</v>
      </c>
      <c r="J533" s="195">
        <f>$J$179</f>
        <v>10.449</v>
      </c>
      <c r="K533" s="231" t="s">
        <v>107</v>
      </c>
      <c r="L533" s="131">
        <f>ROUND(J533*$C533/100,0)</f>
        <v>651</v>
      </c>
      <c r="M533" s="131"/>
      <c r="N533" s="195">
        <f>$N$179</f>
        <v>1.3644187751662151</v>
      </c>
      <c r="O533" s="231" t="s">
        <v>107</v>
      </c>
      <c r="P533" s="131">
        <f>ROUND(N533*$C533/100,0)</f>
        <v>85</v>
      </c>
      <c r="Q533" s="131"/>
      <c r="R533" s="195">
        <f>$R$179</f>
        <v>1.7973223544650079</v>
      </c>
      <c r="S533" s="231" t="s">
        <v>107</v>
      </c>
      <c r="T533" s="131">
        <f>ROUND(R533*$C533/100,0)</f>
        <v>112</v>
      </c>
      <c r="U533" s="131"/>
      <c r="V533" s="195">
        <f>$V$179</f>
        <v>7.2874254450520697</v>
      </c>
      <c r="W533" s="231" t="s">
        <v>107</v>
      </c>
      <c r="X533" s="131">
        <f>ROUND(V533*$C533/100,0)</f>
        <v>454</v>
      </c>
      <c r="Y533" s="53"/>
      <c r="Z533" s="110"/>
      <c r="AA533" s="110"/>
      <c r="AB533" s="110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</row>
    <row r="534" spans="1:47" hidden="1">
      <c r="A534" s="169" t="s">
        <v>150</v>
      </c>
      <c r="B534" s="169"/>
      <c r="C534" s="227">
        <v>3319</v>
      </c>
      <c r="D534" s="195">
        <v>6.7460000000000004</v>
      </c>
      <c r="E534" s="231" t="s">
        <v>107</v>
      </c>
      <c r="F534" s="131">
        <f>ROUND(D534*$C534/100,0)</f>
        <v>224</v>
      </c>
      <c r="G534" s="195">
        <v>7.1559999999999997</v>
      </c>
      <c r="H534" s="231" t="s">
        <v>107</v>
      </c>
      <c r="I534" s="131">
        <f t="shared" ref="I534:I536" si="160">ROUND(G534*C534/100,0)</f>
        <v>238</v>
      </c>
      <c r="J534" s="195">
        <f>$J$180</f>
        <v>7.218</v>
      </c>
      <c r="K534" s="231" t="s">
        <v>107</v>
      </c>
      <c r="L534" s="131">
        <f>ROUND(J534*$C534/100,0)</f>
        <v>240</v>
      </c>
      <c r="M534" s="131"/>
      <c r="N534" s="195">
        <f>$N$180</f>
        <v>0.94251839115112013</v>
      </c>
      <c r="O534" s="231" t="s">
        <v>107</v>
      </c>
      <c r="P534" s="131">
        <f>ROUND(N534*$C534/100,0)</f>
        <v>31</v>
      </c>
      <c r="Q534" s="131"/>
      <c r="R534" s="195">
        <f>$R$180</f>
        <v>1.2418703884281421</v>
      </c>
      <c r="S534" s="231" t="s">
        <v>107</v>
      </c>
      <c r="T534" s="131">
        <f>ROUND(R534*$C534/100,0)</f>
        <v>41</v>
      </c>
      <c r="U534" s="131"/>
      <c r="V534" s="195">
        <f>$V$180</f>
        <v>5.0333446832527242</v>
      </c>
      <c r="W534" s="231" t="s">
        <v>107</v>
      </c>
      <c r="X534" s="131">
        <f>ROUND(V534*$C534/100,0)</f>
        <v>167</v>
      </c>
      <c r="Y534" s="53"/>
      <c r="Z534" s="110"/>
      <c r="AA534" s="110"/>
      <c r="AB534" s="110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</row>
    <row r="535" spans="1:47" hidden="1">
      <c r="A535" s="169" t="s">
        <v>151</v>
      </c>
      <c r="B535" s="169"/>
      <c r="C535" s="227">
        <v>0</v>
      </c>
      <c r="D535" s="195">
        <v>5.8120000000000003</v>
      </c>
      <c r="E535" s="231" t="s">
        <v>107</v>
      </c>
      <c r="F535" s="131">
        <f>ROUND(D535*$C535/100,0)</f>
        <v>0</v>
      </c>
      <c r="G535" s="195">
        <v>6.1660000000000004</v>
      </c>
      <c r="H535" s="231" t="s">
        <v>107</v>
      </c>
      <c r="I535" s="131">
        <f t="shared" si="160"/>
        <v>0</v>
      </c>
      <c r="J535" s="195">
        <f>$J$181</f>
        <v>6.218</v>
      </c>
      <c r="K535" s="231" t="s">
        <v>107</v>
      </c>
      <c r="L535" s="131">
        <f>ROUND(J535*$C535/100,0)</f>
        <v>0</v>
      </c>
      <c r="M535" s="131"/>
      <c r="N535" s="195">
        <f>$N$181</f>
        <v>0.81193939748297494</v>
      </c>
      <c r="O535" s="231" t="s">
        <v>107</v>
      </c>
      <c r="P535" s="131">
        <f>ROUND(N535*$C535/100,0)</f>
        <v>0</v>
      </c>
      <c r="Q535" s="131"/>
      <c r="R535" s="195">
        <f>$R$181</f>
        <v>1.0689569190308457</v>
      </c>
      <c r="S535" s="231" t="s">
        <v>107</v>
      </c>
      <c r="T535" s="131">
        <f>ROUND(R535*$C535/100,0)</f>
        <v>0</v>
      </c>
      <c r="U535" s="131"/>
      <c r="V535" s="195">
        <f>$V$181</f>
        <v>4.3370117827017491</v>
      </c>
      <c r="W535" s="231" t="s">
        <v>107</v>
      </c>
      <c r="X535" s="131">
        <f>ROUND(V535*$C535/100,0)</f>
        <v>0</v>
      </c>
      <c r="Y535" s="53"/>
      <c r="Z535" s="110"/>
      <c r="AA535" s="110"/>
      <c r="AB535" s="110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</row>
    <row r="536" spans="1:47" hidden="1">
      <c r="A536" s="169" t="s">
        <v>152</v>
      </c>
      <c r="B536" s="169"/>
      <c r="C536" s="227">
        <v>0</v>
      </c>
      <c r="D536" s="237">
        <v>56</v>
      </c>
      <c r="E536" s="229" t="s">
        <v>107</v>
      </c>
      <c r="F536" s="131">
        <f>ROUND(D536*$C536/100,0)</f>
        <v>0</v>
      </c>
      <c r="G536" s="237">
        <v>56</v>
      </c>
      <c r="H536" s="231" t="s">
        <v>107</v>
      </c>
      <c r="I536" s="131">
        <f t="shared" si="160"/>
        <v>0</v>
      </c>
      <c r="J536" s="237">
        <f>$J$182</f>
        <v>56</v>
      </c>
      <c r="K536" s="231" t="s">
        <v>107</v>
      </c>
      <c r="L536" s="131">
        <f>ROUND(J536*$C536/100,0)</f>
        <v>0</v>
      </c>
      <c r="M536" s="131"/>
      <c r="N536" s="237" t="str">
        <f>$N$182</f>
        <v xml:space="preserve"> </v>
      </c>
      <c r="O536" s="231" t="s">
        <v>107</v>
      </c>
      <c r="P536" s="131">
        <f>ROUND(N536*$C536/100,0)</f>
        <v>0</v>
      </c>
      <c r="Q536" s="131"/>
      <c r="R536" s="237">
        <f>$R$182</f>
        <v>11</v>
      </c>
      <c r="S536" s="231" t="s">
        <v>107</v>
      </c>
      <c r="T536" s="131">
        <f>ROUND(R536*$C536/100,0)</f>
        <v>0</v>
      </c>
      <c r="U536" s="131"/>
      <c r="V536" s="237">
        <f>$V$182</f>
        <v>45</v>
      </c>
      <c r="W536" s="231" t="s">
        <v>107</v>
      </c>
      <c r="X536" s="131">
        <f>ROUND(V536*$C536/100,0)</f>
        <v>0</v>
      </c>
      <c r="Y536" s="53"/>
      <c r="Z536" s="110"/>
      <c r="AA536" s="110"/>
      <c r="AB536" s="110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</row>
    <row r="537" spans="1:47" s="141" customFormat="1" hidden="1">
      <c r="A537" s="140" t="s">
        <v>153</v>
      </c>
      <c r="C537" s="142">
        <f>C533</f>
        <v>6233</v>
      </c>
      <c r="D537" s="138"/>
      <c r="E537" s="143"/>
      <c r="F537" s="144"/>
      <c r="G537" s="138"/>
      <c r="H537" s="143"/>
      <c r="I537" s="144"/>
      <c r="J537" s="145">
        <f>J183</f>
        <v>0</v>
      </c>
      <c r="K537" s="240" t="s">
        <v>107</v>
      </c>
      <c r="L537" s="144">
        <f t="shared" ref="L537:L539" si="161">ROUND(J537*$C537/100,0)</f>
        <v>0</v>
      </c>
      <c r="M537" s="144"/>
      <c r="N537" s="145" t="str">
        <f>N183</f>
        <v xml:space="preserve"> </v>
      </c>
      <c r="O537" s="240" t="s">
        <v>107</v>
      </c>
      <c r="P537" s="144">
        <f t="shared" ref="P537:P539" si="162">ROUND(N537*$C537/100,0)</f>
        <v>0</v>
      </c>
      <c r="Q537" s="144"/>
      <c r="R537" s="145" t="str">
        <f>R183</f>
        <v xml:space="preserve"> </v>
      </c>
      <c r="S537" s="240" t="s">
        <v>107</v>
      </c>
      <c r="T537" s="144">
        <f t="shared" ref="T537:T539" si="163">ROUND(R537*$C537/100,0)</f>
        <v>0</v>
      </c>
      <c r="U537" s="144"/>
      <c r="V537" s="145">
        <f>V183</f>
        <v>0</v>
      </c>
      <c r="W537" s="240" t="s">
        <v>107</v>
      </c>
      <c r="X537" s="144">
        <f t="shared" ref="X537:X539" si="164">ROUND(V537*$C537/100,0)</f>
        <v>0</v>
      </c>
      <c r="Z537" s="132"/>
      <c r="AC537" s="148"/>
      <c r="AD537" s="148"/>
      <c r="AI537" s="143"/>
      <c r="AJ537" s="143"/>
      <c r="AK537" s="143"/>
      <c r="AL537" s="143"/>
      <c r="AM537" s="143"/>
      <c r="AN537" s="143"/>
      <c r="AO537" s="143"/>
      <c r="AP537" s="143"/>
      <c r="AQ537" s="143"/>
      <c r="AR537" s="143"/>
      <c r="AS537" s="143"/>
      <c r="AU537" s="147"/>
    </row>
    <row r="538" spans="1:47" s="141" customFormat="1" hidden="1">
      <c r="A538" s="140" t="s">
        <v>154</v>
      </c>
      <c r="C538" s="142">
        <f>C534</f>
        <v>3319</v>
      </c>
      <c r="D538" s="138"/>
      <c r="E538" s="143"/>
      <c r="F538" s="144"/>
      <c r="G538" s="138"/>
      <c r="H538" s="143"/>
      <c r="I538" s="144"/>
      <c r="J538" s="145">
        <f>J184</f>
        <v>0</v>
      </c>
      <c r="K538" s="240" t="s">
        <v>107</v>
      </c>
      <c r="L538" s="144">
        <f t="shared" si="161"/>
        <v>0</v>
      </c>
      <c r="M538" s="144"/>
      <c r="N538" s="145" t="str">
        <f>N184</f>
        <v xml:space="preserve"> </v>
      </c>
      <c r="O538" s="240" t="s">
        <v>107</v>
      </c>
      <c r="P538" s="144">
        <f t="shared" si="162"/>
        <v>0</v>
      </c>
      <c r="Q538" s="144"/>
      <c r="R538" s="145" t="str">
        <f>R184</f>
        <v xml:space="preserve"> </v>
      </c>
      <c r="S538" s="240" t="s">
        <v>107</v>
      </c>
      <c r="T538" s="144">
        <f t="shared" si="163"/>
        <v>0</v>
      </c>
      <c r="U538" s="144"/>
      <c r="V538" s="145">
        <f>V184</f>
        <v>0</v>
      </c>
      <c r="W538" s="240" t="s">
        <v>107</v>
      </c>
      <c r="X538" s="144">
        <f t="shared" si="164"/>
        <v>0</v>
      </c>
      <c r="Z538" s="132"/>
      <c r="AC538" s="148"/>
      <c r="AD538" s="148"/>
      <c r="AI538" s="143"/>
      <c r="AJ538" s="143"/>
      <c r="AK538" s="143"/>
      <c r="AL538" s="143"/>
      <c r="AM538" s="143"/>
      <c r="AN538" s="143"/>
      <c r="AO538" s="143"/>
      <c r="AP538" s="143"/>
      <c r="AQ538" s="143"/>
      <c r="AR538" s="143"/>
      <c r="AS538" s="143"/>
      <c r="AU538" s="147"/>
    </row>
    <row r="539" spans="1:47" s="141" customFormat="1" hidden="1">
      <c r="A539" s="140" t="s">
        <v>155</v>
      </c>
      <c r="C539" s="142">
        <f>C535</f>
        <v>0</v>
      </c>
      <c r="D539" s="138"/>
      <c r="E539" s="143"/>
      <c r="F539" s="144"/>
      <c r="G539" s="138"/>
      <c r="H539" s="143"/>
      <c r="I539" s="144"/>
      <c r="J539" s="145">
        <f>J185</f>
        <v>0</v>
      </c>
      <c r="K539" s="240" t="s">
        <v>107</v>
      </c>
      <c r="L539" s="144">
        <f t="shared" si="161"/>
        <v>0</v>
      </c>
      <c r="M539" s="144"/>
      <c r="N539" s="145" t="str">
        <f>N185</f>
        <v xml:space="preserve"> </v>
      </c>
      <c r="O539" s="240" t="s">
        <v>107</v>
      </c>
      <c r="P539" s="144">
        <f t="shared" si="162"/>
        <v>0</v>
      </c>
      <c r="Q539" s="144"/>
      <c r="R539" s="145" t="str">
        <f>R185</f>
        <v xml:space="preserve"> </v>
      </c>
      <c r="S539" s="240" t="s">
        <v>107</v>
      </c>
      <c r="T539" s="144">
        <f t="shared" si="163"/>
        <v>0</v>
      </c>
      <c r="U539" s="144"/>
      <c r="V539" s="145">
        <f>V185</f>
        <v>0</v>
      </c>
      <c r="W539" s="240" t="s">
        <v>107</v>
      </c>
      <c r="X539" s="144">
        <f t="shared" si="164"/>
        <v>0</v>
      </c>
      <c r="Z539" s="132"/>
      <c r="AC539" s="148"/>
      <c r="AD539" s="148"/>
      <c r="AI539" s="143"/>
      <c r="AJ539" s="143"/>
      <c r="AK539" s="143"/>
      <c r="AL539" s="143"/>
      <c r="AM539" s="143"/>
      <c r="AN539" s="143"/>
      <c r="AO539" s="143"/>
      <c r="AP539" s="143"/>
      <c r="AQ539" s="143"/>
      <c r="AR539" s="143"/>
      <c r="AS539" s="143"/>
      <c r="AU539" s="147"/>
    </row>
    <row r="540" spans="1:47" hidden="1">
      <c r="A540" s="244" t="s">
        <v>159</v>
      </c>
      <c r="B540" s="169"/>
      <c r="C540" s="227"/>
      <c r="D540" s="245">
        <v>-0.01</v>
      </c>
      <c r="E540" s="229"/>
      <c r="F540" s="131"/>
      <c r="G540" s="245">
        <v>-0.01</v>
      </c>
      <c r="H540" s="231"/>
      <c r="I540" s="131"/>
      <c r="J540" s="245">
        <v>-0.01</v>
      </c>
      <c r="K540" s="231"/>
      <c r="L540" s="131"/>
      <c r="M540" s="131"/>
      <c r="N540" s="245">
        <v>-0.01</v>
      </c>
      <c r="O540" s="231"/>
      <c r="P540" s="131"/>
      <c r="Q540" s="131"/>
      <c r="R540" s="245">
        <v>-0.01</v>
      </c>
      <c r="S540" s="231"/>
      <c r="T540" s="131"/>
      <c r="U540" s="131"/>
      <c r="V540" s="245">
        <v>-0.01</v>
      </c>
      <c r="W540" s="231"/>
      <c r="X540" s="131"/>
      <c r="Y540" s="53"/>
      <c r="Z540" s="110"/>
      <c r="AA540" s="110"/>
      <c r="AB540" s="110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</row>
    <row r="541" spans="1:47" hidden="1">
      <c r="A541" s="169" t="s">
        <v>143</v>
      </c>
      <c r="B541" s="169"/>
      <c r="C541" s="227">
        <v>0</v>
      </c>
      <c r="D541" s="247">
        <v>104.52000000000001</v>
      </c>
      <c r="E541" s="229"/>
      <c r="F541" s="131">
        <f>-ROUND(D541*$C541/100,0)</f>
        <v>0</v>
      </c>
      <c r="G541" s="247">
        <v>104.52000000000001</v>
      </c>
      <c r="H541" s="229"/>
      <c r="I541" s="131">
        <f>-ROUND(G541*$C541/100,0)</f>
        <v>0</v>
      </c>
      <c r="J541" s="247">
        <f>J527</f>
        <v>115.19999999999999</v>
      </c>
      <c r="K541" s="229"/>
      <c r="L541" s="131">
        <f>-ROUND(J541*$C541/100,0)</f>
        <v>0</v>
      </c>
      <c r="M541" s="131"/>
      <c r="N541" s="247">
        <f>N527</f>
        <v>115.19999999999999</v>
      </c>
      <c r="O541" s="229"/>
      <c r="P541" s="131">
        <f>-ROUND(N541*$C541/100,0)</f>
        <v>0</v>
      </c>
      <c r="Q541" s="131"/>
      <c r="R541" s="247" t="str">
        <f>R527</f>
        <v xml:space="preserve"> </v>
      </c>
      <c r="S541" s="229"/>
      <c r="T541" s="131">
        <f>-ROUND(R541*$C541/100,0)</f>
        <v>0</v>
      </c>
      <c r="U541" s="131"/>
      <c r="V541" s="247" t="str">
        <f>V527</f>
        <v xml:space="preserve"> </v>
      </c>
      <c r="W541" s="229"/>
      <c r="X541" s="131">
        <f>-ROUND(V541*$C541/100,0)</f>
        <v>0</v>
      </c>
      <c r="Y541" s="53"/>
      <c r="Z541" s="110"/>
      <c r="AA541" s="110"/>
      <c r="AB541" s="110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</row>
    <row r="542" spans="1:47" hidden="1">
      <c r="A542" s="169" t="s">
        <v>144</v>
      </c>
      <c r="B542" s="169"/>
      <c r="C542" s="227">
        <v>0</v>
      </c>
      <c r="D542" s="247">
        <v>155.76</v>
      </c>
      <c r="E542" s="229"/>
      <c r="F542" s="131">
        <f>-ROUND(D542*$C542/100,0)</f>
        <v>0</v>
      </c>
      <c r="G542" s="247">
        <v>155.76</v>
      </c>
      <c r="H542" s="229"/>
      <c r="I542" s="131">
        <f t="shared" ref="I542:I544" si="165">-ROUND(G542*$C542/100,0)</f>
        <v>0</v>
      </c>
      <c r="J542" s="247">
        <f>J528</f>
        <v>171.60000000000002</v>
      </c>
      <c r="K542" s="229"/>
      <c r="L542" s="131">
        <f>-ROUND(J542*$C542/100,0)</f>
        <v>0</v>
      </c>
      <c r="M542" s="131"/>
      <c r="N542" s="247">
        <f>N528</f>
        <v>171.60000000000002</v>
      </c>
      <c r="O542" s="229"/>
      <c r="P542" s="131">
        <f>-ROUND(N542*$C542/100,0)</f>
        <v>0</v>
      </c>
      <c r="Q542" s="131"/>
      <c r="R542" s="247" t="str">
        <f>R528</f>
        <v xml:space="preserve"> </v>
      </c>
      <c r="S542" s="229"/>
      <c r="T542" s="131">
        <f>-ROUND(R542*$C542/100,0)</f>
        <v>0</v>
      </c>
      <c r="U542" s="131"/>
      <c r="V542" s="247" t="str">
        <f>V528</f>
        <v xml:space="preserve"> </v>
      </c>
      <c r="W542" s="229"/>
      <c r="X542" s="131">
        <f>-ROUND(V542*$C542/100,0)</f>
        <v>0</v>
      </c>
      <c r="Y542" s="53"/>
      <c r="Z542" s="110"/>
      <c r="AA542" s="110"/>
      <c r="AB542" s="110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</row>
    <row r="543" spans="1:47" hidden="1">
      <c r="A543" s="169" t="s">
        <v>160</v>
      </c>
      <c r="B543" s="169"/>
      <c r="C543" s="227">
        <v>0</v>
      </c>
      <c r="D543" s="247">
        <v>11.040000000000001</v>
      </c>
      <c r="E543" s="229"/>
      <c r="F543" s="131">
        <f>-ROUND(D543*$C543/100,0)</f>
        <v>0</v>
      </c>
      <c r="G543" s="247">
        <v>11.040000000000001</v>
      </c>
      <c r="H543" s="229"/>
      <c r="I543" s="131">
        <f t="shared" si="165"/>
        <v>0</v>
      </c>
      <c r="J543" s="247">
        <f>J529</f>
        <v>12</v>
      </c>
      <c r="K543" s="229"/>
      <c r="L543" s="131">
        <f>-ROUND(J543*$C543/100,0)</f>
        <v>0</v>
      </c>
      <c r="M543" s="131"/>
      <c r="N543" s="247">
        <f>N529</f>
        <v>12</v>
      </c>
      <c r="O543" s="229"/>
      <c r="P543" s="131">
        <f>-ROUND(N543*$C543/100,0)</f>
        <v>0</v>
      </c>
      <c r="Q543" s="131"/>
      <c r="R543" s="247" t="str">
        <f>R529</f>
        <v xml:space="preserve"> </v>
      </c>
      <c r="S543" s="229"/>
      <c r="T543" s="131">
        <f>-ROUND(R543*$C543/100,0)</f>
        <v>0</v>
      </c>
      <c r="U543" s="131"/>
      <c r="V543" s="247" t="str">
        <f>V529</f>
        <v xml:space="preserve"> </v>
      </c>
      <c r="W543" s="229"/>
      <c r="X543" s="131">
        <f>-ROUND(V543*$C543/100,0)</f>
        <v>0</v>
      </c>
      <c r="Y543" s="53"/>
      <c r="Z543" s="110"/>
      <c r="AA543" s="110"/>
      <c r="AB543" s="110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</row>
    <row r="544" spans="1:47" hidden="1">
      <c r="A544" s="169" t="s">
        <v>161</v>
      </c>
      <c r="B544" s="169"/>
      <c r="C544" s="227">
        <v>0</v>
      </c>
      <c r="D544" s="247">
        <v>3.4</v>
      </c>
      <c r="E544" s="231"/>
      <c r="F544" s="131">
        <f>-ROUND(D544*$C544/100,0)</f>
        <v>0</v>
      </c>
      <c r="G544" s="247">
        <v>3.61</v>
      </c>
      <c r="H544" s="231"/>
      <c r="I544" s="131">
        <f t="shared" si="165"/>
        <v>0</v>
      </c>
      <c r="J544" s="247">
        <f>J532</f>
        <v>3.64</v>
      </c>
      <c r="K544" s="231"/>
      <c r="L544" s="131">
        <f>-ROUND(J544*$C544/100,0)</f>
        <v>0</v>
      </c>
      <c r="M544" s="131"/>
      <c r="N544" s="247">
        <f>N532</f>
        <v>0.48</v>
      </c>
      <c r="O544" s="231"/>
      <c r="P544" s="131">
        <f>-ROUND(N544*$C544/100,0)</f>
        <v>0</v>
      </c>
      <c r="Q544" s="131"/>
      <c r="R544" s="247">
        <f>R532</f>
        <v>0.63</v>
      </c>
      <c r="S544" s="231"/>
      <c r="T544" s="131">
        <f>-ROUND(R544*$C544/100,0)</f>
        <v>0</v>
      </c>
      <c r="U544" s="131"/>
      <c r="V544" s="247">
        <f>V532</f>
        <v>2.54</v>
      </c>
      <c r="W544" s="231"/>
      <c r="X544" s="131">
        <f>-ROUND(V544*$C544/100,0)</f>
        <v>0</v>
      </c>
      <c r="Y544" s="53"/>
      <c r="Z544" s="110"/>
      <c r="AA544" s="110"/>
      <c r="AB544" s="110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</row>
    <row r="545" spans="1:47" hidden="1">
      <c r="A545" s="169" t="s">
        <v>162</v>
      </c>
      <c r="B545" s="169"/>
      <c r="C545" s="227">
        <v>0</v>
      </c>
      <c r="D545" s="248">
        <v>9.766</v>
      </c>
      <c r="E545" s="231" t="s">
        <v>107</v>
      </c>
      <c r="F545" s="131">
        <f>ROUND(D545*$C545/100*D540,0)</f>
        <v>0</v>
      </c>
      <c r="G545" s="248">
        <v>10.359</v>
      </c>
      <c r="H545" s="231" t="s">
        <v>107</v>
      </c>
      <c r="I545" s="131">
        <f>ROUND(G545*$C545/100*G540,0)</f>
        <v>0</v>
      </c>
      <c r="J545" s="248">
        <f>J533</f>
        <v>10.449</v>
      </c>
      <c r="K545" s="231" t="s">
        <v>107</v>
      </c>
      <c r="L545" s="131">
        <f>ROUND(J545*$C545/100*J540,0)</f>
        <v>0</v>
      </c>
      <c r="M545" s="131"/>
      <c r="N545" s="248">
        <f>N533</f>
        <v>1.3644187751662151</v>
      </c>
      <c r="O545" s="231" t="s">
        <v>107</v>
      </c>
      <c r="P545" s="131">
        <f>ROUND(N545*$C545/100*N540,0)</f>
        <v>0</v>
      </c>
      <c r="Q545" s="131"/>
      <c r="R545" s="248">
        <f>R533</f>
        <v>1.7973223544650079</v>
      </c>
      <c r="S545" s="231" t="s">
        <v>107</v>
      </c>
      <c r="T545" s="131">
        <f>ROUND(R545*$C545/100*R540,0)</f>
        <v>0</v>
      </c>
      <c r="U545" s="131"/>
      <c r="V545" s="248">
        <f>V533</f>
        <v>7.2874254450520697</v>
      </c>
      <c r="W545" s="231" t="s">
        <v>107</v>
      </c>
      <c r="X545" s="131">
        <f>ROUND(V545*$C545/100*V540,0)</f>
        <v>0</v>
      </c>
      <c r="Y545" s="53"/>
      <c r="Z545" s="110"/>
      <c r="AA545" s="110"/>
      <c r="AB545" s="110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</row>
    <row r="546" spans="1:47" hidden="1">
      <c r="A546" s="169" t="s">
        <v>150</v>
      </c>
      <c r="B546" s="169"/>
      <c r="C546" s="227">
        <v>0</v>
      </c>
      <c r="D546" s="248">
        <v>6.7460000000000004</v>
      </c>
      <c r="E546" s="231" t="s">
        <v>107</v>
      </c>
      <c r="F546" s="131">
        <f>ROUND(D546*$C546/100*D540,0)</f>
        <v>0</v>
      </c>
      <c r="G546" s="248">
        <v>7.1559999999999997</v>
      </c>
      <c r="H546" s="231" t="s">
        <v>107</v>
      </c>
      <c r="I546" s="131">
        <f>ROUND(G546*$C546/100*G540,0)</f>
        <v>0</v>
      </c>
      <c r="J546" s="248">
        <f>J534</f>
        <v>7.218</v>
      </c>
      <c r="K546" s="231" t="s">
        <v>107</v>
      </c>
      <c r="L546" s="131">
        <f>ROUND(J546*$C546/100*J540,0)</f>
        <v>0</v>
      </c>
      <c r="M546" s="131"/>
      <c r="N546" s="248">
        <f>N534</f>
        <v>0.94251839115112013</v>
      </c>
      <c r="O546" s="231" t="s">
        <v>107</v>
      </c>
      <c r="P546" s="131">
        <f>ROUND(N546*$C546/100*N540,0)</f>
        <v>0</v>
      </c>
      <c r="Q546" s="131"/>
      <c r="R546" s="248">
        <f>R534</f>
        <v>1.2418703884281421</v>
      </c>
      <c r="S546" s="231" t="s">
        <v>107</v>
      </c>
      <c r="T546" s="131">
        <f>ROUND(R546*$C546/100*R540,0)</f>
        <v>0</v>
      </c>
      <c r="U546" s="131"/>
      <c r="V546" s="248">
        <f>V534</f>
        <v>5.0333446832527242</v>
      </c>
      <c r="W546" s="231" t="s">
        <v>107</v>
      </c>
      <c r="X546" s="131">
        <f>ROUND(V546*$C546/100*V540,0)</f>
        <v>0</v>
      </c>
      <c r="Y546" s="53"/>
      <c r="Z546" s="110"/>
      <c r="AA546" s="110"/>
      <c r="AB546" s="110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</row>
    <row r="547" spans="1:47" hidden="1">
      <c r="A547" s="169" t="s">
        <v>151</v>
      </c>
      <c r="B547" s="169"/>
      <c r="C547" s="227">
        <v>0</v>
      </c>
      <c r="D547" s="248">
        <v>5.8120000000000003</v>
      </c>
      <c r="E547" s="231" t="s">
        <v>107</v>
      </c>
      <c r="F547" s="131">
        <f>ROUND(D547*$C547/100*D540,0)</f>
        <v>0</v>
      </c>
      <c r="G547" s="248">
        <v>6.1660000000000004</v>
      </c>
      <c r="H547" s="231" t="s">
        <v>107</v>
      </c>
      <c r="I547" s="131">
        <f>ROUND(G547*$C547/100*G540,0)</f>
        <v>0</v>
      </c>
      <c r="J547" s="248">
        <f>J535</f>
        <v>6.218</v>
      </c>
      <c r="K547" s="231" t="s">
        <v>107</v>
      </c>
      <c r="L547" s="131">
        <f>ROUND(J547*$C547/100*J540,0)</f>
        <v>0</v>
      </c>
      <c r="M547" s="131"/>
      <c r="N547" s="248">
        <f>N535</f>
        <v>0.81193939748297494</v>
      </c>
      <c r="O547" s="231" t="s">
        <v>107</v>
      </c>
      <c r="P547" s="131">
        <f>ROUND(N547*$C547/100*N540,0)</f>
        <v>0</v>
      </c>
      <c r="Q547" s="131"/>
      <c r="R547" s="248">
        <f>R535</f>
        <v>1.0689569190308457</v>
      </c>
      <c r="S547" s="231" t="s">
        <v>107</v>
      </c>
      <c r="T547" s="131">
        <f>ROUND(R547*$C547/100*R540,0)</f>
        <v>0</v>
      </c>
      <c r="U547" s="131"/>
      <c r="V547" s="248">
        <f>V535</f>
        <v>4.3370117827017491</v>
      </c>
      <c r="W547" s="231" t="s">
        <v>107</v>
      </c>
      <c r="X547" s="131">
        <f>ROUND(V547*$C547/100*V540,0)</f>
        <v>0</v>
      </c>
      <c r="Y547" s="53"/>
      <c r="Z547" s="110"/>
      <c r="AA547" s="110"/>
      <c r="AB547" s="110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</row>
    <row r="548" spans="1:47" hidden="1">
      <c r="A548" s="169" t="s">
        <v>152</v>
      </c>
      <c r="B548" s="169"/>
      <c r="C548" s="227">
        <v>0</v>
      </c>
      <c r="D548" s="249">
        <v>56</v>
      </c>
      <c r="E548" s="231" t="s">
        <v>107</v>
      </c>
      <c r="F548" s="131">
        <f>ROUND(D548*$C548/100*D540,0)</f>
        <v>0</v>
      </c>
      <c r="G548" s="249">
        <v>56</v>
      </c>
      <c r="H548" s="231" t="s">
        <v>107</v>
      </c>
      <c r="I548" s="131">
        <f>ROUND(G548*$C548/100*G540,0)</f>
        <v>0</v>
      </c>
      <c r="J548" s="249">
        <f>J536</f>
        <v>56</v>
      </c>
      <c r="K548" s="231" t="s">
        <v>107</v>
      </c>
      <c r="L548" s="131">
        <f>ROUND(J548*$C548/100*J540,0)</f>
        <v>0</v>
      </c>
      <c r="M548" s="131"/>
      <c r="N548" s="249" t="str">
        <f>N536</f>
        <v xml:space="preserve"> </v>
      </c>
      <c r="O548" s="231" t="s">
        <v>107</v>
      </c>
      <c r="P548" s="131">
        <f>ROUND(N548*$C548/100*N540,0)</f>
        <v>0</v>
      </c>
      <c r="Q548" s="131"/>
      <c r="R548" s="249">
        <f>R536</f>
        <v>11</v>
      </c>
      <c r="S548" s="231" t="s">
        <v>107</v>
      </c>
      <c r="T548" s="131">
        <f>ROUND(R548*$C548/100*R540,0)</f>
        <v>0</v>
      </c>
      <c r="U548" s="131"/>
      <c r="V548" s="249">
        <f>V536</f>
        <v>45</v>
      </c>
      <c r="W548" s="231" t="s">
        <v>107</v>
      </c>
      <c r="X548" s="131">
        <f>ROUND(V548*$C548/100*V540,0)</f>
        <v>0</v>
      </c>
      <c r="Y548" s="53"/>
      <c r="Z548" s="110"/>
      <c r="AA548" s="110"/>
      <c r="AB548" s="110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</row>
    <row r="549" spans="1:47" hidden="1">
      <c r="A549" s="169" t="s">
        <v>163</v>
      </c>
      <c r="B549" s="169"/>
      <c r="C549" s="227">
        <v>0</v>
      </c>
      <c r="D549" s="250">
        <v>60</v>
      </c>
      <c r="E549" s="229"/>
      <c r="F549" s="131">
        <f>ROUND(D549*$C549,0)</f>
        <v>0</v>
      </c>
      <c r="G549" s="250">
        <v>60</v>
      </c>
      <c r="H549" s="231"/>
      <c r="I549" s="131">
        <f>ROUND(G549*C549,0)</f>
        <v>0</v>
      </c>
      <c r="J549" s="250">
        <f>$J$198</f>
        <v>60</v>
      </c>
      <c r="K549" s="231"/>
      <c r="L549" s="131">
        <f>ROUND(J549*$C549,0)</f>
        <v>0</v>
      </c>
      <c r="M549" s="131"/>
      <c r="N549" s="250" t="str">
        <f>$N$198</f>
        <v xml:space="preserve"> </v>
      </c>
      <c r="O549" s="231"/>
      <c r="P549" s="131">
        <f>ROUND(N549*$C549,0)</f>
        <v>0</v>
      </c>
      <c r="Q549" s="131"/>
      <c r="R549" s="250">
        <f>$R$198</f>
        <v>11.86</v>
      </c>
      <c r="S549" s="231"/>
      <c r="T549" s="131">
        <f>ROUND(R549*$C549,0)</f>
        <v>0</v>
      </c>
      <c r="U549" s="131"/>
      <c r="V549" s="250">
        <f>$V$198</f>
        <v>48.14</v>
      </c>
      <c r="W549" s="231"/>
      <c r="X549" s="131">
        <f>ROUND(V549*$C549,0)</f>
        <v>0</v>
      </c>
      <c r="Y549" s="53"/>
      <c r="Z549" s="110"/>
      <c r="AA549" s="110"/>
      <c r="AB549" s="110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</row>
    <row r="550" spans="1:47" hidden="1">
      <c r="A550" s="169" t="s">
        <v>164</v>
      </c>
      <c r="B550" s="169"/>
      <c r="C550" s="227">
        <v>0</v>
      </c>
      <c r="D550" s="251">
        <v>-30</v>
      </c>
      <c r="E550" s="229" t="s">
        <v>107</v>
      </c>
      <c r="F550" s="131">
        <f>ROUND(D550*$C550/100,0)</f>
        <v>0</v>
      </c>
      <c r="G550" s="251">
        <v>-30</v>
      </c>
      <c r="H550" s="231" t="s">
        <v>107</v>
      </c>
      <c r="I550" s="131">
        <f>ROUND(G550*C550/100,0)</f>
        <v>0</v>
      </c>
      <c r="J550" s="251">
        <f>$J$199</f>
        <v>-30</v>
      </c>
      <c r="K550" s="231" t="s">
        <v>107</v>
      </c>
      <c r="L550" s="131">
        <f>ROUND(J550*$C550/100,0)</f>
        <v>0</v>
      </c>
      <c r="M550" s="131"/>
      <c r="N550" s="251">
        <f>$N$199</f>
        <v>-30</v>
      </c>
      <c r="O550" s="231" t="s">
        <v>107</v>
      </c>
      <c r="P550" s="131">
        <f>ROUND(N550*$C550/100,0)</f>
        <v>0</v>
      </c>
      <c r="Q550" s="131"/>
      <c r="R550" s="251" t="str">
        <f>$R$199</f>
        <v xml:space="preserve"> </v>
      </c>
      <c r="S550" s="231" t="s">
        <v>107</v>
      </c>
      <c r="T550" s="131">
        <f>ROUND(R550*$C550/100,0)</f>
        <v>0</v>
      </c>
      <c r="U550" s="131"/>
      <c r="V550" s="251" t="str">
        <f>$V$199</f>
        <v xml:space="preserve"> </v>
      </c>
      <c r="W550" s="231" t="s">
        <v>107</v>
      </c>
      <c r="X550" s="131">
        <f>ROUND(V550*$C550/100,0)</f>
        <v>0</v>
      </c>
      <c r="Y550" s="53"/>
      <c r="Z550" s="110"/>
      <c r="AA550" s="110"/>
      <c r="AB550" s="110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</row>
    <row r="551" spans="1:47" s="141" customFormat="1" hidden="1">
      <c r="A551" s="140" t="s">
        <v>153</v>
      </c>
      <c r="C551" s="142">
        <f>C545</f>
        <v>0</v>
      </c>
      <c r="D551" s="138"/>
      <c r="E551" s="143"/>
      <c r="F551" s="144"/>
      <c r="G551" s="138"/>
      <c r="H551" s="143"/>
      <c r="I551" s="144"/>
      <c r="J551" s="145">
        <f>J183</f>
        <v>0</v>
      </c>
      <c r="K551" s="240" t="s">
        <v>107</v>
      </c>
      <c r="L551" s="131">
        <f>ROUND(J551*$C551/100*J540,0)</f>
        <v>0</v>
      </c>
      <c r="M551" s="131"/>
      <c r="N551" s="145" t="str">
        <f>N183</f>
        <v xml:space="preserve"> </v>
      </c>
      <c r="O551" s="240" t="s">
        <v>107</v>
      </c>
      <c r="P551" s="131">
        <f>ROUND(N551*$C551/100*N540,0)</f>
        <v>0</v>
      </c>
      <c r="Q551" s="131"/>
      <c r="R551" s="145" t="str">
        <f>R183</f>
        <v xml:space="preserve"> </v>
      </c>
      <c r="S551" s="240" t="s">
        <v>107</v>
      </c>
      <c r="T551" s="131">
        <f>ROUND(R551*$C551/100*R540,0)</f>
        <v>0</v>
      </c>
      <c r="U551" s="131"/>
      <c r="V551" s="145">
        <f>V183</f>
        <v>0</v>
      </c>
      <c r="W551" s="240" t="s">
        <v>107</v>
      </c>
      <c r="X551" s="131">
        <f>ROUND(V551*$C551/100*V540,0)</f>
        <v>0</v>
      </c>
      <c r="Z551" s="132"/>
      <c r="AC551" s="148"/>
      <c r="AD551" s="148"/>
      <c r="AI551" s="143"/>
      <c r="AJ551" s="143"/>
      <c r="AK551" s="143"/>
      <c r="AL551" s="143"/>
      <c r="AM551" s="143"/>
      <c r="AN551" s="143"/>
      <c r="AO551" s="143"/>
      <c r="AP551" s="143"/>
      <c r="AQ551" s="143"/>
      <c r="AR551" s="143"/>
      <c r="AS551" s="143"/>
      <c r="AU551" s="147"/>
    </row>
    <row r="552" spans="1:47" s="141" customFormat="1" hidden="1">
      <c r="A552" s="140" t="s">
        <v>154</v>
      </c>
      <c r="C552" s="142">
        <f>C546</f>
        <v>0</v>
      </c>
      <c r="D552" s="138"/>
      <c r="E552" s="143"/>
      <c r="F552" s="144"/>
      <c r="G552" s="138"/>
      <c r="H552" s="143"/>
      <c r="I552" s="144"/>
      <c r="J552" s="145">
        <f>J184</f>
        <v>0</v>
      </c>
      <c r="K552" s="240" t="s">
        <v>107</v>
      </c>
      <c r="L552" s="131">
        <f>ROUND(J552*$C552/100*J540,0)</f>
        <v>0</v>
      </c>
      <c r="M552" s="131"/>
      <c r="N552" s="145" t="str">
        <f>N184</f>
        <v xml:space="preserve"> </v>
      </c>
      <c r="O552" s="240" t="s">
        <v>107</v>
      </c>
      <c r="P552" s="131">
        <f>ROUND(N552*$C552/100*N540,0)</f>
        <v>0</v>
      </c>
      <c r="Q552" s="131"/>
      <c r="R552" s="145" t="str">
        <f>R184</f>
        <v xml:space="preserve"> </v>
      </c>
      <c r="S552" s="240" t="s">
        <v>107</v>
      </c>
      <c r="T552" s="131">
        <f>ROUND(R552*$C552/100*R540,0)</f>
        <v>0</v>
      </c>
      <c r="U552" s="131"/>
      <c r="V552" s="145">
        <f>V184</f>
        <v>0</v>
      </c>
      <c r="W552" s="240" t="s">
        <v>107</v>
      </c>
      <c r="X552" s="131">
        <f>ROUND(V552*$C552/100*V540,0)</f>
        <v>0</v>
      </c>
      <c r="Z552" s="132"/>
      <c r="AC552" s="148"/>
      <c r="AD552" s="148"/>
      <c r="AI552" s="143"/>
      <c r="AJ552" s="143"/>
      <c r="AK552" s="143"/>
      <c r="AL552" s="143"/>
      <c r="AM552" s="143"/>
      <c r="AN552" s="143"/>
      <c r="AO552" s="143"/>
      <c r="AP552" s="143"/>
      <c r="AQ552" s="143"/>
      <c r="AR552" s="143"/>
      <c r="AS552" s="143"/>
      <c r="AU552" s="147"/>
    </row>
    <row r="553" spans="1:47" s="141" customFormat="1" hidden="1">
      <c r="A553" s="140" t="s">
        <v>155</v>
      </c>
      <c r="C553" s="142">
        <f>C547</f>
        <v>0</v>
      </c>
      <c r="D553" s="138"/>
      <c r="E553" s="143"/>
      <c r="F553" s="144"/>
      <c r="G553" s="138"/>
      <c r="H553" s="143"/>
      <c r="I553" s="144"/>
      <c r="J553" s="145">
        <f>J185</f>
        <v>0</v>
      </c>
      <c r="K553" s="240" t="s">
        <v>107</v>
      </c>
      <c r="L553" s="131">
        <f>ROUND(J553*$C553/100*J540,0)</f>
        <v>0</v>
      </c>
      <c r="M553" s="131"/>
      <c r="N553" s="145" t="str">
        <f>N185</f>
        <v xml:space="preserve"> </v>
      </c>
      <c r="O553" s="240" t="s">
        <v>107</v>
      </c>
      <c r="P553" s="131">
        <f>ROUND(N553*$C553/100*N540,0)</f>
        <v>0</v>
      </c>
      <c r="Q553" s="131"/>
      <c r="R553" s="145" t="str">
        <f>R185</f>
        <v xml:space="preserve"> </v>
      </c>
      <c r="S553" s="240" t="s">
        <v>107</v>
      </c>
      <c r="T553" s="131">
        <f>ROUND(R553*$C553/100*R540,0)</f>
        <v>0</v>
      </c>
      <c r="U553" s="131"/>
      <c r="V553" s="145">
        <f>V185</f>
        <v>0</v>
      </c>
      <c r="W553" s="240" t="s">
        <v>107</v>
      </c>
      <c r="X553" s="131">
        <f>ROUND(V553*$C553/100*V540,0)</f>
        <v>0</v>
      </c>
      <c r="Z553" s="132"/>
      <c r="AC553" s="148"/>
      <c r="AD553" s="148"/>
      <c r="AI553" s="143"/>
      <c r="AJ553" s="143"/>
      <c r="AK553" s="143"/>
      <c r="AL553" s="143"/>
      <c r="AM553" s="143"/>
      <c r="AN553" s="143"/>
      <c r="AO553" s="143"/>
      <c r="AP553" s="143"/>
      <c r="AQ553" s="143"/>
      <c r="AR553" s="143"/>
      <c r="AS553" s="143"/>
      <c r="AU553" s="147"/>
    </row>
    <row r="554" spans="1:47" hidden="1">
      <c r="A554" s="169" t="s">
        <v>133</v>
      </c>
      <c r="B554" s="169"/>
      <c r="C554" s="227">
        <f>SUM(C533:C535)</f>
        <v>9552</v>
      </c>
      <c r="D554" s="237"/>
      <c r="E554" s="131"/>
      <c r="F554" s="131">
        <f>SUM(F527:F550)</f>
        <v>2813</v>
      </c>
      <c r="G554" s="237"/>
      <c r="H554" s="231"/>
      <c r="I554" s="131">
        <f>SUM(I527:I550)</f>
        <v>2926</v>
      </c>
      <c r="J554" s="237"/>
      <c r="K554" s="231"/>
      <c r="L554" s="131">
        <f>SUM(L527:L553)</f>
        <v>3030</v>
      </c>
      <c r="M554" s="131"/>
      <c r="N554" s="237"/>
      <c r="O554" s="231"/>
      <c r="P554" s="131">
        <f>SUM(P527:P553)</f>
        <v>1329</v>
      </c>
      <c r="Q554" s="131"/>
      <c r="R554" s="237"/>
      <c r="S554" s="231"/>
      <c r="T554" s="131">
        <f>SUM(T527:T553)</f>
        <v>338</v>
      </c>
      <c r="U554" s="131"/>
      <c r="V554" s="237"/>
      <c r="W554" s="231"/>
      <c r="X554" s="131">
        <f>SUM(X527:X553)</f>
        <v>1365</v>
      </c>
      <c r="Y554" s="53"/>
      <c r="Z554" s="110"/>
      <c r="AA554" s="110"/>
      <c r="AB554" s="110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</row>
    <row r="555" spans="1:47" hidden="1">
      <c r="A555" s="169" t="s">
        <v>111</v>
      </c>
      <c r="B555" s="169"/>
      <c r="C555" s="275">
        <v>-152.99954160020027</v>
      </c>
      <c r="D555" s="154"/>
      <c r="E555" s="154"/>
      <c r="F555" s="254">
        <f>I555</f>
        <v>-61.346930189487033</v>
      </c>
      <c r="G555" s="154"/>
      <c r="H555" s="154"/>
      <c r="I555" s="254">
        <v>-61.346930189487033</v>
      </c>
      <c r="J555" s="154"/>
      <c r="K555" s="154"/>
      <c r="L555" s="254">
        <f>I555</f>
        <v>-61.346930189487033</v>
      </c>
      <c r="M555" s="230"/>
      <c r="N555" s="154"/>
      <c r="O555" s="154"/>
      <c r="P555" s="254">
        <f>P204/L204*L555</f>
        <v>-12.093406396704196</v>
      </c>
      <c r="Q555" s="230"/>
      <c r="R555" s="154"/>
      <c r="S555" s="154"/>
      <c r="T555" s="254">
        <f>T204/L204*L555</f>
        <v>-9.7390450980643006</v>
      </c>
      <c r="U555" s="230"/>
      <c r="V555" s="154"/>
      <c r="W555" s="154"/>
      <c r="X555" s="254">
        <f>X204/L204*L555</f>
        <v>-39.514478694718527</v>
      </c>
      <c r="Y555" s="185"/>
      <c r="Z555" s="183"/>
      <c r="AA555" s="110"/>
      <c r="AB555" s="110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</row>
    <row r="556" spans="1:47" ht="16.5" hidden="1" thickBot="1">
      <c r="A556" s="169" t="s">
        <v>134</v>
      </c>
      <c r="B556" s="169"/>
      <c r="C556" s="214">
        <f>SUM(C554:C555)</f>
        <v>9399.0004583997998</v>
      </c>
      <c r="D556" s="272"/>
      <c r="E556" s="256"/>
      <c r="F556" s="257">
        <f>F554+F555</f>
        <v>2751.653069810513</v>
      </c>
      <c r="G556" s="272"/>
      <c r="H556" s="258"/>
      <c r="I556" s="257">
        <f>I554+I555</f>
        <v>2864.653069810513</v>
      </c>
      <c r="J556" s="272"/>
      <c r="K556" s="258"/>
      <c r="L556" s="257">
        <f>L554+L555</f>
        <v>2968.653069810513</v>
      </c>
      <c r="M556" s="257"/>
      <c r="N556" s="272"/>
      <c r="O556" s="258"/>
      <c r="P556" s="257">
        <f>P554+P555</f>
        <v>1316.9065936032957</v>
      </c>
      <c r="Q556" s="257"/>
      <c r="R556" s="272"/>
      <c r="S556" s="258"/>
      <c r="T556" s="257">
        <f>T554+T555</f>
        <v>328.26095490193569</v>
      </c>
      <c r="U556" s="257"/>
      <c r="V556" s="272"/>
      <c r="W556" s="258"/>
      <c r="X556" s="257">
        <f>X554+X555</f>
        <v>1325.4855213052815</v>
      </c>
      <c r="Y556" s="186"/>
      <c r="Z556" s="187"/>
      <c r="AA556" s="110"/>
      <c r="AB556" s="110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</row>
    <row r="557" spans="1:47" hidden="1">
      <c r="A557" s="169"/>
      <c r="B557" s="169"/>
      <c r="C557" s="189"/>
      <c r="D557" s="250" t="s">
        <v>0</v>
      </c>
      <c r="E557" s="131"/>
      <c r="F557" s="131"/>
      <c r="G557" s="250" t="s">
        <v>0</v>
      </c>
      <c r="H557" s="169"/>
      <c r="I557" s="131"/>
      <c r="J557" s="277" t="s">
        <v>0</v>
      </c>
      <c r="K557" s="169"/>
      <c r="L557" s="131" t="s">
        <v>0</v>
      </c>
      <c r="M557" s="131"/>
      <c r="N557" s="277" t="s">
        <v>0</v>
      </c>
      <c r="O557" s="169"/>
      <c r="P557" s="131" t="s">
        <v>0</v>
      </c>
      <c r="Q557" s="131"/>
      <c r="R557" s="277" t="s">
        <v>0</v>
      </c>
      <c r="S557" s="169"/>
      <c r="T557" s="131" t="s">
        <v>0</v>
      </c>
      <c r="U557" s="131"/>
      <c r="V557" s="277" t="s">
        <v>0</v>
      </c>
      <c r="W557" s="169"/>
      <c r="X557" s="131" t="s">
        <v>0</v>
      </c>
      <c r="Y557" s="53"/>
      <c r="Z557" s="110"/>
      <c r="AA557" s="110"/>
      <c r="AB557" s="110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</row>
    <row r="558" spans="1:47">
      <c r="A558" s="188" t="s">
        <v>177</v>
      </c>
      <c r="B558" s="169"/>
      <c r="C558" s="278"/>
      <c r="D558" s="131"/>
      <c r="E558" s="131"/>
      <c r="F558" s="169"/>
      <c r="G558" s="131"/>
      <c r="H558" s="169"/>
      <c r="I558" s="169"/>
      <c r="J558" s="131"/>
      <c r="K558" s="169"/>
      <c r="L558" s="131" t="s">
        <v>0</v>
      </c>
      <c r="M558" s="131"/>
      <c r="N558" s="131"/>
      <c r="O558" s="169"/>
      <c r="P558" s="131" t="s">
        <v>0</v>
      </c>
      <c r="Q558" s="131"/>
      <c r="R558" s="131"/>
      <c r="S558" s="169"/>
      <c r="T558" s="131" t="s">
        <v>0</v>
      </c>
      <c r="U558" s="131"/>
      <c r="V558" s="131"/>
      <c r="W558" s="169"/>
      <c r="X558" s="131" t="s">
        <v>0</v>
      </c>
      <c r="Y558" s="53"/>
      <c r="Z558" s="110"/>
      <c r="AA558" s="110"/>
      <c r="AB558" s="110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</row>
    <row r="559" spans="1:47">
      <c r="A559" s="231" t="s">
        <v>51</v>
      </c>
      <c r="B559" s="169"/>
      <c r="C559" s="169" t="s">
        <v>0</v>
      </c>
      <c r="D559" s="131"/>
      <c r="E559" s="131"/>
      <c r="F559" s="169"/>
      <c r="G559" s="131"/>
      <c r="H559" s="169"/>
      <c r="I559" s="169"/>
      <c r="J559" s="131"/>
      <c r="K559" s="169"/>
      <c r="L559" s="169"/>
      <c r="M559" s="169"/>
      <c r="N559" s="131"/>
      <c r="O559" s="169"/>
      <c r="P559" s="169"/>
      <c r="Q559" s="169"/>
      <c r="R559" s="131"/>
      <c r="S559" s="169"/>
      <c r="T559" s="169"/>
      <c r="U559" s="169"/>
      <c r="V559" s="131"/>
      <c r="W559" s="169"/>
      <c r="X559" s="169"/>
      <c r="Y559" s="53"/>
      <c r="Z559" s="110"/>
      <c r="AA559" s="110"/>
      <c r="AB559" s="110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</row>
    <row r="560" spans="1:47">
      <c r="A560" s="231"/>
      <c r="B560" s="169"/>
      <c r="C560" s="169"/>
      <c r="D560" s="131"/>
      <c r="E560" s="131"/>
      <c r="F560" s="169"/>
      <c r="G560" s="131"/>
      <c r="H560" s="169"/>
      <c r="I560" s="169"/>
      <c r="J560" s="131"/>
      <c r="K560" s="169"/>
      <c r="L560" s="169"/>
      <c r="M560" s="169"/>
      <c r="N560" s="131"/>
      <c r="O560" s="169"/>
      <c r="P560" s="169"/>
      <c r="Q560" s="169"/>
      <c r="R560" s="131"/>
      <c r="S560" s="169"/>
      <c r="T560" s="169"/>
      <c r="U560" s="169"/>
      <c r="V560" s="131"/>
      <c r="W560" s="169"/>
      <c r="X560" s="169"/>
      <c r="Y560" s="53"/>
      <c r="Z560" s="110"/>
      <c r="AA560" s="110"/>
      <c r="AB560" s="110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</row>
    <row r="561" spans="1:47">
      <c r="A561" s="231" t="s">
        <v>146</v>
      </c>
      <c r="B561" s="169"/>
      <c r="C561" s="227"/>
      <c r="D561" s="131"/>
      <c r="E561" s="131"/>
      <c r="F561" s="169"/>
      <c r="G561" s="131"/>
      <c r="H561" s="169"/>
      <c r="I561" s="169"/>
      <c r="J561" s="131"/>
      <c r="K561" s="169"/>
      <c r="L561" s="169"/>
      <c r="M561" s="169"/>
      <c r="N561" s="131"/>
      <c r="O561" s="169"/>
      <c r="P561" s="169"/>
      <c r="Q561" s="169"/>
      <c r="R561" s="131"/>
      <c r="S561" s="169"/>
      <c r="T561" s="169"/>
      <c r="U561" s="169"/>
      <c r="V561" s="131"/>
      <c r="W561" s="169"/>
      <c r="X561" s="169"/>
      <c r="Y561" s="53"/>
      <c r="Z561" s="110"/>
      <c r="AA561" s="110"/>
      <c r="AB561" s="110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</row>
    <row r="562" spans="1:47">
      <c r="A562" s="231" t="s">
        <v>178</v>
      </c>
      <c r="B562" s="169"/>
      <c r="C562" s="227">
        <v>0</v>
      </c>
      <c r="D562" s="200">
        <v>259</v>
      </c>
      <c r="E562" s="231"/>
      <c r="F562" s="229">
        <f t="shared" ref="F562:F564" si="166">ROUND(D562*$C562,0)</f>
        <v>0</v>
      </c>
      <c r="G562" s="200">
        <v>259</v>
      </c>
      <c r="H562" s="231"/>
      <c r="I562" s="229">
        <f>ROUND(E562*$C562,0)</f>
        <v>0</v>
      </c>
      <c r="J562" s="200">
        <v>259</v>
      </c>
      <c r="K562" s="231"/>
      <c r="L562" s="229">
        <f>ROUND(J562*$C562,0)</f>
        <v>0</v>
      </c>
      <c r="M562" s="229"/>
      <c r="N562" s="200">
        <v>259</v>
      </c>
      <c r="O562" s="231"/>
      <c r="P562" s="229">
        <v>0</v>
      </c>
      <c r="Q562" s="229"/>
      <c r="R562" s="200" t="s">
        <v>0</v>
      </c>
      <c r="S562" s="231"/>
      <c r="T562" s="229">
        <v>0</v>
      </c>
      <c r="U562" s="229"/>
      <c r="V562" s="200" t="s">
        <v>0</v>
      </c>
      <c r="W562" s="231"/>
      <c r="X562" s="229">
        <v>0</v>
      </c>
      <c r="Y562" s="53"/>
      <c r="Z562" s="110"/>
      <c r="AA562" s="110"/>
      <c r="AB562" s="110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</row>
    <row r="563" spans="1:47">
      <c r="A563" s="231" t="s">
        <v>179</v>
      </c>
      <c r="B563" s="169"/>
      <c r="C563" s="227">
        <v>0</v>
      </c>
      <c r="D563" s="200">
        <v>96</v>
      </c>
      <c r="E563" s="231"/>
      <c r="F563" s="229">
        <f t="shared" si="166"/>
        <v>0</v>
      </c>
      <c r="G563" s="200">
        <v>96</v>
      </c>
      <c r="H563" s="231"/>
      <c r="I563" s="229">
        <f>ROUND(E563*$C563,0)</f>
        <v>0</v>
      </c>
      <c r="J563" s="200">
        <v>96</v>
      </c>
      <c r="K563" s="231"/>
      <c r="L563" s="229">
        <f>ROUND(J563*$C563,0)</f>
        <v>0</v>
      </c>
      <c r="M563" s="229"/>
      <c r="N563" s="200">
        <v>96</v>
      </c>
      <c r="O563" s="231"/>
      <c r="P563" s="229">
        <v>0</v>
      </c>
      <c r="Q563" s="229"/>
      <c r="R563" s="200" t="s">
        <v>0</v>
      </c>
      <c r="S563" s="231"/>
      <c r="T563" s="229">
        <v>0</v>
      </c>
      <c r="U563" s="229"/>
      <c r="V563" s="200" t="s">
        <v>0</v>
      </c>
      <c r="W563" s="231"/>
      <c r="X563" s="229">
        <v>0</v>
      </c>
      <c r="Y563" s="53"/>
      <c r="Z563" s="110"/>
      <c r="AA563" s="110"/>
      <c r="AB563" s="110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</row>
    <row r="564" spans="1:47">
      <c r="A564" s="231" t="s">
        <v>180</v>
      </c>
      <c r="B564" s="169"/>
      <c r="C564" s="227">
        <v>0</v>
      </c>
      <c r="D564" s="200">
        <v>192</v>
      </c>
      <c r="E564" s="233"/>
      <c r="F564" s="229">
        <f t="shared" si="166"/>
        <v>0</v>
      </c>
      <c r="G564" s="200">
        <v>192</v>
      </c>
      <c r="H564" s="233"/>
      <c r="I564" s="229">
        <f>ROUND(E564*$C564,0)</f>
        <v>0</v>
      </c>
      <c r="J564" s="200">
        <v>192</v>
      </c>
      <c r="K564" s="233"/>
      <c r="L564" s="229">
        <f>ROUND(J564*$C564,0)</f>
        <v>0</v>
      </c>
      <c r="M564" s="229"/>
      <c r="N564" s="200">
        <v>192</v>
      </c>
      <c r="O564" s="233"/>
      <c r="P564" s="229">
        <v>0</v>
      </c>
      <c r="Q564" s="229"/>
      <c r="R564" s="200" t="s">
        <v>0</v>
      </c>
      <c r="S564" s="233"/>
      <c r="T564" s="229">
        <v>0</v>
      </c>
      <c r="U564" s="229"/>
      <c r="V564" s="200" t="s">
        <v>0</v>
      </c>
      <c r="W564" s="233"/>
      <c r="X564" s="229">
        <v>0</v>
      </c>
      <c r="Y564" s="53"/>
      <c r="Z564" s="110"/>
      <c r="AA564" s="110"/>
      <c r="AB564" s="110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</row>
    <row r="565" spans="1:47">
      <c r="A565" s="231" t="s">
        <v>147</v>
      </c>
      <c r="B565" s="169"/>
      <c r="C565" s="227">
        <f>SUM(C562:C564)</f>
        <v>0</v>
      </c>
      <c r="D565" s="200"/>
      <c r="E565" s="231"/>
      <c r="F565" s="229"/>
      <c r="G565" s="200"/>
      <c r="H565" s="231"/>
      <c r="I565" s="229"/>
      <c r="J565" s="200"/>
      <c r="K565" s="231"/>
      <c r="L565" s="229"/>
      <c r="M565" s="229"/>
      <c r="N565" s="200"/>
      <c r="O565" s="231"/>
      <c r="P565" s="229"/>
      <c r="Q565" s="229"/>
      <c r="R565" s="200"/>
      <c r="S565" s="231"/>
      <c r="T565" s="229"/>
      <c r="U565" s="229"/>
      <c r="V565" s="200"/>
      <c r="W565" s="231"/>
      <c r="X565" s="229"/>
      <c r="Y565" s="53"/>
      <c r="Z565" s="110"/>
      <c r="AA565" s="110"/>
      <c r="AB565" s="110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</row>
    <row r="566" spans="1:47">
      <c r="A566" s="231" t="s">
        <v>179</v>
      </c>
      <c r="B566" s="169"/>
      <c r="C566" s="227">
        <v>0</v>
      </c>
      <c r="D566" s="200">
        <v>1.7</v>
      </c>
      <c r="E566" s="231" t="s">
        <v>0</v>
      </c>
      <c r="F566" s="229">
        <f>ROUND(D566*$C566,0)</f>
        <v>0</v>
      </c>
      <c r="G566" s="200">
        <v>1.7</v>
      </c>
      <c r="H566" s="231" t="s">
        <v>0</v>
      </c>
      <c r="I566" s="229">
        <f>ROUND(E566*$C566,0)</f>
        <v>0</v>
      </c>
      <c r="J566" s="200">
        <v>1.76</v>
      </c>
      <c r="K566" s="231" t="s">
        <v>0</v>
      </c>
      <c r="L566" s="229">
        <f>ROUND(J566*$C566,0)</f>
        <v>0</v>
      </c>
      <c r="M566" s="229"/>
      <c r="N566" s="200">
        <v>1.76</v>
      </c>
      <c r="O566" s="231" t="s">
        <v>0</v>
      </c>
      <c r="P566" s="229">
        <v>0</v>
      </c>
      <c r="Q566" s="229"/>
      <c r="R566" s="200" t="s">
        <v>0</v>
      </c>
      <c r="S566" s="231" t="s">
        <v>0</v>
      </c>
      <c r="T566" s="229">
        <v>0</v>
      </c>
      <c r="U566" s="229"/>
      <c r="V566" s="200" t="s">
        <v>0</v>
      </c>
      <c r="W566" s="231" t="s">
        <v>0</v>
      </c>
      <c r="X566" s="229">
        <v>0</v>
      </c>
      <c r="Y566" s="53"/>
      <c r="Z566" s="110"/>
      <c r="AA566" s="110"/>
      <c r="AB566" s="110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</row>
    <row r="567" spans="1:47">
      <c r="A567" s="231" t="s">
        <v>180</v>
      </c>
      <c r="B567" s="169"/>
      <c r="C567" s="227">
        <v>0</v>
      </c>
      <c r="D567" s="200">
        <v>1.39</v>
      </c>
      <c r="E567" s="231" t="s">
        <v>0</v>
      </c>
      <c r="F567" s="229">
        <f>ROUND(D567*$C567,0)</f>
        <v>0</v>
      </c>
      <c r="G567" s="200">
        <v>1.39</v>
      </c>
      <c r="H567" s="231" t="s">
        <v>0</v>
      </c>
      <c r="I567" s="229">
        <f>ROUND(E567*$C567,0)</f>
        <v>0</v>
      </c>
      <c r="J567" s="200">
        <v>1.44</v>
      </c>
      <c r="K567" s="231" t="s">
        <v>0</v>
      </c>
      <c r="L567" s="229">
        <f>ROUND(J567*$C567,0)</f>
        <v>0</v>
      </c>
      <c r="M567" s="229"/>
      <c r="N567" s="200">
        <v>1.44</v>
      </c>
      <c r="O567" s="231" t="s">
        <v>0</v>
      </c>
      <c r="P567" s="229">
        <v>0</v>
      </c>
      <c r="Q567" s="229"/>
      <c r="R567" s="200" t="s">
        <v>0</v>
      </c>
      <c r="S567" s="231" t="s">
        <v>0</v>
      </c>
      <c r="T567" s="229">
        <v>0</v>
      </c>
      <c r="U567" s="229"/>
      <c r="V567" s="200" t="s">
        <v>0</v>
      </c>
      <c r="W567" s="231" t="s">
        <v>0</v>
      </c>
      <c r="X567" s="229">
        <v>0</v>
      </c>
      <c r="Y567" s="53"/>
      <c r="Z567" s="110"/>
      <c r="AA567" s="110"/>
      <c r="AB567" s="110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</row>
    <row r="568" spans="1:47">
      <c r="A568" s="154" t="s">
        <v>181</v>
      </c>
      <c r="B568" s="169"/>
      <c r="C568" s="227"/>
      <c r="D568" s="200"/>
      <c r="E568" s="231"/>
      <c r="F568" s="229"/>
      <c r="G568" s="200"/>
      <c r="H568" s="231"/>
      <c r="I568" s="229"/>
      <c r="J568" s="200"/>
      <c r="K568" s="231"/>
      <c r="L568" s="229"/>
      <c r="M568" s="229"/>
      <c r="N568" s="200"/>
      <c r="O568" s="231"/>
      <c r="P568" s="229"/>
      <c r="Q568" s="229"/>
      <c r="R568" s="200"/>
      <c r="S568" s="231"/>
      <c r="T568" s="229"/>
      <c r="U568" s="229"/>
      <c r="V568" s="200"/>
      <c r="W568" s="231"/>
      <c r="X568" s="229"/>
      <c r="Y568" s="53"/>
      <c r="Z568" s="110"/>
      <c r="AA568" s="110"/>
      <c r="AB568" s="110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</row>
    <row r="569" spans="1:47">
      <c r="A569" s="154" t="s">
        <v>182</v>
      </c>
      <c r="B569" s="169"/>
      <c r="C569" s="227">
        <v>0</v>
      </c>
      <c r="D569" s="200">
        <v>4.4400000000000004</v>
      </c>
      <c r="E569" s="231"/>
      <c r="F569" s="229">
        <f>ROUND(D569*$C569,0)</f>
        <v>0</v>
      </c>
      <c r="G569" s="200">
        <v>4.72</v>
      </c>
      <c r="H569" s="231"/>
      <c r="I569" s="229">
        <f>ROUND(E569*$C569,0)</f>
        <v>0</v>
      </c>
      <c r="J569" s="200">
        <v>5.37</v>
      </c>
      <c r="K569" s="231"/>
      <c r="L569" s="229">
        <f>ROUND(J569*$C569,0)</f>
        <v>0</v>
      </c>
      <c r="M569" s="229"/>
      <c r="N569" s="200">
        <v>0.84</v>
      </c>
      <c r="O569" s="231"/>
      <c r="P569" s="229">
        <v>0</v>
      </c>
      <c r="Q569" s="229"/>
      <c r="R569" s="200">
        <v>0.9</v>
      </c>
      <c r="S569" s="231"/>
      <c r="T569" s="229">
        <v>0</v>
      </c>
      <c r="U569" s="229"/>
      <c r="V569" s="200">
        <v>3.63</v>
      </c>
      <c r="W569" s="231"/>
      <c r="X569" s="229">
        <v>0</v>
      </c>
      <c r="Y569" s="53"/>
      <c r="Z569" s="110"/>
      <c r="AA569" s="110"/>
      <c r="AB569" s="110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</row>
    <row r="570" spans="1:47">
      <c r="A570" s="231" t="s">
        <v>183</v>
      </c>
      <c r="B570" s="169"/>
      <c r="C570" s="227"/>
      <c r="D570" s="279"/>
      <c r="E570" s="229"/>
      <c r="F570" s="229"/>
      <c r="G570" s="279"/>
      <c r="H570" s="229"/>
      <c r="I570" s="229"/>
      <c r="J570" s="279"/>
      <c r="K570" s="229"/>
      <c r="L570" s="229"/>
      <c r="M570" s="229"/>
      <c r="N570" s="279"/>
      <c r="O570" s="229"/>
      <c r="P570" s="229"/>
      <c r="Q570" s="229"/>
      <c r="R570" s="279"/>
      <c r="S570" s="229"/>
      <c r="T570" s="229"/>
      <c r="U570" s="229"/>
      <c r="V570" s="279"/>
      <c r="W570" s="229"/>
      <c r="X570" s="229"/>
      <c r="Y570" s="53"/>
      <c r="Z570" s="110"/>
      <c r="AA570" s="110"/>
      <c r="AB570" s="110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</row>
    <row r="571" spans="1:47">
      <c r="A571" s="231" t="s">
        <v>184</v>
      </c>
      <c r="B571" s="169"/>
      <c r="C571" s="227">
        <v>0</v>
      </c>
      <c r="D571" s="248">
        <v>5.2939999999999996</v>
      </c>
      <c r="E571" s="229" t="s">
        <v>107</v>
      </c>
      <c r="F571" s="229">
        <f>ROUND($C571*D571/100,0)</f>
        <v>0</v>
      </c>
      <c r="G571" s="248">
        <v>5.6289999999999996</v>
      </c>
      <c r="H571" s="229" t="s">
        <v>107</v>
      </c>
      <c r="I571" s="229">
        <f>ROUND($C571*E571/100,0)</f>
        <v>0</v>
      </c>
      <c r="J571" s="248">
        <v>5.6790000000000003</v>
      </c>
      <c r="K571" s="229" t="s">
        <v>107</v>
      </c>
      <c r="L571" s="229">
        <f>ROUND($C571*J571/100,0)</f>
        <v>0</v>
      </c>
      <c r="M571" s="229"/>
      <c r="N571" s="248" t="s">
        <v>0</v>
      </c>
      <c r="O571" s="229" t="s">
        <v>107</v>
      </c>
      <c r="P571" s="229">
        <v>0</v>
      </c>
      <c r="Q571" s="229"/>
      <c r="R571" s="248">
        <v>1.125</v>
      </c>
      <c r="S571" s="229" t="s">
        <v>107</v>
      </c>
      <c r="T571" s="229">
        <v>0</v>
      </c>
      <c r="U571" s="229"/>
      <c r="V571" s="248">
        <v>4.5540000000000003</v>
      </c>
      <c r="W571" s="229" t="s">
        <v>107</v>
      </c>
      <c r="X571" s="229">
        <v>0</v>
      </c>
      <c r="Y571" s="53"/>
      <c r="Z571" s="110"/>
      <c r="AA571" s="110"/>
      <c r="AB571" s="110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</row>
    <row r="572" spans="1:47">
      <c r="A572" s="231" t="s">
        <v>151</v>
      </c>
      <c r="B572" s="169"/>
      <c r="C572" s="227">
        <v>0</v>
      </c>
      <c r="D572" s="248">
        <v>4.8520000000000003</v>
      </c>
      <c r="E572" s="229" t="s">
        <v>107</v>
      </c>
      <c r="F572" s="229">
        <f>ROUND($C572*D572/100,0)</f>
        <v>0</v>
      </c>
      <c r="G572" s="248">
        <v>5.157</v>
      </c>
      <c r="H572" s="229" t="s">
        <v>107</v>
      </c>
      <c r="I572" s="229">
        <f>ROUND($C572*E572/100,0)</f>
        <v>0</v>
      </c>
      <c r="J572" s="248">
        <v>5.2</v>
      </c>
      <c r="K572" s="229" t="s">
        <v>107</v>
      </c>
      <c r="L572" s="229">
        <f>ROUND($C572*J572/100,0)</f>
        <v>0</v>
      </c>
      <c r="M572" s="229"/>
      <c r="N572" s="248" t="s">
        <v>0</v>
      </c>
      <c r="O572" s="229" t="s">
        <v>107</v>
      </c>
      <c r="P572" s="229">
        <v>0</v>
      </c>
      <c r="Q572" s="229"/>
      <c r="R572" s="248">
        <v>1.03</v>
      </c>
      <c r="S572" s="229" t="s">
        <v>107</v>
      </c>
      <c r="T572" s="229">
        <v>0</v>
      </c>
      <c r="U572" s="229"/>
      <c r="V572" s="248">
        <v>4.17</v>
      </c>
      <c r="W572" s="229" t="s">
        <v>107</v>
      </c>
      <c r="X572" s="229">
        <v>0</v>
      </c>
      <c r="Y572" s="53"/>
      <c r="Z572" s="110"/>
      <c r="AA572" s="110"/>
      <c r="AB572" s="110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</row>
    <row r="573" spans="1:47">
      <c r="A573" s="231" t="s">
        <v>152</v>
      </c>
      <c r="B573" s="169"/>
      <c r="C573" s="227">
        <v>0</v>
      </c>
      <c r="D573" s="249">
        <v>56</v>
      </c>
      <c r="E573" s="229" t="s">
        <v>107</v>
      </c>
      <c r="F573" s="229">
        <f>ROUND(D573*$C573/100,0)</f>
        <v>0</v>
      </c>
      <c r="G573" s="280">
        <v>56</v>
      </c>
      <c r="H573" s="229" t="s">
        <v>107</v>
      </c>
      <c r="I573" s="229">
        <f>ROUND(E573*$C573/100,0)</f>
        <v>0</v>
      </c>
      <c r="J573" s="280">
        <v>56</v>
      </c>
      <c r="K573" s="229" t="s">
        <v>107</v>
      </c>
      <c r="L573" s="229">
        <f>ROUND(J573*$C573,0)</f>
        <v>0</v>
      </c>
      <c r="M573" s="229"/>
      <c r="N573" s="280" t="s">
        <v>0</v>
      </c>
      <c r="O573" s="229" t="s">
        <v>107</v>
      </c>
      <c r="P573" s="229">
        <v>0</v>
      </c>
      <c r="Q573" s="229"/>
      <c r="R573" s="280">
        <v>11</v>
      </c>
      <c r="S573" s="229" t="s">
        <v>107</v>
      </c>
      <c r="T573" s="229">
        <v>0</v>
      </c>
      <c r="U573" s="229"/>
      <c r="V573" s="280">
        <v>45</v>
      </c>
      <c r="W573" s="229" t="s">
        <v>107</v>
      </c>
      <c r="X573" s="229">
        <v>0</v>
      </c>
      <c r="Y573" s="53"/>
      <c r="Z573" s="110"/>
      <c r="AA573" s="110"/>
      <c r="AB573" s="110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</row>
    <row r="574" spans="1:47">
      <c r="A574" s="231" t="s">
        <v>185</v>
      </c>
      <c r="B574" s="169"/>
      <c r="C574" s="227">
        <v>0</v>
      </c>
      <c r="D574" s="281">
        <v>56</v>
      </c>
      <c r="E574" s="229"/>
      <c r="F574" s="229">
        <f>ROUND($C574*D574/100,0)</f>
        <v>0</v>
      </c>
      <c r="G574" s="282">
        <v>0.06</v>
      </c>
      <c r="H574" s="229" t="s">
        <v>107</v>
      </c>
      <c r="I574" s="229">
        <f>ROUND($C574*E574/100,0)</f>
        <v>0</v>
      </c>
      <c r="J574" s="249">
        <v>0.06</v>
      </c>
      <c r="K574" s="229" t="s">
        <v>107</v>
      </c>
      <c r="L574" s="229">
        <f>ROUND($C574*J574/100,0)</f>
        <v>0</v>
      </c>
      <c r="M574" s="229"/>
      <c r="N574" s="249" t="s">
        <v>0</v>
      </c>
      <c r="O574" s="229" t="s">
        <v>107</v>
      </c>
      <c r="P574" s="229">
        <v>0</v>
      </c>
      <c r="Q574" s="229"/>
      <c r="R574" s="249">
        <v>1.1785714285714285E-2</v>
      </c>
      <c r="S574" s="229" t="s">
        <v>107</v>
      </c>
      <c r="T574" s="229">
        <v>0</v>
      </c>
      <c r="U574" s="229"/>
      <c r="V574" s="249">
        <v>4.8214285714285716E-2</v>
      </c>
      <c r="W574" s="229" t="s">
        <v>107</v>
      </c>
      <c r="X574" s="229">
        <v>0</v>
      </c>
      <c r="Y574" s="53"/>
      <c r="Z574" s="110"/>
      <c r="AA574" s="110"/>
      <c r="AB574" s="110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</row>
    <row r="575" spans="1:47" s="141" customFormat="1">
      <c r="A575" s="140" t="s">
        <v>186</v>
      </c>
      <c r="C575" s="142">
        <f>C571+C572</f>
        <v>0</v>
      </c>
      <c r="D575" s="138"/>
      <c r="E575" s="143"/>
      <c r="F575" s="144"/>
      <c r="G575" s="138"/>
      <c r="H575" s="143"/>
      <c r="I575" s="144"/>
      <c r="J575" s="248">
        <v>0</v>
      </c>
      <c r="K575" s="283" t="s">
        <v>107</v>
      </c>
      <c r="L575" s="283">
        <f t="shared" ref="L575:L576" si="167">ROUND($C575*J575/100,0)</f>
        <v>0</v>
      </c>
      <c r="M575" s="283"/>
      <c r="N575" s="248" t="s">
        <v>0</v>
      </c>
      <c r="O575" s="283" t="s">
        <v>107</v>
      </c>
      <c r="P575" s="229">
        <v>0</v>
      </c>
      <c r="Q575" s="283"/>
      <c r="R575" s="248" t="s">
        <v>0</v>
      </c>
      <c r="S575" s="283" t="s">
        <v>107</v>
      </c>
      <c r="T575" s="229">
        <v>0</v>
      </c>
      <c r="U575" s="283"/>
      <c r="V575" s="248">
        <v>0</v>
      </c>
      <c r="W575" s="283" t="s">
        <v>107</v>
      </c>
      <c r="X575" s="229">
        <v>0</v>
      </c>
      <c r="Z575" s="132"/>
      <c r="AC575" s="148"/>
      <c r="AD575" s="148"/>
      <c r="AI575" s="143"/>
      <c r="AJ575" s="143"/>
      <c r="AK575" s="143"/>
      <c r="AL575" s="143"/>
      <c r="AM575" s="143"/>
      <c r="AN575" s="143"/>
      <c r="AO575" s="143"/>
      <c r="AP575" s="143"/>
      <c r="AQ575" s="143"/>
      <c r="AR575" s="143"/>
      <c r="AS575" s="143"/>
      <c r="AU575" s="147"/>
    </row>
    <row r="576" spans="1:47" s="141" customFormat="1">
      <c r="A576" s="140" t="s">
        <v>187</v>
      </c>
      <c r="C576" s="142">
        <f>C572+C573</f>
        <v>0</v>
      </c>
      <c r="D576" s="138"/>
      <c r="E576" s="143"/>
      <c r="F576" s="144"/>
      <c r="G576" s="138"/>
      <c r="H576" s="143"/>
      <c r="I576" s="144"/>
      <c r="J576" s="248">
        <v>0</v>
      </c>
      <c r="K576" s="143"/>
      <c r="L576" s="283">
        <f t="shared" si="167"/>
        <v>0</v>
      </c>
      <c r="M576" s="283"/>
      <c r="N576" s="248" t="s">
        <v>0</v>
      </c>
      <c r="O576" s="143"/>
      <c r="P576" s="229">
        <v>0</v>
      </c>
      <c r="Q576" s="283"/>
      <c r="R576" s="248" t="s">
        <v>0</v>
      </c>
      <c r="S576" s="143"/>
      <c r="T576" s="229">
        <v>0</v>
      </c>
      <c r="U576" s="283"/>
      <c r="V576" s="248">
        <v>0</v>
      </c>
      <c r="W576" s="143"/>
      <c r="X576" s="229">
        <v>0</v>
      </c>
      <c r="Z576" s="132"/>
      <c r="AC576" s="148"/>
      <c r="AD576" s="148"/>
      <c r="AI576" s="143"/>
      <c r="AJ576" s="143"/>
      <c r="AK576" s="143"/>
      <c r="AL576" s="143"/>
      <c r="AM576" s="143"/>
      <c r="AN576" s="143"/>
      <c r="AO576" s="143"/>
      <c r="AP576" s="143"/>
      <c r="AQ576" s="143"/>
      <c r="AR576" s="143"/>
      <c r="AS576" s="143"/>
      <c r="AU576" s="147"/>
    </row>
    <row r="577" spans="1:45">
      <c r="A577" s="284" t="s">
        <v>159</v>
      </c>
      <c r="B577" s="169" t="s">
        <v>0</v>
      </c>
      <c r="C577" s="227"/>
      <c r="D577" s="245">
        <v>-0.01</v>
      </c>
      <c r="E577" s="285"/>
      <c r="F577" s="285"/>
      <c r="G577" s="245">
        <v>-0.01</v>
      </c>
      <c r="H577" s="285"/>
      <c r="I577" s="285"/>
      <c r="J577" s="245">
        <v>-0.01</v>
      </c>
      <c r="K577" s="285"/>
      <c r="L577" s="131"/>
      <c r="M577" s="131"/>
      <c r="N577" s="245">
        <v>-0.01</v>
      </c>
      <c r="O577" s="285"/>
      <c r="P577" s="131"/>
      <c r="Q577" s="131"/>
      <c r="R577" s="245">
        <v>-0.01</v>
      </c>
      <c r="S577" s="285"/>
      <c r="T577" s="131"/>
      <c r="U577" s="131"/>
      <c r="V577" s="245">
        <v>-0.01</v>
      </c>
      <c r="W577" s="285"/>
      <c r="X577" s="131"/>
      <c r="Y577" s="53"/>
      <c r="Z577" s="110"/>
      <c r="AA577" s="110"/>
      <c r="AB577" s="110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</row>
    <row r="578" spans="1:45">
      <c r="A578" s="231" t="s">
        <v>178</v>
      </c>
      <c r="B578" s="169"/>
      <c r="C578" s="227">
        <v>0</v>
      </c>
      <c r="D578" s="200">
        <v>259</v>
      </c>
      <c r="E578" s="231"/>
      <c r="F578" s="229">
        <f t="shared" ref="F578:F583" si="168">ROUND(D578*$C578*$D$577,0)</f>
        <v>0</v>
      </c>
      <c r="G578" s="200">
        <v>259</v>
      </c>
      <c r="H578" s="231"/>
      <c r="I578" s="229">
        <f t="shared" ref="I578:I583" si="169">ROUND(E578*$C578*$D$577,0)</f>
        <v>0</v>
      </c>
      <c r="J578" s="200">
        <f>J562</f>
        <v>259</v>
      </c>
      <c r="K578" s="231"/>
      <c r="L578" s="229">
        <f t="shared" ref="L578:L583" si="170">ROUND(J578*$C578*$D$577,0)</f>
        <v>0</v>
      </c>
      <c r="M578" s="229"/>
      <c r="N578" s="200">
        <f>N562</f>
        <v>259</v>
      </c>
      <c r="O578" s="231"/>
      <c r="P578" s="229">
        <v>0</v>
      </c>
      <c r="Q578" s="229"/>
      <c r="R578" s="200" t="str">
        <f>R562</f>
        <v xml:space="preserve"> </v>
      </c>
      <c r="S578" s="231"/>
      <c r="T578" s="229">
        <v>0</v>
      </c>
      <c r="U578" s="229"/>
      <c r="V578" s="200" t="str">
        <f>V562</f>
        <v xml:space="preserve"> </v>
      </c>
      <c r="W578" s="231"/>
      <c r="X578" s="229">
        <v>0</v>
      </c>
      <c r="Y578" s="53"/>
      <c r="Z578" s="110"/>
      <c r="AA578" s="110"/>
      <c r="AB578" s="110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</row>
    <row r="579" spans="1:45">
      <c r="A579" s="231" t="s">
        <v>179</v>
      </c>
      <c r="B579" s="169"/>
      <c r="C579" s="227">
        <v>0</v>
      </c>
      <c r="D579" s="200">
        <v>96</v>
      </c>
      <c r="E579" s="231"/>
      <c r="F579" s="229">
        <f t="shared" si="168"/>
        <v>0</v>
      </c>
      <c r="G579" s="200">
        <v>96</v>
      </c>
      <c r="H579" s="231"/>
      <c r="I579" s="229">
        <f t="shared" si="169"/>
        <v>0</v>
      </c>
      <c r="J579" s="200">
        <f>J563</f>
        <v>96</v>
      </c>
      <c r="K579" s="231"/>
      <c r="L579" s="229">
        <f t="shared" si="170"/>
        <v>0</v>
      </c>
      <c r="M579" s="229"/>
      <c r="N579" s="200">
        <f>N563</f>
        <v>96</v>
      </c>
      <c r="O579" s="231"/>
      <c r="P579" s="229">
        <v>0</v>
      </c>
      <c r="Q579" s="229"/>
      <c r="R579" s="200" t="str">
        <f>R563</f>
        <v xml:space="preserve"> </v>
      </c>
      <c r="S579" s="231"/>
      <c r="T579" s="229">
        <v>0</v>
      </c>
      <c r="U579" s="229"/>
      <c r="V579" s="200" t="str">
        <f>V563</f>
        <v xml:space="preserve"> </v>
      </c>
      <c r="W579" s="231"/>
      <c r="X579" s="229">
        <v>0</v>
      </c>
      <c r="Y579" s="53"/>
      <c r="Z579" s="110"/>
      <c r="AA579" s="110"/>
      <c r="AB579" s="110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</row>
    <row r="580" spans="1:45">
      <c r="A580" s="231" t="s">
        <v>180</v>
      </c>
      <c r="B580" s="169"/>
      <c r="C580" s="227">
        <v>0</v>
      </c>
      <c r="D580" s="200">
        <v>192</v>
      </c>
      <c r="E580" s="233"/>
      <c r="F580" s="229">
        <f t="shared" si="168"/>
        <v>0</v>
      </c>
      <c r="G580" s="200">
        <v>192</v>
      </c>
      <c r="H580" s="233"/>
      <c r="I580" s="229">
        <f t="shared" si="169"/>
        <v>0</v>
      </c>
      <c r="J580" s="200">
        <f>J564</f>
        <v>192</v>
      </c>
      <c r="K580" s="233"/>
      <c r="L580" s="229">
        <f t="shared" si="170"/>
        <v>0</v>
      </c>
      <c r="M580" s="229"/>
      <c r="N580" s="200">
        <f>N564</f>
        <v>192</v>
      </c>
      <c r="O580" s="233"/>
      <c r="P580" s="229">
        <v>0</v>
      </c>
      <c r="Q580" s="229"/>
      <c r="R580" s="200" t="str">
        <f>R564</f>
        <v xml:space="preserve"> </v>
      </c>
      <c r="S580" s="233"/>
      <c r="T580" s="229">
        <v>0</v>
      </c>
      <c r="U580" s="229"/>
      <c r="V580" s="200" t="str">
        <f>V564</f>
        <v xml:space="preserve"> </v>
      </c>
      <c r="W580" s="233"/>
      <c r="X580" s="229">
        <v>0</v>
      </c>
      <c r="Y580" s="53"/>
      <c r="Z580" s="110"/>
      <c r="AA580" s="110"/>
      <c r="AB580" s="110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</row>
    <row r="581" spans="1:45">
      <c r="A581" s="231" t="s">
        <v>179</v>
      </c>
      <c r="B581" s="169"/>
      <c r="C581" s="227">
        <v>0</v>
      </c>
      <c r="D581" s="200">
        <v>1.7</v>
      </c>
      <c r="E581" s="231" t="s">
        <v>0</v>
      </c>
      <c r="F581" s="229">
        <f t="shared" si="168"/>
        <v>0</v>
      </c>
      <c r="G581" s="200">
        <v>1.7</v>
      </c>
      <c r="H581" s="231" t="s">
        <v>0</v>
      </c>
      <c r="I581" s="229">
        <f t="shared" si="169"/>
        <v>0</v>
      </c>
      <c r="J581" s="200">
        <f>J566</f>
        <v>1.76</v>
      </c>
      <c r="K581" s="231" t="s">
        <v>0</v>
      </c>
      <c r="L581" s="229">
        <f t="shared" si="170"/>
        <v>0</v>
      </c>
      <c r="M581" s="229"/>
      <c r="N581" s="200">
        <f>N566</f>
        <v>1.76</v>
      </c>
      <c r="O581" s="231" t="s">
        <v>0</v>
      </c>
      <c r="P581" s="229">
        <v>0</v>
      </c>
      <c r="Q581" s="229"/>
      <c r="R581" s="200" t="str">
        <f>R566</f>
        <v xml:space="preserve"> </v>
      </c>
      <c r="S581" s="231" t="s">
        <v>0</v>
      </c>
      <c r="T581" s="229">
        <v>0</v>
      </c>
      <c r="U581" s="229"/>
      <c r="V581" s="200" t="str">
        <f>V566</f>
        <v xml:space="preserve"> </v>
      </c>
      <c r="W581" s="231" t="s">
        <v>0</v>
      </c>
      <c r="X581" s="229">
        <v>0</v>
      </c>
      <c r="Y581" s="53"/>
      <c r="Z581" s="110"/>
      <c r="AA581" s="110"/>
      <c r="AB581" s="110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</row>
    <row r="582" spans="1:45">
      <c r="A582" s="231" t="s">
        <v>180</v>
      </c>
      <c r="B582" s="169"/>
      <c r="C582" s="227">
        <v>0</v>
      </c>
      <c r="D582" s="200">
        <v>1.39</v>
      </c>
      <c r="E582" s="231" t="s">
        <v>0</v>
      </c>
      <c r="F582" s="229">
        <f t="shared" si="168"/>
        <v>0</v>
      </c>
      <c r="G582" s="200">
        <v>1.39</v>
      </c>
      <c r="H582" s="231" t="s">
        <v>0</v>
      </c>
      <c r="I582" s="229">
        <f t="shared" si="169"/>
        <v>0</v>
      </c>
      <c r="J582" s="200">
        <f>J567</f>
        <v>1.44</v>
      </c>
      <c r="K582" s="231" t="s">
        <v>0</v>
      </c>
      <c r="L582" s="229">
        <f t="shared" si="170"/>
        <v>0</v>
      </c>
      <c r="M582" s="229"/>
      <c r="N582" s="200">
        <f>N567</f>
        <v>1.44</v>
      </c>
      <c r="O582" s="231" t="s">
        <v>0</v>
      </c>
      <c r="P582" s="229">
        <v>0</v>
      </c>
      <c r="Q582" s="229"/>
      <c r="R582" s="200" t="str">
        <f>R567</f>
        <v xml:space="preserve"> </v>
      </c>
      <c r="S582" s="231" t="s">
        <v>0</v>
      </c>
      <c r="T582" s="229">
        <v>0</v>
      </c>
      <c r="U582" s="229"/>
      <c r="V582" s="200" t="str">
        <f>V567</f>
        <v xml:space="preserve"> </v>
      </c>
      <c r="W582" s="231" t="s">
        <v>0</v>
      </c>
      <c r="X582" s="229">
        <v>0</v>
      </c>
      <c r="Y582" s="53"/>
      <c r="Z582" s="110"/>
      <c r="AA582" s="110"/>
      <c r="AB582" s="110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</row>
    <row r="583" spans="1:45">
      <c r="A583" s="154" t="s">
        <v>182</v>
      </c>
      <c r="B583" s="169"/>
      <c r="C583" s="227">
        <v>0</v>
      </c>
      <c r="D583" s="200">
        <v>4.4400000000000004</v>
      </c>
      <c r="E583" s="231"/>
      <c r="F583" s="229">
        <f t="shared" si="168"/>
        <v>0</v>
      </c>
      <c r="G583" s="200">
        <v>4.72</v>
      </c>
      <c r="H583" s="231"/>
      <c r="I583" s="229">
        <f t="shared" si="169"/>
        <v>0</v>
      </c>
      <c r="J583" s="200">
        <f>J569</f>
        <v>5.37</v>
      </c>
      <c r="K583" s="231"/>
      <c r="L583" s="229">
        <f t="shared" si="170"/>
        <v>0</v>
      </c>
      <c r="M583" s="229"/>
      <c r="N583" s="200">
        <f>N569</f>
        <v>0.84</v>
      </c>
      <c r="O583" s="231"/>
      <c r="P583" s="229">
        <v>0</v>
      </c>
      <c r="Q583" s="229"/>
      <c r="R583" s="200">
        <f>R569</f>
        <v>0.9</v>
      </c>
      <c r="S583" s="231"/>
      <c r="T583" s="229">
        <v>0</v>
      </c>
      <c r="U583" s="229"/>
      <c r="V583" s="200">
        <f>V569</f>
        <v>3.63</v>
      </c>
      <c r="W583" s="231"/>
      <c r="X583" s="229">
        <v>0</v>
      </c>
      <c r="Y583" s="53"/>
      <c r="Z583" s="110"/>
      <c r="AA583" s="110"/>
      <c r="AB583" s="110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</row>
    <row r="584" spans="1:45">
      <c r="A584" s="231" t="s">
        <v>184</v>
      </c>
      <c r="B584" s="169"/>
      <c r="C584" s="227">
        <v>0</v>
      </c>
      <c r="D584" s="247">
        <v>0</v>
      </c>
      <c r="E584" s="229" t="s">
        <v>107</v>
      </c>
      <c r="F584" s="229">
        <f>ROUND(D584/100*$C584*D577,0)</f>
        <v>0</v>
      </c>
      <c r="G584" s="247">
        <v>0</v>
      </c>
      <c r="H584" s="229" t="s">
        <v>107</v>
      </c>
      <c r="I584" s="229">
        <f>ROUND(E584/100*$C584*E577,0)</f>
        <v>0</v>
      </c>
      <c r="J584" s="200">
        <f>J570</f>
        <v>0</v>
      </c>
      <c r="K584" s="229" t="s">
        <v>107</v>
      </c>
      <c r="L584" s="229">
        <f>ROUND(J584/100*$C584*D577,0)</f>
        <v>0</v>
      </c>
      <c r="M584" s="229"/>
      <c r="N584" s="200">
        <f>N570</f>
        <v>0</v>
      </c>
      <c r="O584" s="229" t="s">
        <v>107</v>
      </c>
      <c r="P584" s="229">
        <v>0</v>
      </c>
      <c r="Q584" s="229"/>
      <c r="R584" s="200">
        <f>R570</f>
        <v>0</v>
      </c>
      <c r="S584" s="229" t="s">
        <v>107</v>
      </c>
      <c r="T584" s="229">
        <v>0</v>
      </c>
      <c r="U584" s="229"/>
      <c r="V584" s="200">
        <f>V570</f>
        <v>0</v>
      </c>
      <c r="W584" s="229" t="s">
        <v>107</v>
      </c>
      <c r="X584" s="229">
        <v>0</v>
      </c>
      <c r="Y584" s="53"/>
      <c r="Z584" s="110"/>
      <c r="AA584" s="110"/>
      <c r="AB584" s="110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</row>
    <row r="585" spans="1:45">
      <c r="A585" s="231" t="s">
        <v>151</v>
      </c>
      <c r="B585" s="169"/>
      <c r="C585" s="227">
        <v>0</v>
      </c>
      <c r="D585" s="286">
        <v>4.8520000000000003</v>
      </c>
      <c r="E585" s="229" t="s">
        <v>107</v>
      </c>
      <c r="F585" s="229">
        <f>ROUND(D585/100*$C585*D577,0)</f>
        <v>0</v>
      </c>
      <c r="G585" s="286">
        <v>5.157</v>
      </c>
      <c r="H585" s="229" t="s">
        <v>107</v>
      </c>
      <c r="I585" s="229">
        <f>ROUND(E585/100*$C585*E577,0)</f>
        <v>0</v>
      </c>
      <c r="J585" s="287">
        <f>J572</f>
        <v>5.2</v>
      </c>
      <c r="K585" s="229" t="s">
        <v>107</v>
      </c>
      <c r="L585" s="229">
        <f>ROUND(J585/100*$C585*D577,0)</f>
        <v>0</v>
      </c>
      <c r="M585" s="229"/>
      <c r="N585" s="287" t="str">
        <f>N572</f>
        <v xml:space="preserve"> </v>
      </c>
      <c r="O585" s="229" t="s">
        <v>107</v>
      </c>
      <c r="P585" s="229">
        <v>0</v>
      </c>
      <c r="Q585" s="229"/>
      <c r="R585" s="287">
        <f>R572</f>
        <v>1.03</v>
      </c>
      <c r="S585" s="229" t="s">
        <v>107</v>
      </c>
      <c r="T585" s="229">
        <v>0</v>
      </c>
      <c r="U585" s="229"/>
      <c r="V585" s="287">
        <f>V572</f>
        <v>4.17</v>
      </c>
      <c r="W585" s="229" t="s">
        <v>107</v>
      </c>
      <c r="X585" s="229">
        <v>0</v>
      </c>
      <c r="Y585" s="53"/>
      <c r="Z585" s="110"/>
      <c r="AA585" s="110"/>
      <c r="AB585" s="110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</row>
    <row r="586" spans="1:45">
      <c r="A586" s="154" t="s">
        <v>188</v>
      </c>
      <c r="B586" s="169"/>
      <c r="C586" s="227">
        <v>0</v>
      </c>
      <c r="D586" s="249">
        <v>56</v>
      </c>
      <c r="E586" s="229" t="s">
        <v>107</v>
      </c>
      <c r="F586" s="229">
        <f>ROUND(D586*$C586*$D$577,0)</f>
        <v>0</v>
      </c>
      <c r="G586" s="288">
        <v>56</v>
      </c>
      <c r="H586" s="229" t="s">
        <v>107</v>
      </c>
      <c r="I586" s="229">
        <f>ROUND(E586*$C586*$D$577,0)</f>
        <v>0</v>
      </c>
      <c r="J586" s="289">
        <f>J573</f>
        <v>56</v>
      </c>
      <c r="K586" s="229" t="s">
        <v>107</v>
      </c>
      <c r="L586" s="229">
        <f>ROUND(J586*$C586*$D$577,0)</f>
        <v>0</v>
      </c>
      <c r="M586" s="229"/>
      <c r="N586" s="289" t="str">
        <f>N573</f>
        <v xml:space="preserve"> </v>
      </c>
      <c r="O586" s="229" t="s">
        <v>107</v>
      </c>
      <c r="P586" s="229">
        <v>0</v>
      </c>
      <c r="Q586" s="229"/>
      <c r="R586" s="289">
        <f>R573</f>
        <v>11</v>
      </c>
      <c r="S586" s="229" t="s">
        <v>107</v>
      </c>
      <c r="T586" s="229">
        <v>0</v>
      </c>
      <c r="U586" s="229"/>
      <c r="V586" s="289">
        <f>V573</f>
        <v>45</v>
      </c>
      <c r="W586" s="229" t="s">
        <v>107</v>
      </c>
      <c r="X586" s="229">
        <v>0</v>
      </c>
      <c r="Y586" s="53"/>
      <c r="Z586" s="110"/>
      <c r="AA586" s="110"/>
      <c r="AB586" s="110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</row>
    <row r="587" spans="1:45">
      <c r="A587" s="154" t="s">
        <v>189</v>
      </c>
      <c r="B587" s="169"/>
      <c r="C587" s="227">
        <v>0</v>
      </c>
      <c r="D587" s="290">
        <v>0.06</v>
      </c>
      <c r="E587" s="229" t="s">
        <v>107</v>
      </c>
      <c r="F587" s="229">
        <f>ROUND(D587/100*$C587*D577,0)</f>
        <v>0</v>
      </c>
      <c r="G587" s="291">
        <v>0.06</v>
      </c>
      <c r="H587" s="229" t="s">
        <v>107</v>
      </c>
      <c r="I587" s="229">
        <f>ROUND(E587/100*$C587*E577,0)</f>
        <v>0</v>
      </c>
      <c r="J587" s="282">
        <f>J574</f>
        <v>0.06</v>
      </c>
      <c r="K587" s="229" t="s">
        <v>107</v>
      </c>
      <c r="L587" s="229">
        <f>ROUND(J587/100*$C587*J577,0)</f>
        <v>0</v>
      </c>
      <c r="M587" s="229"/>
      <c r="N587" s="282" t="str">
        <f>N574</f>
        <v xml:space="preserve"> </v>
      </c>
      <c r="O587" s="229" t="s">
        <v>107</v>
      </c>
      <c r="P587" s="229">
        <v>0</v>
      </c>
      <c r="Q587" s="229"/>
      <c r="R587" s="282">
        <f>R574</f>
        <v>1.1785714285714285E-2</v>
      </c>
      <c r="S587" s="229" t="s">
        <v>107</v>
      </c>
      <c r="T587" s="229">
        <v>0</v>
      </c>
      <c r="U587" s="229"/>
      <c r="V587" s="282">
        <f>V574</f>
        <v>4.8214285714285716E-2</v>
      </c>
      <c r="W587" s="229" t="s">
        <v>107</v>
      </c>
      <c r="X587" s="229">
        <v>0</v>
      </c>
      <c r="Y587" s="53"/>
      <c r="Z587" s="110"/>
      <c r="AA587" s="110"/>
      <c r="AB587" s="110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</row>
    <row r="588" spans="1:45">
      <c r="A588" s="231" t="s">
        <v>190</v>
      </c>
      <c r="B588" s="169"/>
      <c r="C588" s="227">
        <v>0</v>
      </c>
      <c r="D588" s="277">
        <v>60</v>
      </c>
      <c r="E588" s="285" t="s">
        <v>0</v>
      </c>
      <c r="F588" s="229">
        <f>ROUND(D588*$C588,0)</f>
        <v>0</v>
      </c>
      <c r="G588" s="277">
        <v>60</v>
      </c>
      <c r="H588" s="292" t="s">
        <v>0</v>
      </c>
      <c r="I588" s="229">
        <f>ROUND(E588*$C588,0)</f>
        <v>0</v>
      </c>
      <c r="J588" s="277">
        <v>60</v>
      </c>
      <c r="K588" s="292" t="s">
        <v>0</v>
      </c>
      <c r="L588" s="229">
        <f>ROUND(J588*$C588,0)</f>
        <v>0</v>
      </c>
      <c r="M588" s="229"/>
      <c r="N588" s="277">
        <v>60</v>
      </c>
      <c r="O588" s="292" t="s">
        <v>0</v>
      </c>
      <c r="P588" s="229">
        <v>0</v>
      </c>
      <c r="Q588" s="229"/>
      <c r="R588" s="277">
        <v>60</v>
      </c>
      <c r="S588" s="292" t="s">
        <v>0</v>
      </c>
      <c r="T588" s="229">
        <v>0</v>
      </c>
      <c r="U588" s="229"/>
      <c r="V588" s="277">
        <v>60</v>
      </c>
      <c r="W588" s="292" t="s">
        <v>0</v>
      </c>
      <c r="X588" s="229">
        <v>0</v>
      </c>
      <c r="Y588" s="53"/>
      <c r="Z588" s="110"/>
      <c r="AA588" s="110"/>
      <c r="AB588" s="110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</row>
    <row r="589" spans="1:45">
      <c r="A589" s="231" t="s">
        <v>191</v>
      </c>
      <c r="B589" s="169"/>
      <c r="C589" s="227">
        <v>0</v>
      </c>
      <c r="D589" s="249">
        <v>-30</v>
      </c>
      <c r="E589" s="229" t="s">
        <v>107</v>
      </c>
      <c r="F589" s="229">
        <f>ROUND(D589*$C589*$D$577,0)</f>
        <v>0</v>
      </c>
      <c r="G589" s="249">
        <v>-30</v>
      </c>
      <c r="H589" s="229" t="s">
        <v>107</v>
      </c>
      <c r="I589" s="229">
        <f>ROUND(E589*$C589*$D$577,0)</f>
        <v>0</v>
      </c>
      <c r="J589" s="249">
        <v>-30</v>
      </c>
      <c r="K589" s="229" t="s">
        <v>107</v>
      </c>
      <c r="L589" s="229">
        <f>ROUND(J589*$C589*$D$577,0)</f>
        <v>0</v>
      </c>
      <c r="M589" s="229"/>
      <c r="N589" s="249">
        <v>-30</v>
      </c>
      <c r="O589" s="229" t="s">
        <v>107</v>
      </c>
      <c r="P589" s="229">
        <v>0</v>
      </c>
      <c r="Q589" s="229"/>
      <c r="R589" s="249">
        <v>-30</v>
      </c>
      <c r="S589" s="229" t="s">
        <v>107</v>
      </c>
      <c r="T589" s="229">
        <v>0</v>
      </c>
      <c r="U589" s="229"/>
      <c r="V589" s="249">
        <v>-30</v>
      </c>
      <c r="W589" s="229" t="s">
        <v>107</v>
      </c>
      <c r="X589" s="229">
        <v>0</v>
      </c>
      <c r="Y589" s="53"/>
      <c r="Z589" s="110"/>
      <c r="AA589" s="110"/>
      <c r="AB589" s="110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</row>
    <row r="590" spans="1:45">
      <c r="A590" s="154" t="s">
        <v>192</v>
      </c>
      <c r="B590" s="169"/>
      <c r="C590" s="227">
        <v>0</v>
      </c>
      <c r="D590" s="247">
        <v>2.2200000000000002</v>
      </c>
      <c r="E590" s="229"/>
      <c r="F590" s="229"/>
      <c r="G590" s="247">
        <v>2.36</v>
      </c>
      <c r="H590" s="229"/>
      <c r="I590" s="229"/>
      <c r="J590" s="200">
        <f>J583/2</f>
        <v>2.6850000000000001</v>
      </c>
      <c r="K590" s="229"/>
      <c r="L590" s="229">
        <f>ROUND($C590*J590,0)</f>
        <v>0</v>
      </c>
      <c r="M590" s="229"/>
      <c r="N590" s="200">
        <f>N583/2</f>
        <v>0.42</v>
      </c>
      <c r="O590" s="229"/>
      <c r="P590" s="229">
        <v>0</v>
      </c>
      <c r="Q590" s="229"/>
      <c r="R590" s="200">
        <f>R583/2</f>
        <v>0.45</v>
      </c>
      <c r="S590" s="229"/>
      <c r="T590" s="229">
        <v>0</v>
      </c>
      <c r="U590" s="229"/>
      <c r="V590" s="200">
        <f>V583/2</f>
        <v>1.8149999999999999</v>
      </c>
      <c r="W590" s="229"/>
      <c r="X590" s="229">
        <v>0</v>
      </c>
      <c r="Y590" s="53"/>
      <c r="Z590" s="110"/>
      <c r="AA590" s="110"/>
      <c r="AB590" s="110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</row>
    <row r="591" spans="1:45">
      <c r="A591" s="154" t="s">
        <v>193</v>
      </c>
      <c r="B591" s="169"/>
      <c r="C591" s="227">
        <v>0</v>
      </c>
      <c r="D591" s="247">
        <v>17.760000000000002</v>
      </c>
      <c r="E591" s="229"/>
      <c r="F591" s="229"/>
      <c r="G591" s="247">
        <v>18.88</v>
      </c>
      <c r="H591" s="229"/>
      <c r="I591" s="229"/>
      <c r="J591" s="200">
        <f>J583*4</f>
        <v>21.48</v>
      </c>
      <c r="K591" s="229"/>
      <c r="L591" s="229">
        <f>ROUND($C591*J591,0)</f>
        <v>0</v>
      </c>
      <c r="M591" s="229"/>
      <c r="N591" s="200">
        <f>N583*4</f>
        <v>3.36</v>
      </c>
      <c r="O591" s="229"/>
      <c r="P591" s="229">
        <v>0</v>
      </c>
      <c r="Q591" s="229"/>
      <c r="R591" s="200">
        <f>R583*4</f>
        <v>3.6</v>
      </c>
      <c r="S591" s="229"/>
      <c r="T591" s="229">
        <v>0</v>
      </c>
      <c r="U591" s="229"/>
      <c r="V591" s="200">
        <f>V583*4</f>
        <v>14.52</v>
      </c>
      <c r="W591" s="229"/>
      <c r="X591" s="229">
        <v>0</v>
      </c>
      <c r="Y591" s="53"/>
      <c r="Z591" s="110"/>
      <c r="AA591" s="110"/>
      <c r="AB591" s="110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</row>
    <row r="592" spans="1:45">
      <c r="A592" s="111" t="s">
        <v>194</v>
      </c>
      <c r="B592" s="199"/>
      <c r="C592" s="227">
        <v>0</v>
      </c>
      <c r="D592" s="248">
        <v>19.408000000000001</v>
      </c>
      <c r="E592" s="229" t="s">
        <v>107</v>
      </c>
      <c r="F592" s="229">
        <f>ROUND($C592*D592/100,0)</f>
        <v>0</v>
      </c>
      <c r="G592" s="248">
        <v>20.628</v>
      </c>
      <c r="H592" s="229" t="s">
        <v>107</v>
      </c>
      <c r="I592" s="229">
        <f>ROUND($C592*E592/100,0)</f>
        <v>0</v>
      </c>
      <c r="J592" s="248">
        <f>(J572)*4</f>
        <v>20.8</v>
      </c>
      <c r="K592" s="229" t="s">
        <v>107</v>
      </c>
      <c r="L592" s="229">
        <f>ROUND($C592*J592/100,0)</f>
        <v>0</v>
      </c>
      <c r="M592" s="229"/>
      <c r="N592" s="248">
        <f>(N572)*4</f>
        <v>0</v>
      </c>
      <c r="O592" s="229" t="s">
        <v>107</v>
      </c>
      <c r="P592" s="229">
        <v>0</v>
      </c>
      <c r="Q592" s="229"/>
      <c r="R592" s="248">
        <f>(R572)*4</f>
        <v>4.12</v>
      </c>
      <c r="S592" s="229" t="s">
        <v>107</v>
      </c>
      <c r="T592" s="229">
        <v>0</v>
      </c>
      <c r="U592" s="229"/>
      <c r="V592" s="248">
        <f>(V572)*4</f>
        <v>16.68</v>
      </c>
      <c r="W592" s="229" t="s">
        <v>107</v>
      </c>
      <c r="X592" s="229">
        <v>0</v>
      </c>
      <c r="Y592" s="222" t="s">
        <v>195</v>
      </c>
      <c r="Z592" s="110"/>
      <c r="AA592" s="110"/>
      <c r="AB592" s="110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</row>
    <row r="593" spans="1:47" s="141" customFormat="1" hidden="1">
      <c r="A593" s="140" t="s">
        <v>186</v>
      </c>
      <c r="C593" s="142">
        <f>C584+C585</f>
        <v>0</v>
      </c>
      <c r="D593" s="138"/>
      <c r="E593" s="143"/>
      <c r="F593" s="144"/>
      <c r="G593" s="138"/>
      <c r="H593" s="143"/>
      <c r="I593" s="144"/>
      <c r="J593" s="145">
        <f>J616</f>
        <v>0</v>
      </c>
      <c r="K593" s="240" t="s">
        <v>107</v>
      </c>
      <c r="L593" s="283">
        <f t="shared" ref="L593:L594" si="171">ROUND($C593*J593/100,0)</f>
        <v>0</v>
      </c>
      <c r="M593" s="283"/>
      <c r="N593" s="145" t="str">
        <f>N616</f>
        <v xml:space="preserve"> </v>
      </c>
      <c r="O593" s="240" t="s">
        <v>107</v>
      </c>
      <c r="P593" s="229">
        <v>0</v>
      </c>
      <c r="Q593" s="283"/>
      <c r="R593" s="145" t="str">
        <f>R616</f>
        <v xml:space="preserve"> </v>
      </c>
      <c r="S593" s="240" t="s">
        <v>107</v>
      </c>
      <c r="T593" s="229">
        <v>0</v>
      </c>
      <c r="U593" s="283"/>
      <c r="V593" s="145">
        <f>V616</f>
        <v>0</v>
      </c>
      <c r="W593" s="240" t="s">
        <v>107</v>
      </c>
      <c r="X593" s="229">
        <v>0</v>
      </c>
      <c r="Z593" s="132"/>
      <c r="AC593" s="148"/>
      <c r="AD593" s="148"/>
      <c r="AI593" s="143"/>
      <c r="AJ593" s="143"/>
      <c r="AK593" s="143"/>
      <c r="AL593" s="143"/>
      <c r="AM593" s="143"/>
      <c r="AN593" s="143"/>
      <c r="AO593" s="143"/>
      <c r="AP593" s="143"/>
      <c r="AQ593" s="143"/>
      <c r="AR593" s="143"/>
      <c r="AS593" s="143"/>
      <c r="AU593" s="147"/>
    </row>
    <row r="594" spans="1:47" s="141" customFormat="1" hidden="1">
      <c r="A594" s="140" t="s">
        <v>187</v>
      </c>
      <c r="C594" s="142">
        <f>C585+C586</f>
        <v>0</v>
      </c>
      <c r="D594" s="138"/>
      <c r="E594" s="143"/>
      <c r="F594" s="144"/>
      <c r="G594" s="138"/>
      <c r="H594" s="143"/>
      <c r="I594" s="144"/>
      <c r="J594" s="145">
        <f>J617</f>
        <v>0</v>
      </c>
      <c r="K594" s="240" t="s">
        <v>107</v>
      </c>
      <c r="L594" s="283">
        <f t="shared" si="171"/>
        <v>0</v>
      </c>
      <c r="M594" s="283"/>
      <c r="N594" s="145" t="str">
        <f>N617</f>
        <v xml:space="preserve"> </v>
      </c>
      <c r="O594" s="240" t="s">
        <v>107</v>
      </c>
      <c r="P594" s="229">
        <v>0</v>
      </c>
      <c r="Q594" s="283"/>
      <c r="R594" s="145" t="str">
        <f>R617</f>
        <v xml:space="preserve"> </v>
      </c>
      <c r="S594" s="240" t="s">
        <v>107</v>
      </c>
      <c r="T594" s="229">
        <v>0</v>
      </c>
      <c r="U594" s="283"/>
      <c r="V594" s="145">
        <f>V617</f>
        <v>0</v>
      </c>
      <c r="W594" s="240" t="s">
        <v>107</v>
      </c>
      <c r="X594" s="229">
        <v>0</v>
      </c>
      <c r="Z594" s="132"/>
      <c r="AC594" s="148"/>
      <c r="AD594" s="148"/>
      <c r="AI594" s="143"/>
      <c r="AJ594" s="143"/>
      <c r="AK594" s="143"/>
      <c r="AL594" s="143"/>
      <c r="AM594" s="143"/>
      <c r="AN594" s="143"/>
      <c r="AO594" s="143"/>
      <c r="AP594" s="143"/>
      <c r="AQ594" s="143"/>
      <c r="AR594" s="143"/>
      <c r="AS594" s="143"/>
      <c r="AU594" s="147"/>
    </row>
    <row r="595" spans="1:47">
      <c r="A595" s="169" t="s">
        <v>133</v>
      </c>
      <c r="B595" s="169"/>
      <c r="C595" s="227">
        <f>SUM(C571:C572)</f>
        <v>0</v>
      </c>
      <c r="D595" s="237"/>
      <c r="E595" s="131"/>
      <c r="F595" s="131">
        <f>SUM(F562:F592)</f>
        <v>0</v>
      </c>
      <c r="G595" s="237"/>
      <c r="H595" s="231"/>
      <c r="I595" s="131">
        <f>SUM(I562:I592)</f>
        <v>0</v>
      </c>
      <c r="J595" s="237"/>
      <c r="K595" s="231"/>
      <c r="L595" s="131">
        <f>SUM(L562:L594)</f>
        <v>0</v>
      </c>
      <c r="M595" s="131"/>
      <c r="N595" s="237"/>
      <c r="O595" s="231"/>
      <c r="P595" s="131">
        <f>SUM(P562:P594)</f>
        <v>0</v>
      </c>
      <c r="Q595" s="131"/>
      <c r="R595" s="237"/>
      <c r="S595" s="231"/>
      <c r="T595" s="131">
        <f>SUM(T562:T594)</f>
        <v>0</v>
      </c>
      <c r="U595" s="131"/>
      <c r="V595" s="237"/>
      <c r="W595" s="231"/>
      <c r="X595" s="131">
        <f>SUM(X562:X594)</f>
        <v>0</v>
      </c>
      <c r="Y595" s="53"/>
      <c r="Z595" s="110"/>
      <c r="AA595" s="110"/>
      <c r="AB595" s="110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</row>
    <row r="596" spans="1:47">
      <c r="A596" s="169" t="s">
        <v>111</v>
      </c>
      <c r="B596" s="169"/>
      <c r="C596" s="275">
        <v>0</v>
      </c>
      <c r="D596" s="154"/>
      <c r="E596" s="154"/>
      <c r="F596" s="152">
        <v>0</v>
      </c>
      <c r="G596" s="154"/>
      <c r="H596" s="154"/>
      <c r="I596" s="152">
        <v>0</v>
      </c>
      <c r="J596" s="154"/>
      <c r="K596" s="154"/>
      <c r="L596" s="152">
        <v>0</v>
      </c>
      <c r="M596" s="153"/>
      <c r="N596" s="154"/>
      <c r="O596" s="154"/>
      <c r="P596" s="152">
        <v>0</v>
      </c>
      <c r="Q596" s="153"/>
      <c r="R596" s="154"/>
      <c r="S596" s="154"/>
      <c r="T596" s="152">
        <v>0</v>
      </c>
      <c r="U596" s="153"/>
      <c r="V596" s="154"/>
      <c r="W596" s="154"/>
      <c r="X596" s="152">
        <v>0</v>
      </c>
      <c r="Y596" s="185"/>
      <c r="Z596" s="183"/>
      <c r="AA596" s="110"/>
      <c r="AB596" s="110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</row>
    <row r="597" spans="1:47" ht="16.5" thickBot="1">
      <c r="A597" s="169" t="s">
        <v>134</v>
      </c>
      <c r="B597" s="169"/>
      <c r="C597" s="293">
        <f>SUM(C595:C596)</f>
        <v>0</v>
      </c>
      <c r="D597" s="272"/>
      <c r="E597" s="256"/>
      <c r="F597" s="257">
        <f>SUM(F595:F596)</f>
        <v>0</v>
      </c>
      <c r="G597" s="272"/>
      <c r="H597" s="258"/>
      <c r="I597" s="257">
        <f>SUM(I595:I596)</f>
        <v>0</v>
      </c>
      <c r="J597" s="272"/>
      <c r="K597" s="258"/>
      <c r="L597" s="257">
        <f>SUM(L595:L596)</f>
        <v>0</v>
      </c>
      <c r="M597" s="257"/>
      <c r="N597" s="272"/>
      <c r="O597" s="258"/>
      <c r="P597" s="257">
        <f>SUM(P595:P596)</f>
        <v>0</v>
      </c>
      <c r="Q597" s="257"/>
      <c r="R597" s="272"/>
      <c r="S597" s="258"/>
      <c r="T597" s="257">
        <f>SUM(T595:T596)</f>
        <v>0</v>
      </c>
      <c r="U597" s="257"/>
      <c r="V597" s="272"/>
      <c r="W597" s="258"/>
      <c r="X597" s="257">
        <f>SUM(X595:X596)</f>
        <v>0</v>
      </c>
      <c r="Y597" s="186"/>
      <c r="Z597" s="187"/>
      <c r="AA597" s="110"/>
      <c r="AB597" s="110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</row>
    <row r="598" spans="1:47" ht="16.5" thickTop="1">
      <c r="A598" s="169"/>
      <c r="B598" s="294"/>
      <c r="C598" s="189"/>
      <c r="D598" s="250"/>
      <c r="E598" s="131"/>
      <c r="F598" s="131"/>
      <c r="G598" s="250"/>
      <c r="H598" s="169"/>
      <c r="I598" s="131"/>
      <c r="J598" s="250"/>
      <c r="K598" s="169"/>
      <c r="L598" s="131"/>
      <c r="M598" s="131"/>
      <c r="N598" s="250"/>
      <c r="O598" s="169"/>
      <c r="P598" s="131"/>
      <c r="Q598" s="131"/>
      <c r="R598" s="250"/>
      <c r="S598" s="169"/>
      <c r="T598" s="131"/>
      <c r="U598" s="131"/>
      <c r="V598" s="250"/>
      <c r="W598" s="169"/>
      <c r="X598" s="131"/>
      <c r="Y598" s="53"/>
      <c r="Z598" s="110"/>
      <c r="AA598" s="110"/>
      <c r="AB598" s="110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</row>
    <row r="599" spans="1:47">
      <c r="A599" s="188" t="s">
        <v>196</v>
      </c>
      <c r="B599" s="169"/>
      <c r="C599" s="169"/>
      <c r="D599" s="131"/>
      <c r="E599" s="131"/>
      <c r="F599" s="169" t="s">
        <v>0</v>
      </c>
      <c r="G599" s="131"/>
      <c r="H599" s="169"/>
      <c r="I599" s="169"/>
      <c r="J599" s="131"/>
      <c r="K599" s="169"/>
      <c r="L599" s="169"/>
      <c r="M599" s="169"/>
      <c r="N599" s="131"/>
      <c r="O599" s="169"/>
      <c r="P599" s="169"/>
      <c r="Q599" s="169"/>
      <c r="R599" s="131"/>
      <c r="S599" s="169"/>
      <c r="T599" s="169"/>
      <c r="U599" s="169"/>
      <c r="V599" s="131"/>
      <c r="W599" s="169"/>
      <c r="X599" s="169"/>
      <c r="Y599" s="53"/>
      <c r="Z599" s="110"/>
      <c r="AA599" s="110"/>
      <c r="AB599" s="110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</row>
    <row r="600" spans="1:47">
      <c r="A600" s="154" t="s">
        <v>197</v>
      </c>
      <c r="B600" s="169"/>
      <c r="C600" s="169"/>
      <c r="D600" s="131"/>
      <c r="E600" s="131"/>
      <c r="F600" s="169"/>
      <c r="G600" s="131"/>
      <c r="H600" s="169"/>
      <c r="I600" s="169"/>
      <c r="J600" s="131"/>
      <c r="K600" s="169"/>
      <c r="L600" s="169"/>
      <c r="M600" s="169"/>
      <c r="N600" s="131"/>
      <c r="O600" s="169"/>
      <c r="P600" s="169"/>
      <c r="Q600" s="169"/>
      <c r="R600" s="131"/>
      <c r="S600" s="169"/>
      <c r="T600" s="169"/>
      <c r="U600" s="169"/>
      <c r="V600" s="131"/>
      <c r="W600" s="169"/>
      <c r="X600" s="169"/>
      <c r="Y600" s="53"/>
      <c r="Z600" s="110"/>
      <c r="AA600" s="110"/>
      <c r="AB600" s="110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</row>
    <row r="601" spans="1:47">
      <c r="A601" s="231"/>
      <c r="B601" s="169"/>
      <c r="C601" s="169"/>
      <c r="D601" s="131"/>
      <c r="E601" s="131"/>
      <c r="F601" s="169"/>
      <c r="G601" s="131"/>
      <c r="H601" s="169"/>
      <c r="I601" s="169"/>
      <c r="J601" s="131"/>
      <c r="K601" s="169"/>
      <c r="L601" s="169"/>
      <c r="M601" s="169"/>
      <c r="N601" s="131"/>
      <c r="O601" s="169"/>
      <c r="P601" s="169"/>
      <c r="Q601" s="169"/>
      <c r="R601" s="131"/>
      <c r="S601" s="169"/>
      <c r="T601" s="169"/>
      <c r="U601" s="169"/>
      <c r="V601" s="131"/>
      <c r="W601" s="169"/>
      <c r="X601" s="169"/>
      <c r="Y601" s="53"/>
      <c r="AA601" s="110"/>
      <c r="AB601" s="110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</row>
    <row r="602" spans="1:47">
      <c r="A602" s="231" t="s">
        <v>146</v>
      </c>
      <c r="B602" s="169"/>
      <c r="C602" s="227"/>
      <c r="D602" s="131"/>
      <c r="E602" s="131"/>
      <c r="F602" s="169"/>
      <c r="G602" s="131"/>
      <c r="H602" s="169"/>
      <c r="I602" s="169"/>
      <c r="J602" s="131"/>
      <c r="K602" s="169"/>
      <c r="L602" s="169"/>
      <c r="M602" s="169"/>
      <c r="N602" s="131"/>
      <c r="O602" s="169"/>
      <c r="P602" s="169"/>
      <c r="Q602" s="169"/>
      <c r="R602" s="131"/>
      <c r="S602" s="169"/>
      <c r="T602" s="169"/>
      <c r="U602" s="169"/>
      <c r="V602" s="131"/>
      <c r="W602" s="169"/>
      <c r="X602" s="169"/>
      <c r="Y602" s="53"/>
      <c r="Z602" s="110"/>
      <c r="AA602" s="295" t="s">
        <v>22</v>
      </c>
      <c r="AB602" s="295"/>
      <c r="AC602" s="53"/>
      <c r="AD602" s="53"/>
      <c r="AE602" s="53"/>
      <c r="AF602" s="53"/>
      <c r="AG602" s="53"/>
      <c r="AH602" s="53"/>
      <c r="AI602" s="53"/>
      <c r="AK602" s="53"/>
      <c r="AL602" s="53"/>
      <c r="AM602" s="53"/>
      <c r="AN602" s="53"/>
      <c r="AO602" s="53"/>
      <c r="AP602" s="53"/>
      <c r="AQ602" s="53"/>
      <c r="AR602" s="53"/>
      <c r="AS602" s="53"/>
    </row>
    <row r="603" spans="1:47">
      <c r="A603" s="231" t="s">
        <v>178</v>
      </c>
      <c r="B603" s="169"/>
      <c r="C603" s="227">
        <f>C645+C683</f>
        <v>316.43333333333368</v>
      </c>
      <c r="D603" s="193">
        <v>259</v>
      </c>
      <c r="E603" s="231"/>
      <c r="F603" s="229">
        <f>F645+F683</f>
        <v>81956</v>
      </c>
      <c r="G603" s="193">
        <v>259</v>
      </c>
      <c r="H603" s="231"/>
      <c r="I603" s="229">
        <f>I645+I683</f>
        <v>81956</v>
      </c>
      <c r="J603" s="193">
        <v>259</v>
      </c>
      <c r="K603" s="231"/>
      <c r="L603" s="229">
        <f>L645+L683</f>
        <v>81956</v>
      </c>
      <c r="M603" s="229"/>
      <c r="N603" s="193">
        <v>259</v>
      </c>
      <c r="O603" s="231"/>
      <c r="P603" s="229">
        <v>81956</v>
      </c>
      <c r="Q603" s="229"/>
      <c r="R603" s="193" t="s">
        <v>0</v>
      </c>
      <c r="S603" s="231"/>
      <c r="T603" s="229">
        <v>0</v>
      </c>
      <c r="U603" s="131"/>
      <c r="V603" s="193" t="s">
        <v>0</v>
      </c>
      <c r="W603" s="169"/>
      <c r="X603" s="131">
        <v>0</v>
      </c>
      <c r="AA603" s="63">
        <f>(J603-G603)/G603</f>
        <v>0</v>
      </c>
      <c r="AB603" s="63"/>
      <c r="AJ603" s="225"/>
      <c r="AK603" s="225"/>
      <c r="AN603" s="53"/>
      <c r="AO603" s="53"/>
      <c r="AP603" s="53"/>
      <c r="AQ603" s="53"/>
      <c r="AR603" s="53"/>
      <c r="AS603" s="53"/>
    </row>
    <row r="604" spans="1:47">
      <c r="A604" s="231" t="s">
        <v>179</v>
      </c>
      <c r="B604" s="169"/>
      <c r="C604" s="227">
        <f>C646+C684</f>
        <v>8726.8666666666722</v>
      </c>
      <c r="D604" s="193">
        <v>96</v>
      </c>
      <c r="E604" s="231"/>
      <c r="F604" s="229">
        <f>F646+F684</f>
        <v>837779</v>
      </c>
      <c r="G604" s="193">
        <v>96</v>
      </c>
      <c r="H604" s="231"/>
      <c r="I604" s="229">
        <f>I646+I684</f>
        <v>837779</v>
      </c>
      <c r="J604" s="193">
        <v>96</v>
      </c>
      <c r="K604" s="231"/>
      <c r="L604" s="229">
        <f>L646+L684</f>
        <v>837779</v>
      </c>
      <c r="M604" s="229"/>
      <c r="N604" s="193">
        <v>96</v>
      </c>
      <c r="O604" s="231"/>
      <c r="P604" s="229">
        <v>837779</v>
      </c>
      <c r="Q604" s="229"/>
      <c r="R604" s="193" t="s">
        <v>0</v>
      </c>
      <c r="S604" s="231"/>
      <c r="T604" s="229">
        <v>0</v>
      </c>
      <c r="U604" s="131"/>
      <c r="V604" s="193" t="s">
        <v>0</v>
      </c>
      <c r="W604" s="169"/>
      <c r="X604" s="131">
        <v>0</v>
      </c>
      <c r="AA604" s="63">
        <f>(J604-G604)/G604</f>
        <v>0</v>
      </c>
      <c r="AB604" s="63"/>
      <c r="AD604" s="135"/>
      <c r="AE604" s="194"/>
      <c r="AF604" s="135"/>
      <c r="AG604" s="194"/>
      <c r="AH604" s="135"/>
      <c r="AI604" s="135"/>
      <c r="AJ604" s="194"/>
      <c r="AK604" s="194"/>
      <c r="AM604" s="93"/>
      <c r="AN604" s="53"/>
      <c r="AO604" s="53"/>
      <c r="AP604" s="53"/>
      <c r="AQ604" s="53"/>
      <c r="AR604" s="53"/>
      <c r="AS604" s="53"/>
    </row>
    <row r="605" spans="1:47">
      <c r="A605" s="231" t="s">
        <v>180</v>
      </c>
      <c r="B605" s="169"/>
      <c r="C605" s="227">
        <f>C647+C685</f>
        <v>3603.6666666666661</v>
      </c>
      <c r="D605" s="193">
        <v>192</v>
      </c>
      <c r="E605" s="233"/>
      <c r="F605" s="229">
        <f>F647+F685</f>
        <v>691904</v>
      </c>
      <c r="G605" s="193">
        <v>192</v>
      </c>
      <c r="H605" s="233"/>
      <c r="I605" s="229">
        <f>I647+I685</f>
        <v>691904</v>
      </c>
      <c r="J605" s="193">
        <v>192</v>
      </c>
      <c r="K605" s="233"/>
      <c r="L605" s="229">
        <f>L647+L685</f>
        <v>691904</v>
      </c>
      <c r="M605" s="229"/>
      <c r="N605" s="193">
        <v>192</v>
      </c>
      <c r="O605" s="233"/>
      <c r="P605" s="229">
        <v>691904</v>
      </c>
      <c r="Q605" s="229"/>
      <c r="R605" s="193" t="s">
        <v>0</v>
      </c>
      <c r="S605" s="233"/>
      <c r="T605" s="229">
        <v>0</v>
      </c>
      <c r="U605" s="131"/>
      <c r="V605" s="193" t="s">
        <v>0</v>
      </c>
      <c r="W605" s="169"/>
      <c r="X605" s="131">
        <v>0</v>
      </c>
      <c r="AA605" s="63">
        <f>(J605-G605)/G605</f>
        <v>0</v>
      </c>
      <c r="AB605" s="63"/>
      <c r="AD605" s="135"/>
      <c r="AE605" s="194"/>
      <c r="AF605" s="135"/>
      <c r="AG605" s="194"/>
      <c r="AH605" s="135"/>
      <c r="AI605" s="135"/>
      <c r="AJ605" s="194"/>
      <c r="AK605" s="194"/>
      <c r="AM605" s="93"/>
      <c r="AN605" s="53"/>
      <c r="AO605" s="53"/>
      <c r="AP605" s="53"/>
      <c r="AQ605" s="53"/>
      <c r="AR605" s="53"/>
      <c r="AS605" s="53"/>
    </row>
    <row r="606" spans="1:47">
      <c r="A606" s="231" t="s">
        <v>147</v>
      </c>
      <c r="B606" s="169"/>
      <c r="C606" s="227">
        <f>SUM(C603:C605)</f>
        <v>12646.966666666673</v>
      </c>
      <c r="D606" s="193"/>
      <c r="E606" s="231"/>
      <c r="F606" s="229"/>
      <c r="G606" s="193"/>
      <c r="H606" s="231"/>
      <c r="I606" s="229"/>
      <c r="J606" s="193"/>
      <c r="K606" s="231"/>
      <c r="L606" s="229"/>
      <c r="M606" s="229"/>
      <c r="N606" s="193"/>
      <c r="O606" s="231"/>
      <c r="P606" s="229"/>
      <c r="Q606" s="229"/>
      <c r="R606" s="193"/>
      <c r="S606" s="231"/>
      <c r="T606" s="229"/>
      <c r="U606" s="229"/>
      <c r="V606" s="193"/>
      <c r="W606" s="231"/>
      <c r="X606" s="229"/>
      <c r="AD606" s="135"/>
      <c r="AE606" s="194"/>
      <c r="AF606" s="135"/>
      <c r="AG606" s="194"/>
      <c r="AH606" s="135"/>
      <c r="AI606" s="135"/>
      <c r="AJ606" s="194"/>
      <c r="AK606" s="194"/>
      <c r="AM606" s="93"/>
      <c r="AN606" s="53"/>
      <c r="AO606" s="53"/>
      <c r="AP606" s="53"/>
      <c r="AQ606" s="53"/>
      <c r="AR606" s="53"/>
      <c r="AS606" s="53"/>
    </row>
    <row r="607" spans="1:47">
      <c r="A607" s="231" t="s">
        <v>179</v>
      </c>
      <c r="B607" s="169"/>
      <c r="C607" s="227">
        <f>C649+C687</f>
        <v>1502047</v>
      </c>
      <c r="D607" s="193">
        <v>1.7</v>
      </c>
      <c r="E607" s="231" t="s">
        <v>0</v>
      </c>
      <c r="F607" s="229">
        <f>F649+F687</f>
        <v>2553480</v>
      </c>
      <c r="G607" s="193">
        <v>1.7</v>
      </c>
      <c r="H607" s="231" t="s">
        <v>0</v>
      </c>
      <c r="I607" s="229">
        <f>I649+I687</f>
        <v>2553480</v>
      </c>
      <c r="J607" s="193">
        <v>1.76</v>
      </c>
      <c r="K607" s="231" t="s">
        <v>0</v>
      </c>
      <c r="L607" s="229">
        <f>L649+L687</f>
        <v>2643603</v>
      </c>
      <c r="M607" s="229"/>
      <c r="N607" s="193">
        <v>1.76</v>
      </c>
      <c r="O607" s="231" t="s">
        <v>0</v>
      </c>
      <c r="P607" s="229">
        <v>2643603</v>
      </c>
      <c r="Q607" s="229"/>
      <c r="R607" s="193" t="s">
        <v>0</v>
      </c>
      <c r="S607" s="231" t="s">
        <v>0</v>
      </c>
      <c r="T607" s="229">
        <v>0</v>
      </c>
      <c r="U607" s="131"/>
      <c r="V607" s="193" t="s">
        <v>0</v>
      </c>
      <c r="W607" s="169"/>
      <c r="X607" s="131">
        <v>0</v>
      </c>
      <c r="Z607" s="196" t="s">
        <v>0</v>
      </c>
      <c r="AA607" s="63">
        <f>(J607-G607)/G607</f>
        <v>3.5294117647058858E-2</v>
      </c>
      <c r="AB607" s="63"/>
      <c r="AD607" s="135"/>
      <c r="AE607" s="234"/>
      <c r="AF607" s="135"/>
      <c r="AG607" s="234"/>
      <c r="AH607" s="135"/>
      <c r="AI607" s="135"/>
      <c r="AJ607" s="234"/>
      <c r="AK607" s="234"/>
      <c r="AM607" s="53"/>
      <c r="AN607" s="53"/>
      <c r="AO607" s="53"/>
      <c r="AP607" s="53"/>
      <c r="AQ607" s="53"/>
      <c r="AR607" s="53"/>
      <c r="AS607" s="53"/>
    </row>
    <row r="608" spans="1:47">
      <c r="A608" s="231" t="s">
        <v>180</v>
      </c>
      <c r="B608" s="169"/>
      <c r="C608" s="227">
        <f>C650+C688</f>
        <v>1828696</v>
      </c>
      <c r="D608" s="193">
        <v>1.39</v>
      </c>
      <c r="E608" s="231" t="s">
        <v>0</v>
      </c>
      <c r="F608" s="229">
        <f>F650+F688</f>
        <v>2541887</v>
      </c>
      <c r="G608" s="193">
        <v>1.39</v>
      </c>
      <c r="H608" s="231" t="s">
        <v>0</v>
      </c>
      <c r="I608" s="229">
        <f>I650+I688</f>
        <v>2541887</v>
      </c>
      <c r="J608" s="193">
        <v>1.44</v>
      </c>
      <c r="K608" s="231" t="s">
        <v>0</v>
      </c>
      <c r="L608" s="229">
        <f>L650+L688</f>
        <v>2633322</v>
      </c>
      <c r="M608" s="229"/>
      <c r="N608" s="193">
        <v>1.44</v>
      </c>
      <c r="O608" s="231" t="s">
        <v>0</v>
      </c>
      <c r="P608" s="229">
        <v>2633322</v>
      </c>
      <c r="Q608" s="229"/>
      <c r="R608" s="193" t="s">
        <v>0</v>
      </c>
      <c r="S608" s="231" t="s">
        <v>0</v>
      </c>
      <c r="T608" s="229">
        <v>0</v>
      </c>
      <c r="U608" s="131"/>
      <c r="V608" s="193" t="s">
        <v>0</v>
      </c>
      <c r="W608" s="169"/>
      <c r="X608" s="131">
        <v>0</v>
      </c>
      <c r="AA608" s="63">
        <f>(J608-G608)/G608</f>
        <v>3.5971223021582767E-2</v>
      </c>
      <c r="AB608" s="63"/>
      <c r="AD608" s="135"/>
      <c r="AE608" s="135"/>
      <c r="AM608" s="53"/>
      <c r="AN608" s="53"/>
      <c r="AO608" s="53"/>
      <c r="AP608" s="53"/>
      <c r="AQ608" s="53"/>
      <c r="AR608" s="53"/>
      <c r="AS608" s="53"/>
    </row>
    <row r="609" spans="1:47">
      <c r="A609" s="154" t="s">
        <v>181</v>
      </c>
      <c r="B609" s="169"/>
      <c r="C609" s="227"/>
      <c r="D609" s="200"/>
      <c r="E609" s="231"/>
      <c r="F609" s="229"/>
      <c r="G609" s="200"/>
      <c r="H609" s="231"/>
      <c r="I609" s="229"/>
      <c r="J609" s="200"/>
      <c r="K609" s="231"/>
      <c r="L609" s="229"/>
      <c r="M609" s="229"/>
      <c r="N609" s="200"/>
      <c r="O609" s="231"/>
      <c r="P609" s="229"/>
      <c r="Q609" s="229"/>
      <c r="R609" s="200"/>
      <c r="S609" s="231"/>
      <c r="T609" s="229"/>
      <c r="U609" s="229"/>
      <c r="V609" s="200"/>
      <c r="W609" s="231"/>
      <c r="X609" s="229"/>
      <c r="AC609" s="117"/>
      <c r="AM609" s="53"/>
      <c r="AN609" s="53"/>
      <c r="AO609" s="53"/>
      <c r="AP609" s="53"/>
      <c r="AQ609" s="53"/>
      <c r="AR609" s="53"/>
      <c r="AS609" s="53"/>
    </row>
    <row r="610" spans="1:47">
      <c r="A610" s="154" t="s">
        <v>182</v>
      </c>
      <c r="B610" s="169"/>
      <c r="C610" s="227">
        <f>C652+C690</f>
        <v>2516583.5</v>
      </c>
      <c r="D610" s="193">
        <v>4.4400000000000004</v>
      </c>
      <c r="E610" s="231"/>
      <c r="F610" s="229">
        <f>F652+F690</f>
        <v>11173631</v>
      </c>
      <c r="G610" s="193">
        <v>4.72</v>
      </c>
      <c r="H610" s="231"/>
      <c r="I610" s="229">
        <f>I652+I690</f>
        <v>11878274</v>
      </c>
      <c r="J610" s="193">
        <v>5.37</v>
      </c>
      <c r="K610" s="231"/>
      <c r="L610" s="229">
        <f>L652+L690</f>
        <v>13514053</v>
      </c>
      <c r="M610" s="229"/>
      <c r="N610" s="193">
        <v>0.84</v>
      </c>
      <c r="O610" s="231"/>
      <c r="P610" s="229">
        <v>2115960.1630374398</v>
      </c>
      <c r="Q610" s="229"/>
      <c r="R610" s="193">
        <v>0.9</v>
      </c>
      <c r="S610" s="231"/>
      <c r="T610" s="229">
        <v>2264521.7556879255</v>
      </c>
      <c r="U610" s="229"/>
      <c r="V610" s="193">
        <v>3.63</v>
      </c>
      <c r="W610" s="231"/>
      <c r="X610" s="131">
        <v>9133571.0812746342</v>
      </c>
      <c r="AA610" s="63">
        <f>(J610-G610)/G610</f>
        <v>0.13771186440677974</v>
      </c>
      <c r="AB610" s="63"/>
      <c r="AC610" s="117"/>
      <c r="AM610" s="53"/>
      <c r="AN610" s="53"/>
      <c r="AO610" s="53"/>
      <c r="AP610" s="53"/>
      <c r="AQ610" s="53"/>
      <c r="AR610" s="53"/>
      <c r="AS610" s="53"/>
    </row>
    <row r="611" spans="1:47">
      <c r="A611" s="154" t="s">
        <v>198</v>
      </c>
      <c r="B611" s="169"/>
      <c r="C611" s="227">
        <f>C653+C691</f>
        <v>1998.6666666666692</v>
      </c>
      <c r="D611" s="296">
        <v>4.4400000000000004</v>
      </c>
      <c r="E611" s="231"/>
      <c r="F611" s="229">
        <f>F653+F691</f>
        <v>8874</v>
      </c>
      <c r="G611" s="296">
        <v>4.72</v>
      </c>
      <c r="H611" s="231"/>
      <c r="I611" s="229">
        <f>I653+I691</f>
        <v>9434</v>
      </c>
      <c r="J611" s="296">
        <f>J610</f>
        <v>5.37</v>
      </c>
      <c r="K611" s="231"/>
      <c r="L611" s="229">
        <f>L653+L691</f>
        <v>10733</v>
      </c>
      <c r="M611" s="229"/>
      <c r="N611" s="296">
        <f>N610</f>
        <v>0.84</v>
      </c>
      <c r="O611" s="231"/>
      <c r="P611" s="229">
        <v>1678.8800000000022</v>
      </c>
      <c r="Q611" s="229"/>
      <c r="R611" s="296">
        <f>R610</f>
        <v>0.9</v>
      </c>
      <c r="S611" s="231"/>
      <c r="T611" s="229">
        <v>1798.8000000000025</v>
      </c>
      <c r="U611" s="229"/>
      <c r="V611" s="296">
        <f>V610</f>
        <v>3.63</v>
      </c>
      <c r="W611" s="231"/>
      <c r="X611" s="131">
        <v>7255.1600000000089</v>
      </c>
      <c r="AA611" s="63">
        <f>(J611-G611)/G611</f>
        <v>0.13771186440677974</v>
      </c>
      <c r="AB611" s="63"/>
      <c r="AC611" s="117"/>
      <c r="AM611" s="53"/>
      <c r="AN611" s="53"/>
      <c r="AO611" s="53"/>
      <c r="AP611" s="53"/>
      <c r="AQ611" s="53"/>
      <c r="AR611" s="53"/>
      <c r="AS611" s="53"/>
    </row>
    <row r="612" spans="1:47">
      <c r="A612" s="231" t="s">
        <v>183</v>
      </c>
      <c r="B612" s="169"/>
      <c r="C612" s="227"/>
      <c r="D612" s="193"/>
      <c r="E612" s="231"/>
      <c r="F612" s="229"/>
      <c r="G612" s="193"/>
      <c r="H612" s="231"/>
      <c r="I612" s="229"/>
      <c r="J612" s="193"/>
      <c r="K612" s="231"/>
      <c r="L612" s="229"/>
      <c r="M612" s="229"/>
      <c r="N612" s="193"/>
      <c r="O612" s="231"/>
      <c r="P612" s="229"/>
      <c r="Q612" s="229"/>
      <c r="R612" s="193"/>
      <c r="S612" s="231"/>
      <c r="T612" s="229"/>
      <c r="U612" s="229"/>
      <c r="V612" s="193"/>
      <c r="W612" s="231"/>
      <c r="X612" s="229"/>
      <c r="AC612" s="196" t="s">
        <v>0</v>
      </c>
      <c r="AM612" s="53"/>
      <c r="AN612" s="53"/>
      <c r="AO612" s="53"/>
      <c r="AP612" s="53"/>
      <c r="AQ612" s="53"/>
      <c r="AR612" s="53"/>
      <c r="AS612" s="53"/>
    </row>
    <row r="613" spans="1:47">
      <c r="A613" s="231" t="s">
        <v>184</v>
      </c>
      <c r="B613" s="227"/>
      <c r="C613" s="227">
        <f>C655+C693</f>
        <v>396791152.47443527</v>
      </c>
      <c r="D613" s="297">
        <v>5.2919999999999998</v>
      </c>
      <c r="E613" s="231" t="s">
        <v>107</v>
      </c>
      <c r="F613" s="229">
        <f>F655+F693</f>
        <v>20998188</v>
      </c>
      <c r="G613" s="297">
        <v>5.6289999999999996</v>
      </c>
      <c r="H613" s="231" t="s">
        <v>107</v>
      </c>
      <c r="I613" s="229">
        <f>I655+I693</f>
        <v>22335374</v>
      </c>
      <c r="J613" s="297">
        <v>5.6790000000000003</v>
      </c>
      <c r="K613" s="231" t="s">
        <v>107</v>
      </c>
      <c r="L613" s="229">
        <f>L655+L693</f>
        <v>22533770</v>
      </c>
      <c r="M613" s="229"/>
      <c r="N613" s="297" t="s">
        <v>0</v>
      </c>
      <c r="O613" s="231" t="s">
        <v>0</v>
      </c>
      <c r="P613" s="229">
        <v>0</v>
      </c>
      <c r="Q613" s="229"/>
      <c r="R613" s="297">
        <v>1.125</v>
      </c>
      <c r="S613" s="231" t="s">
        <v>107</v>
      </c>
      <c r="T613" s="229">
        <v>4464765.1065762546</v>
      </c>
      <c r="U613" s="229"/>
      <c r="V613" s="297">
        <v>4.5540000000000003</v>
      </c>
      <c r="W613" s="231" t="s">
        <v>107</v>
      </c>
      <c r="X613" s="131">
        <v>18069003.692421343</v>
      </c>
      <c r="AA613" s="63">
        <f>((J613+J616)-G613)/G613</f>
        <v>8.8825723929651292E-3</v>
      </c>
      <c r="AB613" s="63"/>
      <c r="AC613" s="117"/>
      <c r="AM613" s="53"/>
      <c r="AN613" s="53"/>
      <c r="AO613" s="53"/>
      <c r="AP613" s="53"/>
      <c r="AQ613" s="53"/>
      <c r="AR613" s="53"/>
      <c r="AS613" s="53"/>
    </row>
    <row r="614" spans="1:47">
      <c r="A614" s="231" t="s">
        <v>151</v>
      </c>
      <c r="B614" s="227"/>
      <c r="C614" s="227">
        <f>C656+C694</f>
        <v>502951619.70132762</v>
      </c>
      <c r="D614" s="297">
        <v>4.8499999999999996</v>
      </c>
      <c r="E614" s="231" t="s">
        <v>107</v>
      </c>
      <c r="F614" s="229">
        <f>F656+F694</f>
        <v>24393153</v>
      </c>
      <c r="G614" s="297">
        <v>5.157</v>
      </c>
      <c r="H614" s="231" t="s">
        <v>107</v>
      </c>
      <c r="I614" s="229">
        <f>I656+I694</f>
        <v>25937215</v>
      </c>
      <c r="J614" s="297">
        <v>5.2</v>
      </c>
      <c r="K614" s="231" t="s">
        <v>107</v>
      </c>
      <c r="L614" s="229">
        <f>L656+L694</f>
        <v>26153485</v>
      </c>
      <c r="M614" s="229"/>
      <c r="N614" s="297" t="s">
        <v>0</v>
      </c>
      <c r="O614" s="231" t="s">
        <v>0</v>
      </c>
      <c r="P614" s="229">
        <v>0</v>
      </c>
      <c r="Q614" s="229"/>
      <c r="R614" s="297">
        <v>1.03</v>
      </c>
      <c r="S614" s="231" t="s">
        <v>107</v>
      </c>
      <c r="T614" s="229">
        <v>5181963.2153592352</v>
      </c>
      <c r="U614" s="229"/>
      <c r="V614" s="297">
        <v>4.17</v>
      </c>
      <c r="W614" s="231" t="s">
        <v>107</v>
      </c>
      <c r="X614" s="131">
        <v>20971520.390715189</v>
      </c>
      <c r="AA614" s="63">
        <f>((J614+J617)-G614)/G614</f>
        <v>8.3381811130502515E-3</v>
      </c>
      <c r="AB614" s="63"/>
      <c r="AC614" s="117"/>
      <c r="AN614" s="53"/>
      <c r="AO614" s="53"/>
      <c r="AP614" s="53"/>
      <c r="AQ614" s="53"/>
      <c r="AR614" s="53"/>
      <c r="AS614" s="53"/>
    </row>
    <row r="615" spans="1:47">
      <c r="A615" s="231" t="s">
        <v>152</v>
      </c>
      <c r="B615" s="169"/>
      <c r="C615" s="227">
        <f>C657+C695</f>
        <v>497319.56666666747</v>
      </c>
      <c r="D615" s="282">
        <v>56</v>
      </c>
      <c r="E615" s="231" t="s">
        <v>107</v>
      </c>
      <c r="F615" s="229">
        <f>F657+F695</f>
        <v>278499</v>
      </c>
      <c r="G615" s="282">
        <v>56</v>
      </c>
      <c r="H615" s="231" t="s">
        <v>107</v>
      </c>
      <c r="I615" s="229">
        <f>I657+I695</f>
        <v>278499</v>
      </c>
      <c r="J615" s="282">
        <v>56</v>
      </c>
      <c r="K615" s="231" t="s">
        <v>107</v>
      </c>
      <c r="L615" s="229">
        <f>L657+L695</f>
        <v>278499</v>
      </c>
      <c r="M615" s="229"/>
      <c r="N615" s="282" t="s">
        <v>0</v>
      </c>
      <c r="O615" s="231" t="s">
        <v>0</v>
      </c>
      <c r="P615" s="229">
        <v>0</v>
      </c>
      <c r="Q615" s="229"/>
      <c r="R615" s="282">
        <v>11</v>
      </c>
      <c r="S615" s="231" t="s">
        <v>107</v>
      </c>
      <c r="T615" s="229">
        <v>55209.346114693813</v>
      </c>
      <c r="U615" s="229"/>
      <c r="V615" s="282">
        <v>45</v>
      </c>
      <c r="W615" s="231" t="s">
        <v>107</v>
      </c>
      <c r="X615" s="131">
        <v>223289.65388530618</v>
      </c>
      <c r="AA615" s="63">
        <f>(J615-G615)/G615</f>
        <v>0</v>
      </c>
      <c r="AB615" s="63"/>
      <c r="AC615" s="117"/>
      <c r="AN615" s="53"/>
      <c r="AO615" s="53"/>
      <c r="AP615" s="53"/>
      <c r="AQ615" s="53"/>
      <c r="AR615" s="53"/>
      <c r="AS615" s="53"/>
    </row>
    <row r="616" spans="1:47" s="141" customFormat="1" hidden="1">
      <c r="A616" s="140" t="s">
        <v>186</v>
      </c>
      <c r="C616" s="239">
        <f>C613</f>
        <v>396791152.47443527</v>
      </c>
      <c r="D616" s="138"/>
      <c r="E616" s="143"/>
      <c r="F616" s="144"/>
      <c r="G616" s="138"/>
      <c r="H616" s="143"/>
      <c r="I616" s="144"/>
      <c r="J616" s="297">
        <v>0</v>
      </c>
      <c r="K616" s="283" t="s">
        <v>107</v>
      </c>
      <c r="L616" s="283">
        <f>L658+L696</f>
        <v>0</v>
      </c>
      <c r="M616" s="283"/>
      <c r="N616" s="297" t="s">
        <v>0</v>
      </c>
      <c r="O616" s="283" t="s">
        <v>0</v>
      </c>
      <c r="P616" s="229">
        <v>0</v>
      </c>
      <c r="Q616" s="283"/>
      <c r="R616" s="297" t="s">
        <v>0</v>
      </c>
      <c r="S616" s="283" t="s">
        <v>0</v>
      </c>
      <c r="T616" s="229">
        <v>0</v>
      </c>
      <c r="U616" s="283"/>
      <c r="V616" s="297">
        <v>0</v>
      </c>
      <c r="W616" s="283" t="s">
        <v>107</v>
      </c>
      <c r="X616" s="131">
        <v>0</v>
      </c>
      <c r="Y616" s="147">
        <v>29291580.401307046</v>
      </c>
      <c r="Z616" s="132" t="s">
        <v>108</v>
      </c>
      <c r="AC616" s="148"/>
      <c r="AD616" s="148"/>
      <c r="AI616" s="143"/>
      <c r="AJ616" s="143"/>
      <c r="AK616" s="143"/>
      <c r="AL616" s="143"/>
      <c r="AM616" s="143"/>
      <c r="AN616" s="143"/>
      <c r="AO616" s="143"/>
      <c r="AP616" s="143"/>
      <c r="AQ616" s="143"/>
      <c r="AR616" s="143"/>
      <c r="AS616" s="143"/>
      <c r="AU616" s="147"/>
    </row>
    <row r="617" spans="1:47" s="141" customFormat="1" hidden="1">
      <c r="A617" s="140" t="s">
        <v>187</v>
      </c>
      <c r="C617" s="239">
        <f>C614</f>
        <v>502951619.70132762</v>
      </c>
      <c r="D617" s="138"/>
      <c r="E617" s="143"/>
      <c r="F617" s="144"/>
      <c r="G617" s="138"/>
      <c r="H617" s="143"/>
      <c r="I617" s="144"/>
      <c r="J617" s="297">
        <v>0</v>
      </c>
      <c r="K617" s="283" t="s">
        <v>107</v>
      </c>
      <c r="L617" s="283">
        <f>L659+L697</f>
        <v>0</v>
      </c>
      <c r="M617" s="283"/>
      <c r="N617" s="297" t="s">
        <v>0</v>
      </c>
      <c r="O617" s="283" t="s">
        <v>0</v>
      </c>
      <c r="P617" s="229">
        <v>0</v>
      </c>
      <c r="Q617" s="283"/>
      <c r="R617" s="297" t="s">
        <v>0</v>
      </c>
      <c r="S617" s="283" t="s">
        <v>0</v>
      </c>
      <c r="T617" s="229">
        <v>0</v>
      </c>
      <c r="U617" s="283"/>
      <c r="V617" s="297">
        <v>0</v>
      </c>
      <c r="W617" s="283" t="s">
        <v>107</v>
      </c>
      <c r="X617" s="131">
        <v>0</v>
      </c>
      <c r="Y617" s="140" t="s">
        <v>0</v>
      </c>
      <c r="Z617" s="132"/>
      <c r="AC617" s="148"/>
      <c r="AD617" s="148"/>
      <c r="AI617" s="143"/>
      <c r="AJ617" s="143"/>
      <c r="AK617" s="143"/>
      <c r="AL617" s="143"/>
      <c r="AM617" s="143"/>
      <c r="AN617" s="143"/>
      <c r="AO617" s="143"/>
      <c r="AP617" s="143"/>
      <c r="AQ617" s="143"/>
      <c r="AR617" s="143"/>
      <c r="AS617" s="143"/>
      <c r="AU617" s="147"/>
    </row>
    <row r="618" spans="1:47" s="141" customFormat="1" hidden="1">
      <c r="A618" s="202" t="s">
        <v>199</v>
      </c>
      <c r="B618" s="203"/>
      <c r="C618" s="241"/>
      <c r="D618" s="205"/>
      <c r="E618" s="206"/>
      <c r="F618" s="207"/>
      <c r="G618" s="298">
        <f>G613</f>
        <v>5.6289999999999996</v>
      </c>
      <c r="H618" s="242" t="s">
        <v>107</v>
      </c>
      <c r="I618" s="207"/>
      <c r="J618" s="298">
        <f>J613+J616</f>
        <v>5.6790000000000003</v>
      </c>
      <c r="K618" s="242" t="s">
        <v>107</v>
      </c>
      <c r="L618" s="299"/>
      <c r="M618" s="299"/>
      <c r="N618" s="298">
        <f>N613+N616</f>
        <v>0</v>
      </c>
      <c r="O618" s="242" t="s">
        <v>0</v>
      </c>
      <c r="P618" s="299"/>
      <c r="Q618" s="299"/>
      <c r="R618" s="298">
        <f>R613+R616</f>
        <v>1.125</v>
      </c>
      <c r="S618" s="242" t="s">
        <v>107</v>
      </c>
      <c r="T618" s="299"/>
      <c r="U618" s="299"/>
      <c r="V618" s="298">
        <f>V613+V616</f>
        <v>4.5540000000000003</v>
      </c>
      <c r="W618" s="242" t="s">
        <v>107</v>
      </c>
      <c r="X618" s="299"/>
      <c r="Y618" s="140"/>
      <c r="Z618" s="132"/>
      <c r="AA618" s="63">
        <f>(J618-G618)/G618</f>
        <v>8.8825723929651292E-3</v>
      </c>
      <c r="AC618" s="148"/>
      <c r="AD618" s="148"/>
      <c r="AI618" s="143"/>
      <c r="AJ618" s="143"/>
      <c r="AK618" s="143"/>
      <c r="AL618" s="143"/>
      <c r="AM618" s="143"/>
      <c r="AN618" s="143"/>
      <c r="AO618" s="143"/>
      <c r="AP618" s="143"/>
      <c r="AQ618" s="143"/>
      <c r="AR618" s="143"/>
      <c r="AS618" s="143"/>
      <c r="AU618" s="147"/>
    </row>
    <row r="619" spans="1:47" s="141" customFormat="1" hidden="1">
      <c r="A619" s="202" t="s">
        <v>200</v>
      </c>
      <c r="B619" s="203"/>
      <c r="C619" s="241"/>
      <c r="D619" s="205"/>
      <c r="E619" s="206"/>
      <c r="F619" s="207"/>
      <c r="G619" s="298">
        <f>G614</f>
        <v>5.157</v>
      </c>
      <c r="H619" s="242" t="s">
        <v>107</v>
      </c>
      <c r="I619" s="207"/>
      <c r="J619" s="298">
        <f>J614+J617</f>
        <v>5.2</v>
      </c>
      <c r="K619" s="242" t="s">
        <v>107</v>
      </c>
      <c r="L619" s="299"/>
      <c r="M619" s="299"/>
      <c r="N619" s="298">
        <f>N614+N617</f>
        <v>0</v>
      </c>
      <c r="O619" s="242" t="s">
        <v>0</v>
      </c>
      <c r="P619" s="299"/>
      <c r="Q619" s="299"/>
      <c r="R619" s="298">
        <f>R614+R617</f>
        <v>1.03</v>
      </c>
      <c r="S619" s="242" t="s">
        <v>107</v>
      </c>
      <c r="T619" s="299"/>
      <c r="U619" s="299"/>
      <c r="V619" s="298">
        <f>V614+V617</f>
        <v>4.17</v>
      </c>
      <c r="W619" s="242" t="s">
        <v>107</v>
      </c>
      <c r="X619" s="299"/>
      <c r="Y619" s="140"/>
      <c r="Z619" s="132"/>
      <c r="AA619" s="63">
        <f>(J619-G619)/G619</f>
        <v>8.3381811130502515E-3</v>
      </c>
      <c r="AC619" s="148"/>
      <c r="AD619" s="148"/>
      <c r="AI619" s="143"/>
      <c r="AJ619" s="143"/>
      <c r="AK619" s="143"/>
      <c r="AL619" s="143"/>
      <c r="AM619" s="143"/>
      <c r="AN619" s="143"/>
      <c r="AO619" s="143"/>
      <c r="AP619" s="143"/>
      <c r="AQ619" s="143"/>
      <c r="AR619" s="143"/>
      <c r="AS619" s="143"/>
      <c r="AU619" s="147"/>
    </row>
    <row r="620" spans="1:47">
      <c r="A620" s="284" t="s">
        <v>159</v>
      </c>
      <c r="B620" s="169"/>
      <c r="C620" s="227"/>
      <c r="D620" s="245">
        <v>-0.01</v>
      </c>
      <c r="E620" s="131"/>
      <c r="F620" s="229"/>
      <c r="G620" s="245">
        <v>-0.01</v>
      </c>
      <c r="H620" s="169"/>
      <c r="I620" s="229"/>
      <c r="J620" s="245">
        <v>-0.01</v>
      </c>
      <c r="K620" s="169"/>
      <c r="L620" s="229"/>
      <c r="M620" s="229"/>
      <c r="N620" s="245">
        <v>-0.01</v>
      </c>
      <c r="O620" s="169"/>
      <c r="P620" s="229"/>
      <c r="Q620" s="229"/>
      <c r="R620" s="245">
        <v>-0.01</v>
      </c>
      <c r="S620" s="169"/>
      <c r="T620" s="229"/>
      <c r="U620" s="229"/>
      <c r="V620" s="245">
        <v>-0.01</v>
      </c>
      <c r="W620" s="169"/>
      <c r="X620" s="229"/>
      <c r="AN620" s="53"/>
      <c r="AO620" s="53"/>
      <c r="AP620" s="53"/>
      <c r="AQ620" s="53"/>
      <c r="AR620" s="53"/>
      <c r="AS620" s="53"/>
    </row>
    <row r="621" spans="1:47">
      <c r="A621" s="231" t="s">
        <v>178</v>
      </c>
      <c r="B621" s="169"/>
      <c r="C621" s="227">
        <f t="shared" ref="C621:C632" si="172">C661+C699</f>
        <v>0.46666666666666701</v>
      </c>
      <c r="D621" s="200">
        <v>259</v>
      </c>
      <c r="E621" s="292"/>
      <c r="F621" s="229">
        <f t="shared" ref="F621:F632" si="173">F661+F699</f>
        <v>-1</v>
      </c>
      <c r="G621" s="200">
        <v>259</v>
      </c>
      <c r="H621" s="188"/>
      <c r="I621" s="229">
        <f t="shared" ref="I621:I632" si="174">I661+I699</f>
        <v>-1</v>
      </c>
      <c r="J621" s="200">
        <f>J603</f>
        <v>259</v>
      </c>
      <c r="K621" s="188"/>
      <c r="L621" s="229">
        <f t="shared" ref="L621:L635" si="175">L661+L699</f>
        <v>-1</v>
      </c>
      <c r="M621" s="229"/>
      <c r="N621" s="200">
        <f>N603</f>
        <v>259</v>
      </c>
      <c r="O621" s="188"/>
      <c r="P621" s="229">
        <v>-1</v>
      </c>
      <c r="Q621" s="229"/>
      <c r="R621" s="200" t="str">
        <f>R603</f>
        <v xml:space="preserve"> </v>
      </c>
      <c r="S621" s="188"/>
      <c r="T621" s="229">
        <v>0</v>
      </c>
      <c r="U621" s="229"/>
      <c r="V621" s="200" t="str">
        <f>V603</f>
        <v xml:space="preserve"> </v>
      </c>
      <c r="W621" s="188"/>
      <c r="X621" s="131">
        <v>0</v>
      </c>
      <c r="Z621" s="196" t="s">
        <v>0</v>
      </c>
      <c r="AN621" s="53"/>
      <c r="AO621" s="53"/>
      <c r="AP621" s="53"/>
      <c r="AQ621" s="53"/>
      <c r="AR621" s="53"/>
      <c r="AS621" s="53"/>
    </row>
    <row r="622" spans="1:47">
      <c r="A622" s="231" t="s">
        <v>179</v>
      </c>
      <c r="B622" s="169"/>
      <c r="C622" s="227">
        <f t="shared" si="172"/>
        <v>68.599999999999994</v>
      </c>
      <c r="D622" s="200">
        <v>96</v>
      </c>
      <c r="E622" s="292"/>
      <c r="F622" s="229">
        <f t="shared" si="173"/>
        <v>-66</v>
      </c>
      <c r="G622" s="200">
        <v>96</v>
      </c>
      <c r="H622" s="188"/>
      <c r="I622" s="229">
        <f t="shared" si="174"/>
        <v>-66</v>
      </c>
      <c r="J622" s="200">
        <f>J604</f>
        <v>96</v>
      </c>
      <c r="K622" s="188"/>
      <c r="L622" s="229">
        <f t="shared" si="175"/>
        <v>-66</v>
      </c>
      <c r="M622" s="229"/>
      <c r="N622" s="200">
        <f>N604</f>
        <v>96</v>
      </c>
      <c r="O622" s="188"/>
      <c r="P622" s="229">
        <v>-66</v>
      </c>
      <c r="Q622" s="229"/>
      <c r="R622" s="200" t="str">
        <f>R604</f>
        <v xml:space="preserve"> </v>
      </c>
      <c r="S622" s="188"/>
      <c r="T622" s="229">
        <v>0</v>
      </c>
      <c r="U622" s="229"/>
      <c r="V622" s="200" t="str">
        <f>V604</f>
        <v xml:space="preserve"> </v>
      </c>
      <c r="W622" s="188"/>
      <c r="X622" s="131">
        <v>0</v>
      </c>
      <c r="Z622" s="300"/>
      <c r="AM622" s="53"/>
      <c r="AN622" s="53"/>
      <c r="AO622" s="53"/>
      <c r="AP622" s="53"/>
      <c r="AQ622" s="53"/>
      <c r="AR622" s="53"/>
      <c r="AS622" s="53"/>
    </row>
    <row r="623" spans="1:47">
      <c r="A623" s="231" t="s">
        <v>180</v>
      </c>
      <c r="B623" s="169"/>
      <c r="C623" s="227">
        <f t="shared" si="172"/>
        <v>82</v>
      </c>
      <c r="D623" s="200">
        <v>192</v>
      </c>
      <c r="E623" s="301"/>
      <c r="F623" s="229">
        <f t="shared" si="173"/>
        <v>-157</v>
      </c>
      <c r="G623" s="200">
        <v>192</v>
      </c>
      <c r="H623" s="302"/>
      <c r="I623" s="229">
        <f t="shared" si="174"/>
        <v>-157</v>
      </c>
      <c r="J623" s="200">
        <f>J605</f>
        <v>192</v>
      </c>
      <c r="K623" s="302"/>
      <c r="L623" s="229">
        <f t="shared" si="175"/>
        <v>-157</v>
      </c>
      <c r="M623" s="229"/>
      <c r="N623" s="200">
        <f>N605</f>
        <v>192</v>
      </c>
      <c r="O623" s="302"/>
      <c r="P623" s="229">
        <v>-157</v>
      </c>
      <c r="Q623" s="229"/>
      <c r="R623" s="200" t="str">
        <f>R605</f>
        <v xml:space="preserve"> </v>
      </c>
      <c r="S623" s="302"/>
      <c r="T623" s="229">
        <v>0</v>
      </c>
      <c r="U623" s="229"/>
      <c r="V623" s="200" t="str">
        <f>V605</f>
        <v xml:space="preserve"> </v>
      </c>
      <c r="W623" s="302"/>
      <c r="X623" s="131">
        <v>0</v>
      </c>
      <c r="Z623" s="303" t="s">
        <v>0</v>
      </c>
      <c r="AM623" s="53"/>
      <c r="AN623" s="53"/>
      <c r="AO623" s="53"/>
      <c r="AP623" s="53"/>
      <c r="AQ623" s="53"/>
      <c r="AR623" s="53"/>
      <c r="AS623" s="53"/>
    </row>
    <row r="624" spans="1:47">
      <c r="A624" s="231" t="s">
        <v>179</v>
      </c>
      <c r="B624" s="169"/>
      <c r="C624" s="227">
        <f t="shared" si="172"/>
        <v>10765</v>
      </c>
      <c r="D624" s="200">
        <v>1.7</v>
      </c>
      <c r="E624" s="292"/>
      <c r="F624" s="229">
        <f t="shared" si="173"/>
        <v>-183</v>
      </c>
      <c r="G624" s="200">
        <v>1.7</v>
      </c>
      <c r="H624" s="188"/>
      <c r="I624" s="229">
        <f t="shared" si="174"/>
        <v>-183</v>
      </c>
      <c r="J624" s="200">
        <f>J607</f>
        <v>1.76</v>
      </c>
      <c r="K624" s="188"/>
      <c r="L624" s="229">
        <f t="shared" si="175"/>
        <v>-189</v>
      </c>
      <c r="M624" s="229"/>
      <c r="N624" s="200">
        <f>N607</f>
        <v>1.76</v>
      </c>
      <c r="O624" s="188"/>
      <c r="P624" s="229">
        <v>-189</v>
      </c>
      <c r="Q624" s="229"/>
      <c r="R624" s="200" t="str">
        <f>R607</f>
        <v xml:space="preserve"> </v>
      </c>
      <c r="S624" s="188"/>
      <c r="T624" s="229">
        <v>0</v>
      </c>
      <c r="U624" s="229"/>
      <c r="V624" s="200" t="str">
        <f>V607</f>
        <v xml:space="preserve"> </v>
      </c>
      <c r="W624" s="188"/>
      <c r="X624" s="131">
        <v>0</v>
      </c>
      <c r="AM624" s="53"/>
      <c r="AN624" s="53"/>
      <c r="AO624" s="53"/>
      <c r="AP624" s="53"/>
      <c r="AQ624" s="53"/>
      <c r="AR624" s="53"/>
      <c r="AS624" s="53"/>
    </row>
    <row r="625" spans="1:47">
      <c r="A625" s="231" t="s">
        <v>180</v>
      </c>
      <c r="B625" s="169"/>
      <c r="C625" s="227">
        <f t="shared" si="172"/>
        <v>57957</v>
      </c>
      <c r="D625" s="200">
        <v>1.39</v>
      </c>
      <c r="E625" s="292" t="s">
        <v>0</v>
      </c>
      <c r="F625" s="229">
        <f t="shared" si="173"/>
        <v>-806</v>
      </c>
      <c r="G625" s="200">
        <v>1.39</v>
      </c>
      <c r="H625" s="188"/>
      <c r="I625" s="229">
        <f t="shared" si="174"/>
        <v>-806</v>
      </c>
      <c r="J625" s="200">
        <f>J608</f>
        <v>1.44</v>
      </c>
      <c r="K625" s="188"/>
      <c r="L625" s="229">
        <f t="shared" si="175"/>
        <v>-835</v>
      </c>
      <c r="M625" s="229"/>
      <c r="N625" s="200">
        <f>N608</f>
        <v>1.44</v>
      </c>
      <c r="O625" s="188"/>
      <c r="P625" s="229">
        <v>-835</v>
      </c>
      <c r="Q625" s="229"/>
      <c r="R625" s="200" t="str">
        <f>R608</f>
        <v xml:space="preserve"> </v>
      </c>
      <c r="S625" s="188"/>
      <c r="T625" s="229">
        <v>0</v>
      </c>
      <c r="U625" s="229"/>
      <c r="V625" s="200" t="str">
        <f>V608</f>
        <v xml:space="preserve"> </v>
      </c>
      <c r="W625" s="188"/>
      <c r="X625" s="131">
        <v>0</v>
      </c>
      <c r="Z625" s="196" t="s">
        <v>0</v>
      </c>
      <c r="AM625" s="53"/>
      <c r="AN625" s="53"/>
      <c r="AO625" s="53"/>
      <c r="AP625" s="53"/>
      <c r="AQ625" s="53"/>
      <c r="AR625" s="53"/>
      <c r="AS625" s="53"/>
    </row>
    <row r="626" spans="1:47">
      <c r="A626" s="154" t="s">
        <v>182</v>
      </c>
      <c r="B626" s="169"/>
      <c r="C626" s="227">
        <f t="shared" si="172"/>
        <v>44958</v>
      </c>
      <c r="D626" s="200">
        <v>4.4400000000000004</v>
      </c>
      <c r="E626" s="292" t="s">
        <v>0</v>
      </c>
      <c r="F626" s="229">
        <f t="shared" si="173"/>
        <v>-1996</v>
      </c>
      <c r="G626" s="200">
        <v>4.72</v>
      </c>
      <c r="H626" s="188"/>
      <c r="I626" s="229">
        <f t="shared" si="174"/>
        <v>-2122</v>
      </c>
      <c r="J626" s="200">
        <f>J610</f>
        <v>5.37</v>
      </c>
      <c r="K626" s="188"/>
      <c r="L626" s="229">
        <f t="shared" si="175"/>
        <v>-2415</v>
      </c>
      <c r="M626" s="229"/>
      <c r="N626" s="200">
        <f>N610</f>
        <v>0.84</v>
      </c>
      <c r="O626" s="188"/>
      <c r="P626" s="229">
        <v>-377.6472</v>
      </c>
      <c r="Q626" s="229"/>
      <c r="R626" s="200">
        <f>R610</f>
        <v>0.9</v>
      </c>
      <c r="S626" s="188"/>
      <c r="T626" s="229">
        <v>-404.62200000000007</v>
      </c>
      <c r="U626" s="229"/>
      <c r="V626" s="200">
        <f>V610</f>
        <v>3.63</v>
      </c>
      <c r="W626" s="188"/>
      <c r="X626" s="131">
        <v>-1631.9754</v>
      </c>
      <c r="AM626" s="53"/>
      <c r="AN626" s="53"/>
      <c r="AO626" s="53"/>
      <c r="AP626" s="53"/>
      <c r="AQ626" s="53"/>
      <c r="AR626" s="53"/>
      <c r="AS626" s="53"/>
    </row>
    <row r="627" spans="1:47">
      <c r="A627" s="154" t="s">
        <v>198</v>
      </c>
      <c r="B627" s="169"/>
      <c r="C627" s="227">
        <f t="shared" si="172"/>
        <v>384.33333333333331</v>
      </c>
      <c r="D627" s="200">
        <v>4.4400000000000004</v>
      </c>
      <c r="E627" s="292" t="s">
        <v>0</v>
      </c>
      <c r="F627" s="229">
        <f t="shared" si="173"/>
        <v>-17</v>
      </c>
      <c r="G627" s="200">
        <v>4.72</v>
      </c>
      <c r="H627" s="188"/>
      <c r="I627" s="229">
        <f t="shared" si="174"/>
        <v>-18</v>
      </c>
      <c r="J627" s="200">
        <f>J611</f>
        <v>5.37</v>
      </c>
      <c r="K627" s="188"/>
      <c r="L627" s="229">
        <f t="shared" si="175"/>
        <v>-21</v>
      </c>
      <c r="M627" s="229"/>
      <c r="N627" s="200">
        <f>N611</f>
        <v>0.84</v>
      </c>
      <c r="O627" s="188"/>
      <c r="P627" s="229">
        <v>-3.2283999999999997</v>
      </c>
      <c r="Q627" s="229"/>
      <c r="R627" s="200">
        <f>R611</f>
        <v>0.9</v>
      </c>
      <c r="S627" s="188"/>
      <c r="T627" s="229">
        <v>-3.4589999999999996</v>
      </c>
      <c r="U627" s="229"/>
      <c r="V627" s="200">
        <f>V611</f>
        <v>3.63</v>
      </c>
      <c r="W627" s="188"/>
      <c r="X627" s="131">
        <v>-13.9513</v>
      </c>
      <c r="AM627" s="53"/>
      <c r="AN627" s="53"/>
      <c r="AO627" s="53"/>
      <c r="AP627" s="53"/>
      <c r="AQ627" s="53"/>
      <c r="AR627" s="53"/>
      <c r="AS627" s="53"/>
    </row>
    <row r="628" spans="1:47">
      <c r="A628" s="231" t="s">
        <v>184</v>
      </c>
      <c r="B628" s="169"/>
      <c r="C628" s="227">
        <f t="shared" si="172"/>
        <v>5159480</v>
      </c>
      <c r="D628" s="287">
        <v>5.2919999999999998</v>
      </c>
      <c r="E628" s="229" t="s">
        <v>107</v>
      </c>
      <c r="F628" s="229">
        <f t="shared" si="173"/>
        <v>-2732</v>
      </c>
      <c r="G628" s="287">
        <v>5.6289999999999996</v>
      </c>
      <c r="H628" s="231" t="s">
        <v>107</v>
      </c>
      <c r="I628" s="229">
        <f t="shared" si="174"/>
        <v>-2904</v>
      </c>
      <c r="J628" s="287">
        <f>J613</f>
        <v>5.6790000000000003</v>
      </c>
      <c r="K628" s="231" t="s">
        <v>107</v>
      </c>
      <c r="L628" s="229">
        <f t="shared" si="175"/>
        <v>-2930</v>
      </c>
      <c r="M628" s="229"/>
      <c r="N628" s="287" t="str">
        <f>N613</f>
        <v xml:space="preserve"> </v>
      </c>
      <c r="O628" s="231" t="s">
        <v>0</v>
      </c>
      <c r="P628" s="229">
        <v>0</v>
      </c>
      <c r="Q628" s="229"/>
      <c r="R628" s="287">
        <f>R613</f>
        <v>1.125</v>
      </c>
      <c r="S628" s="231" t="s">
        <v>107</v>
      </c>
      <c r="T628" s="229">
        <v>-580.44150000000002</v>
      </c>
      <c r="U628" s="229"/>
      <c r="V628" s="287">
        <f>V613</f>
        <v>4.5540000000000003</v>
      </c>
      <c r="W628" s="231" t="s">
        <v>107</v>
      </c>
      <c r="X628" s="131">
        <v>-2349.6271920000004</v>
      </c>
      <c r="AM628" s="53"/>
      <c r="AN628" s="53"/>
      <c r="AO628" s="53"/>
      <c r="AP628" s="53"/>
      <c r="AQ628" s="53"/>
      <c r="AR628" s="53"/>
      <c r="AS628" s="53"/>
    </row>
    <row r="629" spans="1:47">
      <c r="A629" s="231" t="s">
        <v>151</v>
      </c>
      <c r="B629" s="169"/>
      <c r="C629" s="227">
        <f t="shared" si="172"/>
        <v>11810179</v>
      </c>
      <c r="D629" s="287">
        <v>4.8499999999999996</v>
      </c>
      <c r="E629" s="229" t="s">
        <v>107</v>
      </c>
      <c r="F629" s="229">
        <f t="shared" si="173"/>
        <v>-5730</v>
      </c>
      <c r="G629" s="287">
        <v>5.157</v>
      </c>
      <c r="H629" s="231" t="s">
        <v>107</v>
      </c>
      <c r="I629" s="229">
        <f t="shared" si="174"/>
        <v>-6090</v>
      </c>
      <c r="J629" s="287">
        <f>J614</f>
        <v>5.2</v>
      </c>
      <c r="K629" s="231" t="s">
        <v>107</v>
      </c>
      <c r="L629" s="229">
        <f t="shared" si="175"/>
        <v>-6141</v>
      </c>
      <c r="M629" s="229"/>
      <c r="N629" s="287" t="str">
        <f>N614</f>
        <v xml:space="preserve"> </v>
      </c>
      <c r="O629" s="231" t="s">
        <v>0</v>
      </c>
      <c r="P629" s="229">
        <v>0</v>
      </c>
      <c r="Q629" s="229"/>
      <c r="R629" s="287">
        <f>R614</f>
        <v>1.03</v>
      </c>
      <c r="S629" s="231" t="s">
        <v>107</v>
      </c>
      <c r="T629" s="229">
        <v>-1216.4484370000002</v>
      </c>
      <c r="U629" s="229"/>
      <c r="V629" s="287">
        <f>V614</f>
        <v>4.17</v>
      </c>
      <c r="W629" s="231" t="s">
        <v>107</v>
      </c>
      <c r="X629" s="131">
        <v>-4924.8446430000004</v>
      </c>
      <c r="AM629" s="53"/>
      <c r="AN629" s="53"/>
      <c r="AO629" s="53"/>
      <c r="AP629" s="53"/>
      <c r="AQ629" s="53"/>
      <c r="AR629" s="53"/>
      <c r="AS629" s="53"/>
    </row>
    <row r="630" spans="1:47">
      <c r="A630" s="231" t="s">
        <v>152</v>
      </c>
      <c r="B630" s="169"/>
      <c r="C630" s="227">
        <f t="shared" si="172"/>
        <v>8797.9666666666708</v>
      </c>
      <c r="D630" s="289">
        <v>56</v>
      </c>
      <c r="E630" s="229" t="s">
        <v>107</v>
      </c>
      <c r="F630" s="229">
        <f t="shared" si="173"/>
        <v>-50</v>
      </c>
      <c r="G630" s="289">
        <v>56</v>
      </c>
      <c r="H630" s="231" t="s">
        <v>107</v>
      </c>
      <c r="I630" s="229">
        <f t="shared" si="174"/>
        <v>-50</v>
      </c>
      <c r="J630" s="289">
        <f>J615</f>
        <v>56</v>
      </c>
      <c r="K630" s="231" t="s">
        <v>107</v>
      </c>
      <c r="L630" s="229">
        <f t="shared" si="175"/>
        <v>-50</v>
      </c>
      <c r="M630" s="229"/>
      <c r="N630" s="289" t="str">
        <f>N615</f>
        <v xml:space="preserve"> </v>
      </c>
      <c r="O630" s="231" t="s">
        <v>0</v>
      </c>
      <c r="P630" s="229">
        <v>0</v>
      </c>
      <c r="Q630" s="229"/>
      <c r="R630" s="289">
        <f>R615</f>
        <v>11</v>
      </c>
      <c r="S630" s="231" t="s">
        <v>107</v>
      </c>
      <c r="T630" s="229">
        <v>-9</v>
      </c>
      <c r="U630" s="229"/>
      <c r="V630" s="289">
        <f>V615</f>
        <v>45</v>
      </c>
      <c r="W630" s="231" t="s">
        <v>107</v>
      </c>
      <c r="X630" s="131">
        <v>-39</v>
      </c>
      <c r="AM630" s="53"/>
      <c r="AN630" s="53"/>
      <c r="AO630" s="53"/>
      <c r="AP630" s="53"/>
      <c r="AQ630" s="53"/>
      <c r="AR630" s="53"/>
      <c r="AS630" s="53"/>
    </row>
    <row r="631" spans="1:47">
      <c r="A631" s="231" t="s">
        <v>201</v>
      </c>
      <c r="B631" s="169"/>
      <c r="C631" s="227">
        <f t="shared" si="172"/>
        <v>150.6</v>
      </c>
      <c r="D631" s="193">
        <v>60</v>
      </c>
      <c r="E631" s="292" t="s">
        <v>0</v>
      </c>
      <c r="F631" s="229">
        <f t="shared" si="173"/>
        <v>9036</v>
      </c>
      <c r="G631" s="193">
        <v>60</v>
      </c>
      <c r="H631" s="169"/>
      <c r="I631" s="229">
        <f t="shared" si="174"/>
        <v>9036</v>
      </c>
      <c r="J631" s="193">
        <v>60</v>
      </c>
      <c r="K631" s="169"/>
      <c r="L631" s="229">
        <f t="shared" si="175"/>
        <v>9036</v>
      </c>
      <c r="M631" s="229"/>
      <c r="N631" s="193" t="s">
        <v>0</v>
      </c>
      <c r="O631" s="169"/>
      <c r="P631" s="229">
        <v>0</v>
      </c>
      <c r="Q631" s="229"/>
      <c r="R631" s="193">
        <v>11.894336305988995</v>
      </c>
      <c r="S631" s="169"/>
      <c r="T631" s="229">
        <v>1791.2870476819426</v>
      </c>
      <c r="U631" s="229"/>
      <c r="V631" s="193">
        <v>48.105663694011007</v>
      </c>
      <c r="W631" s="169"/>
      <c r="X631" s="131">
        <v>7244.7129523180574</v>
      </c>
      <c r="AM631" s="53"/>
      <c r="AN631" s="53"/>
      <c r="AO631" s="53"/>
      <c r="AP631" s="53"/>
      <c r="AQ631" s="53"/>
      <c r="AR631" s="53"/>
      <c r="AS631" s="53"/>
    </row>
    <row r="632" spans="1:47">
      <c r="A632" s="231" t="s">
        <v>202</v>
      </c>
      <c r="B632" s="169"/>
      <c r="C632" s="227">
        <f t="shared" si="172"/>
        <v>68722</v>
      </c>
      <c r="D632" s="251">
        <v>-30</v>
      </c>
      <c r="E632" s="229" t="s">
        <v>107</v>
      </c>
      <c r="F632" s="229">
        <f t="shared" si="173"/>
        <v>-20617</v>
      </c>
      <c r="G632" s="251">
        <v>-30</v>
      </c>
      <c r="H632" s="229" t="s">
        <v>107</v>
      </c>
      <c r="I632" s="229">
        <f t="shared" si="174"/>
        <v>-20617</v>
      </c>
      <c r="J632" s="251">
        <v>-30</v>
      </c>
      <c r="K632" s="229" t="s">
        <v>107</v>
      </c>
      <c r="L632" s="229">
        <f t="shared" si="175"/>
        <v>-20617</v>
      </c>
      <c r="M632" s="229"/>
      <c r="N632" s="251">
        <v>-30</v>
      </c>
      <c r="O632" s="229" t="s">
        <v>107</v>
      </c>
      <c r="P632" s="229">
        <v>-20617</v>
      </c>
      <c r="Q632" s="229"/>
      <c r="R632" s="251" t="s">
        <v>0</v>
      </c>
      <c r="S632" s="229" t="s">
        <v>0</v>
      </c>
      <c r="T632" s="229">
        <v>0</v>
      </c>
      <c r="U632" s="229"/>
      <c r="V632" s="251">
        <v>0</v>
      </c>
      <c r="W632" s="229" t="s">
        <v>0</v>
      </c>
      <c r="X632" s="131">
        <v>0</v>
      </c>
      <c r="AM632" s="53"/>
      <c r="AN632" s="53"/>
      <c r="AO632" s="53"/>
      <c r="AP632" s="53"/>
      <c r="AQ632" s="53"/>
      <c r="AR632" s="53"/>
      <c r="AS632" s="53"/>
    </row>
    <row r="633" spans="1:47" s="141" customFormat="1" hidden="1">
      <c r="A633" s="140" t="s">
        <v>186</v>
      </c>
      <c r="C633" s="239">
        <f>C628</f>
        <v>5159480</v>
      </c>
      <c r="D633" s="138"/>
      <c r="E633" s="143"/>
      <c r="F633" s="144"/>
      <c r="G633" s="138"/>
      <c r="H633" s="143"/>
      <c r="I633" s="144"/>
      <c r="J633" s="145">
        <f>J616</f>
        <v>0</v>
      </c>
      <c r="K633" s="283" t="s">
        <v>107</v>
      </c>
      <c r="L633" s="229">
        <f t="shared" si="175"/>
        <v>0</v>
      </c>
      <c r="M633" s="229"/>
      <c r="N633" s="145" t="str">
        <f>N616</f>
        <v xml:space="preserve"> </v>
      </c>
      <c r="O633" s="283" t="s">
        <v>0</v>
      </c>
      <c r="P633" s="229">
        <v>0</v>
      </c>
      <c r="Q633" s="229"/>
      <c r="R633" s="145" t="str">
        <f>R616</f>
        <v xml:space="preserve"> </v>
      </c>
      <c r="S633" s="283" t="s">
        <v>0</v>
      </c>
      <c r="T633" s="229">
        <v>0</v>
      </c>
      <c r="U633" s="229"/>
      <c r="V633" s="145">
        <f>V616</f>
        <v>0</v>
      </c>
      <c r="W633" s="283" t="s">
        <v>107</v>
      </c>
      <c r="X633" s="131">
        <v>0</v>
      </c>
      <c r="Y633" s="141" t="s">
        <v>0</v>
      </c>
      <c r="Z633" s="132"/>
      <c r="AC633" s="148"/>
      <c r="AD633" s="148"/>
      <c r="AI633" s="143"/>
      <c r="AJ633" s="143"/>
      <c r="AK633" s="143"/>
      <c r="AL633" s="143"/>
      <c r="AM633" s="143"/>
      <c r="AN633" s="143"/>
      <c r="AO633" s="143"/>
      <c r="AP633" s="143"/>
      <c r="AQ633" s="143"/>
      <c r="AR633" s="143"/>
      <c r="AS633" s="143"/>
      <c r="AU633" s="147"/>
    </row>
    <row r="634" spans="1:47" s="141" customFormat="1" hidden="1">
      <c r="A634" s="140" t="s">
        <v>187</v>
      </c>
      <c r="C634" s="239">
        <f>C629</f>
        <v>11810179</v>
      </c>
      <c r="D634" s="138"/>
      <c r="E634" s="143"/>
      <c r="F634" s="144"/>
      <c r="G634" s="138"/>
      <c r="H634" s="143"/>
      <c r="I634" s="144"/>
      <c r="J634" s="145">
        <f>J617</f>
        <v>0</v>
      </c>
      <c r="K634" s="283" t="s">
        <v>107</v>
      </c>
      <c r="L634" s="229">
        <f t="shared" si="175"/>
        <v>0</v>
      </c>
      <c r="M634" s="229"/>
      <c r="N634" s="145" t="str">
        <f>N617</f>
        <v xml:space="preserve"> </v>
      </c>
      <c r="O634" s="283" t="s">
        <v>0</v>
      </c>
      <c r="P634" s="229">
        <v>0</v>
      </c>
      <c r="Q634" s="229"/>
      <c r="R634" s="145" t="str">
        <f>R617</f>
        <v xml:space="preserve"> </v>
      </c>
      <c r="S634" s="283" t="s">
        <v>0</v>
      </c>
      <c r="T634" s="229">
        <v>0</v>
      </c>
      <c r="U634" s="229"/>
      <c r="V634" s="145">
        <f>V617</f>
        <v>0</v>
      </c>
      <c r="W634" s="283" t="s">
        <v>107</v>
      </c>
      <c r="X634" s="131">
        <v>0</v>
      </c>
      <c r="Y634" s="141" t="s">
        <v>0</v>
      </c>
      <c r="Z634" s="132"/>
      <c r="AC634" s="148"/>
      <c r="AD634" s="148"/>
      <c r="AI634" s="143"/>
      <c r="AJ634" s="143"/>
      <c r="AK634" s="143"/>
      <c r="AL634" s="143"/>
      <c r="AM634" s="143"/>
      <c r="AN634" s="143"/>
      <c r="AO634" s="143"/>
      <c r="AP634" s="143"/>
      <c r="AQ634" s="143"/>
      <c r="AR634" s="143"/>
      <c r="AS634" s="143"/>
      <c r="AU634" s="147"/>
    </row>
    <row r="635" spans="1:47">
      <c r="A635" s="169" t="s">
        <v>133</v>
      </c>
      <c r="B635" s="304"/>
      <c r="C635" s="227">
        <f>C675+C713</f>
        <v>899742772.17576289</v>
      </c>
      <c r="D635" s="232"/>
      <c r="E635" s="131"/>
      <c r="F635" s="131">
        <f t="shared" ref="F635" si="176">F675+F713</f>
        <v>63536032</v>
      </c>
      <c r="G635" s="232"/>
      <c r="H635" s="169"/>
      <c r="I635" s="131">
        <f>I675+I713</f>
        <v>67121824</v>
      </c>
      <c r="J635" s="131"/>
      <c r="K635" s="169"/>
      <c r="L635" s="131">
        <f t="shared" si="175"/>
        <v>69354718</v>
      </c>
      <c r="M635" s="131"/>
      <c r="N635" s="131"/>
      <c r="O635" s="169"/>
      <c r="P635" s="131">
        <f>SUM(P603:P634)</f>
        <v>8983957.1674374416</v>
      </c>
      <c r="Q635" s="131"/>
      <c r="R635" s="131"/>
      <c r="S635" s="169"/>
      <c r="T635" s="131">
        <f>SUM(T603:T634)</f>
        <v>11967835.53984879</v>
      </c>
      <c r="U635" s="131"/>
      <c r="V635" s="131"/>
      <c r="W635" s="169"/>
      <c r="X635" s="131">
        <f>SUM(X603:X634)</f>
        <v>48402925.292713791</v>
      </c>
      <c r="AA635" s="305"/>
      <c r="AB635" s="305"/>
      <c r="AM635" s="53"/>
      <c r="AN635" s="53"/>
      <c r="AO635" s="53"/>
      <c r="AP635" s="53"/>
      <c r="AQ635" s="53"/>
      <c r="AR635" s="53"/>
      <c r="AS635" s="53"/>
    </row>
    <row r="636" spans="1:47">
      <c r="A636" s="169" t="s">
        <v>111</v>
      </c>
      <c r="B636" s="224"/>
      <c r="C636" s="253">
        <f>C676+C714</f>
        <v>-3969620.9678243943</v>
      </c>
      <c r="D636" s="154"/>
      <c r="E636" s="154"/>
      <c r="F636" s="152">
        <f>I636</f>
        <v>-311647.89596808294</v>
      </c>
      <c r="G636" s="154"/>
      <c r="H636" s="154"/>
      <c r="I636" s="152">
        <f>I676+I714</f>
        <v>-311647.89596808294</v>
      </c>
      <c r="J636" s="154"/>
      <c r="K636" s="154"/>
      <c r="L636" s="152">
        <f>I636</f>
        <v>-311647.89596808294</v>
      </c>
      <c r="M636" s="153"/>
      <c r="N636" s="154"/>
      <c r="O636" s="154"/>
      <c r="P636" s="152">
        <f>$L$636*Y640/($Y$640+$Z$640+$AA$640)</f>
        <v>-40369.731568936026</v>
      </c>
      <c r="Q636" s="153"/>
      <c r="R636" s="154"/>
      <c r="S636" s="154"/>
      <c r="T636" s="152">
        <f>$L$636*Z640/($Y$640+$Z$640+$AA$640)</f>
        <v>-53777.89533058041</v>
      </c>
      <c r="U636" s="153"/>
      <c r="V636" s="154"/>
      <c r="W636" s="154"/>
      <c r="X636" s="152">
        <f>$L$636*AA640/($Y$640+$Z$640+$AA$640)</f>
        <v>-217500.26906856653</v>
      </c>
      <c r="Y636" s="306"/>
      <c r="Z636" s="307"/>
      <c r="AM636" s="53"/>
      <c r="AN636" s="53"/>
      <c r="AO636" s="53"/>
      <c r="AP636" s="53"/>
      <c r="AQ636" s="53"/>
      <c r="AR636" s="53"/>
      <c r="AS636" s="53"/>
    </row>
    <row r="637" spans="1:47" ht="16.5" thickBot="1">
      <c r="A637" s="169" t="s">
        <v>134</v>
      </c>
      <c r="B637" s="169"/>
      <c r="C637" s="293">
        <f>SUM(C635)+C636</f>
        <v>895773151.20793855</v>
      </c>
      <c r="D637" s="272"/>
      <c r="E637" s="256"/>
      <c r="F637" s="257">
        <f>F635+F636</f>
        <v>63224384.10403192</v>
      </c>
      <c r="G637" s="272"/>
      <c r="H637" s="258"/>
      <c r="I637" s="257">
        <f>I635+I636</f>
        <v>66810176.10403192</v>
      </c>
      <c r="J637" s="272"/>
      <c r="K637" s="258"/>
      <c r="L637" s="257">
        <f>L635+L636</f>
        <v>69043070.10403192</v>
      </c>
      <c r="M637" s="257"/>
      <c r="N637" s="272"/>
      <c r="O637" s="258"/>
      <c r="P637" s="257">
        <f>P635+P636</f>
        <v>8943587.4358685054</v>
      </c>
      <c r="Q637" s="257"/>
      <c r="R637" s="272"/>
      <c r="S637" s="258"/>
      <c r="T637" s="257">
        <f>T635+T636</f>
        <v>11914057.64451821</v>
      </c>
      <c r="U637" s="257"/>
      <c r="V637" s="272"/>
      <c r="W637" s="258"/>
      <c r="X637" s="257">
        <f>X635+X636</f>
        <v>48185425.023645222</v>
      </c>
      <c r="Y637" s="159" t="s">
        <v>165</v>
      </c>
      <c r="Z637" s="215">
        <v>69042959.499805093</v>
      </c>
      <c r="AA637" s="161">
        <v>-5.7580189935490793E-2</v>
      </c>
      <c r="AB637" s="162"/>
      <c r="AC637" s="63" t="s">
        <v>0</v>
      </c>
      <c r="AM637" s="53"/>
      <c r="AN637" s="53"/>
      <c r="AO637" s="53"/>
      <c r="AP637" s="53"/>
      <c r="AQ637" s="53"/>
      <c r="AR637" s="53"/>
      <c r="AS637" s="53"/>
    </row>
    <row r="638" spans="1:47" ht="16.5" thickTop="1">
      <c r="A638" s="169"/>
      <c r="B638" s="169"/>
      <c r="C638" s="308"/>
      <c r="D638" s="276"/>
      <c r="E638" s="263"/>
      <c r="F638" s="230"/>
      <c r="G638" s="276"/>
      <c r="H638" s="264"/>
      <c r="I638" s="230"/>
      <c r="J638" s="276"/>
      <c r="K638" s="264"/>
      <c r="L638" s="230"/>
      <c r="M638" s="230"/>
      <c r="N638" s="276"/>
      <c r="O638" s="264"/>
      <c r="P638" s="230"/>
      <c r="Q638" s="230"/>
      <c r="R638" s="276"/>
      <c r="S638" s="264"/>
      <c r="T638" s="230"/>
      <c r="U638" s="230"/>
      <c r="V638" s="276"/>
      <c r="W638" s="264"/>
      <c r="X638" s="309" t="s">
        <v>0</v>
      </c>
      <c r="Y638" s="170" t="s">
        <v>115</v>
      </c>
      <c r="Z638" s="171">
        <f>Z637-L637</f>
        <v>-110.60422682762146</v>
      </c>
      <c r="AA638" s="310" t="s">
        <v>0</v>
      </c>
      <c r="AB638" s="162"/>
      <c r="AC638" s="63"/>
      <c r="AM638" s="53"/>
      <c r="AN638" s="53"/>
      <c r="AO638" s="53"/>
      <c r="AP638" s="53"/>
      <c r="AQ638" s="53"/>
      <c r="AR638" s="53"/>
      <c r="AS638" s="53"/>
    </row>
    <row r="639" spans="1:47" hidden="1">
      <c r="A639" s="169"/>
      <c r="B639" s="169"/>
      <c r="C639" s="308"/>
      <c r="D639" s="276"/>
      <c r="E639" s="263"/>
      <c r="F639" s="230"/>
      <c r="G639" s="276"/>
      <c r="H639" s="264"/>
      <c r="I639" s="230"/>
      <c r="J639" s="276"/>
      <c r="K639" s="264"/>
      <c r="L639" s="230"/>
      <c r="M639" s="230"/>
      <c r="N639" s="276"/>
      <c r="O639" s="264"/>
      <c r="P639" s="230"/>
      <c r="Q639" s="230"/>
      <c r="R639" s="276"/>
      <c r="S639" s="264"/>
      <c r="T639" s="230"/>
      <c r="U639" s="230"/>
      <c r="V639" s="276"/>
      <c r="W639" s="264"/>
      <c r="X639" s="309" t="s">
        <v>0</v>
      </c>
      <c r="Y639" s="216">
        <v>0.12953635205376279</v>
      </c>
      <c r="Z639" s="267">
        <v>0.17255978951350925</v>
      </c>
      <c r="AA639" s="173">
        <v>0.69790385843272817</v>
      </c>
      <c r="AB639" s="162"/>
      <c r="AC639" s="63"/>
      <c r="AM639" s="53"/>
      <c r="AN639" s="53"/>
      <c r="AO639" s="53"/>
      <c r="AP639" s="53"/>
      <c r="AQ639" s="53"/>
      <c r="AR639" s="53"/>
      <c r="AS639" s="53"/>
    </row>
    <row r="640" spans="1:47" hidden="1">
      <c r="A640" s="169"/>
      <c r="B640" s="169"/>
      <c r="C640" s="189"/>
      <c r="D640" s="250" t="s">
        <v>0</v>
      </c>
      <c r="E640" s="131"/>
      <c r="F640" s="131"/>
      <c r="G640" s="250" t="s">
        <v>0</v>
      </c>
      <c r="H640" s="169"/>
      <c r="I640" s="131" t="s">
        <v>0</v>
      </c>
      <c r="J640" s="277" t="s">
        <v>0</v>
      </c>
      <c r="K640" s="169"/>
      <c r="L640" s="131" t="s">
        <v>0</v>
      </c>
      <c r="M640" s="131"/>
      <c r="N640" s="277" t="s">
        <v>0</v>
      </c>
      <c r="O640" s="169"/>
      <c r="P640" s="131" t="s">
        <v>0</v>
      </c>
      <c r="Q640" s="131"/>
      <c r="R640" s="277" t="s">
        <v>0</v>
      </c>
      <c r="S640" s="169"/>
      <c r="T640" s="131" t="s">
        <v>0</v>
      </c>
      <c r="U640" s="131"/>
      <c r="V640" s="277" t="s">
        <v>0</v>
      </c>
      <c r="W640" s="169"/>
      <c r="X640" s="131" t="s">
        <v>0</v>
      </c>
      <c r="Y640" s="147">
        <f>Y639*$L$637</f>
        <v>8943587.4358685035</v>
      </c>
      <c r="Z640" s="147">
        <f t="shared" ref="Z640:AA640" si="177">Z639*$L$637</f>
        <v>11914057.644518211</v>
      </c>
      <c r="AA640" s="147">
        <f t="shared" si="177"/>
        <v>48185425.023645222</v>
      </c>
      <c r="AB640" s="268" t="s">
        <v>165</v>
      </c>
      <c r="AM640" s="53"/>
      <c r="AN640" s="53"/>
      <c r="AO640" s="53"/>
      <c r="AP640" s="53"/>
      <c r="AQ640" s="53"/>
      <c r="AR640" s="53"/>
      <c r="AS640" s="53"/>
    </row>
    <row r="641" spans="1:45" hidden="1">
      <c r="A641" s="188" t="s">
        <v>196</v>
      </c>
      <c r="B641" s="169"/>
      <c r="C641" s="169"/>
      <c r="D641" s="131"/>
      <c r="E641" s="131"/>
      <c r="F641" s="169" t="s">
        <v>0</v>
      </c>
      <c r="G641" s="131"/>
      <c r="H641" s="169"/>
      <c r="I641" s="169"/>
      <c r="J641" s="131"/>
      <c r="K641" s="169"/>
      <c r="L641" s="169"/>
      <c r="M641" s="169"/>
      <c r="N641" s="131"/>
      <c r="O641" s="169"/>
      <c r="P641" s="169"/>
      <c r="Q641" s="169"/>
      <c r="R641" s="131"/>
      <c r="S641" s="169"/>
      <c r="T641" s="169"/>
      <c r="U641" s="169"/>
      <c r="V641" s="131"/>
      <c r="W641" s="169"/>
      <c r="X641" s="169"/>
      <c r="AM641" s="53"/>
      <c r="AN641" s="53"/>
      <c r="AO641" s="53"/>
      <c r="AP641" s="53"/>
      <c r="AQ641" s="53"/>
      <c r="AR641" s="53"/>
      <c r="AS641" s="53"/>
    </row>
    <row r="642" spans="1:45" hidden="1">
      <c r="A642" s="154" t="s">
        <v>203</v>
      </c>
      <c r="B642" s="169"/>
      <c r="C642" s="169"/>
      <c r="D642" s="131"/>
      <c r="E642" s="131"/>
      <c r="F642" s="169"/>
      <c r="G642" s="131"/>
      <c r="H642" s="169"/>
      <c r="I642" s="169"/>
      <c r="J642" s="131"/>
      <c r="K642" s="169"/>
      <c r="L642" s="169"/>
      <c r="M642" s="169"/>
      <c r="N642" s="131"/>
      <c r="O642" s="169"/>
      <c r="P642" s="169"/>
      <c r="Q642" s="169"/>
      <c r="R642" s="131"/>
      <c r="S642" s="169"/>
      <c r="T642" s="169"/>
      <c r="U642" s="169"/>
      <c r="V642" s="131"/>
      <c r="W642" s="169"/>
      <c r="X642" s="169"/>
      <c r="Z642" s="174" t="s">
        <v>0</v>
      </c>
      <c r="AM642" s="53"/>
      <c r="AN642" s="53"/>
      <c r="AO642" s="53"/>
      <c r="AP642" s="53"/>
      <c r="AQ642" s="53"/>
      <c r="AR642" s="53"/>
      <c r="AS642" s="53"/>
    </row>
    <row r="643" spans="1:45" hidden="1">
      <c r="A643" s="231"/>
      <c r="B643" s="169"/>
      <c r="C643" s="169"/>
      <c r="D643" s="131"/>
      <c r="E643" s="131"/>
      <c r="F643" s="169"/>
      <c r="G643" s="131"/>
      <c r="H643" s="169"/>
      <c r="I643" s="169"/>
      <c r="J643" s="131"/>
      <c r="K643" s="169"/>
      <c r="L643" s="169"/>
      <c r="M643" s="169"/>
      <c r="N643" s="131"/>
      <c r="O643" s="169"/>
      <c r="P643" s="169"/>
      <c r="Q643" s="169"/>
      <c r="R643" s="131"/>
      <c r="S643" s="169"/>
      <c r="T643" s="169"/>
      <c r="U643" s="169"/>
      <c r="V643" s="131"/>
      <c r="W643" s="169"/>
      <c r="X643" s="169"/>
      <c r="Y643" s="53"/>
      <c r="Z643" s="110"/>
      <c r="AA643" s="110"/>
      <c r="AB643" s="110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</row>
    <row r="644" spans="1:45" hidden="1">
      <c r="A644" s="231" t="s">
        <v>146</v>
      </c>
      <c r="B644" s="169"/>
      <c r="C644" s="227"/>
      <c r="D644" s="131"/>
      <c r="E644" s="131"/>
      <c r="F644" s="169"/>
      <c r="G644" s="131"/>
      <c r="H644" s="169"/>
      <c r="I644" s="169"/>
      <c r="J644" s="131"/>
      <c r="K644" s="169"/>
      <c r="L644" s="169"/>
      <c r="M644" s="169"/>
      <c r="N644" s="131"/>
      <c r="O644" s="169"/>
      <c r="P644" s="169"/>
      <c r="Q644" s="169"/>
      <c r="R644" s="131"/>
      <c r="S644" s="169"/>
      <c r="T644" s="169"/>
      <c r="U644" s="169"/>
      <c r="V644" s="131"/>
      <c r="W644" s="169"/>
      <c r="X644" s="169"/>
      <c r="Y644" s="53"/>
      <c r="Z644" s="110"/>
      <c r="AA644" s="110"/>
      <c r="AB644" s="110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</row>
    <row r="645" spans="1:45" hidden="1">
      <c r="A645" s="231" t="s">
        <v>178</v>
      </c>
      <c r="B645" s="169"/>
      <c r="C645" s="227">
        <v>268.23333333333369</v>
      </c>
      <c r="D645" s="193">
        <v>259</v>
      </c>
      <c r="E645" s="231"/>
      <c r="F645" s="229">
        <f>ROUND(D645*$C645,0)</f>
        <v>69472</v>
      </c>
      <c r="G645" s="193">
        <v>259</v>
      </c>
      <c r="H645" s="231"/>
      <c r="I645" s="229">
        <f>ROUND(G645*C645,0)</f>
        <v>69472</v>
      </c>
      <c r="J645" s="193">
        <f>$J$603</f>
        <v>259</v>
      </c>
      <c r="K645" s="231"/>
      <c r="L645" s="229">
        <f>ROUND(J645*$C645,0)</f>
        <v>69472</v>
      </c>
      <c r="M645" s="229"/>
      <c r="N645" s="193">
        <f>$N$603</f>
        <v>259</v>
      </c>
      <c r="O645" s="231"/>
      <c r="P645" s="229">
        <f>ROUND(N645*$C645,0)</f>
        <v>69472</v>
      </c>
      <c r="Q645" s="229"/>
      <c r="R645" s="193" t="str">
        <f>$R$603</f>
        <v xml:space="preserve"> </v>
      </c>
      <c r="S645" s="231"/>
      <c r="T645" s="229">
        <f>ROUND(R645*$C645,0)</f>
        <v>0</v>
      </c>
      <c r="U645" s="229"/>
      <c r="V645" s="193" t="str">
        <f>$V$603</f>
        <v xml:space="preserve"> </v>
      </c>
      <c r="W645" s="231"/>
      <c r="X645" s="229">
        <f>ROUND(V645*$C645,0)</f>
        <v>0</v>
      </c>
      <c r="AA645" s="110"/>
      <c r="AB645" s="110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</row>
    <row r="646" spans="1:45" hidden="1">
      <c r="A646" s="231" t="s">
        <v>179</v>
      </c>
      <c r="B646" s="169"/>
      <c r="C646" s="227">
        <v>7728.2333333333399</v>
      </c>
      <c r="D646" s="193">
        <v>96</v>
      </c>
      <c r="E646" s="231"/>
      <c r="F646" s="229">
        <f>ROUND(D646*$C646,0)</f>
        <v>741910</v>
      </c>
      <c r="G646" s="193">
        <v>96</v>
      </c>
      <c r="H646" s="231"/>
      <c r="I646" s="229">
        <f>ROUND(G646*C646,0)</f>
        <v>741910</v>
      </c>
      <c r="J646" s="193">
        <f>$J$604</f>
        <v>96</v>
      </c>
      <c r="K646" s="231"/>
      <c r="L646" s="229">
        <f>ROUND(J646*$C646,0)</f>
        <v>741910</v>
      </c>
      <c r="M646" s="229"/>
      <c r="N646" s="193">
        <f>$N$604</f>
        <v>96</v>
      </c>
      <c r="O646" s="231"/>
      <c r="P646" s="229">
        <f>ROUND(N646*$C646,0)</f>
        <v>741910</v>
      </c>
      <c r="Q646" s="229"/>
      <c r="R646" s="193" t="str">
        <f>$R$604</f>
        <v xml:space="preserve"> </v>
      </c>
      <c r="S646" s="231"/>
      <c r="T646" s="229">
        <f>ROUND(R646*$C646,0)</f>
        <v>0</v>
      </c>
      <c r="U646" s="229"/>
      <c r="V646" s="193" t="str">
        <f>$V$604</f>
        <v xml:space="preserve"> </v>
      </c>
      <c r="W646" s="231"/>
      <c r="X646" s="229">
        <f>ROUND(V646*$C646,0)</f>
        <v>0</v>
      </c>
      <c r="AA646" s="110"/>
      <c r="AB646" s="110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</row>
    <row r="647" spans="1:45" hidden="1">
      <c r="A647" s="231" t="s">
        <v>180</v>
      </c>
      <c r="B647" s="169"/>
      <c r="C647" s="227">
        <v>3062.6</v>
      </c>
      <c r="D647" s="193">
        <v>192</v>
      </c>
      <c r="E647" s="233"/>
      <c r="F647" s="229">
        <f>ROUND(D647*$C647,0)</f>
        <v>588019</v>
      </c>
      <c r="G647" s="193">
        <v>192</v>
      </c>
      <c r="H647" s="233"/>
      <c r="I647" s="229">
        <f>ROUND(G647*C647,0)</f>
        <v>588019</v>
      </c>
      <c r="J647" s="193">
        <f>$J$605</f>
        <v>192</v>
      </c>
      <c r="K647" s="233"/>
      <c r="L647" s="229">
        <f>ROUND(J647*$C647,0)</f>
        <v>588019</v>
      </c>
      <c r="M647" s="229"/>
      <c r="N647" s="193">
        <f>$N$605</f>
        <v>192</v>
      </c>
      <c r="O647" s="233"/>
      <c r="P647" s="229">
        <f>ROUND(N647*$C647,0)</f>
        <v>588019</v>
      </c>
      <c r="Q647" s="229"/>
      <c r="R647" s="193" t="str">
        <f>$R$605</f>
        <v xml:space="preserve"> </v>
      </c>
      <c r="S647" s="233"/>
      <c r="T647" s="229">
        <f>ROUND(R647*$C647,0)</f>
        <v>0</v>
      </c>
      <c r="U647" s="229"/>
      <c r="V647" s="193" t="str">
        <f>$V$605</f>
        <v xml:space="preserve"> </v>
      </c>
      <c r="W647" s="233"/>
      <c r="X647" s="229">
        <f>ROUND(V647*$C647,0)</f>
        <v>0</v>
      </c>
      <c r="AA647" s="110"/>
      <c r="AB647" s="110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</row>
    <row r="648" spans="1:45" hidden="1">
      <c r="A648" s="231" t="s">
        <v>147</v>
      </c>
      <c r="B648" s="169"/>
      <c r="C648" s="227">
        <f>SUM(C645:C647)</f>
        <v>11059.066666666673</v>
      </c>
      <c r="D648" s="193"/>
      <c r="E648" s="231"/>
      <c r="F648" s="229"/>
      <c r="G648" s="193"/>
      <c r="H648" s="231"/>
      <c r="I648" s="229"/>
      <c r="J648" s="193"/>
      <c r="K648" s="231"/>
      <c r="L648" s="229"/>
      <c r="M648" s="229"/>
      <c r="N648" s="193"/>
      <c r="O648" s="231"/>
      <c r="P648" s="229"/>
      <c r="Q648" s="229"/>
      <c r="R648" s="193"/>
      <c r="S648" s="231"/>
      <c r="T648" s="229"/>
      <c r="U648" s="229"/>
      <c r="V648" s="193"/>
      <c r="W648" s="231"/>
      <c r="X648" s="229"/>
      <c r="AA648" s="110"/>
      <c r="AB648" s="110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</row>
    <row r="649" spans="1:45" hidden="1">
      <c r="A649" s="231" t="s">
        <v>179</v>
      </c>
      <c r="B649" s="169"/>
      <c r="C649" s="227">
        <v>1332188</v>
      </c>
      <c r="D649" s="193">
        <v>1.7</v>
      </c>
      <c r="E649" s="231" t="s">
        <v>0</v>
      </c>
      <c r="F649" s="229">
        <f>ROUND(D649*$C649,0)</f>
        <v>2264720</v>
      </c>
      <c r="G649" s="193">
        <v>1.7</v>
      </c>
      <c r="H649" s="231" t="s">
        <v>0</v>
      </c>
      <c r="I649" s="229">
        <f t="shared" ref="I649:I650" si="178">ROUND(G649*C649,0)</f>
        <v>2264720</v>
      </c>
      <c r="J649" s="193">
        <f>$J$607</f>
        <v>1.76</v>
      </c>
      <c r="K649" s="231" t="s">
        <v>0</v>
      </c>
      <c r="L649" s="229">
        <f>ROUND(J649*$C649,0)</f>
        <v>2344651</v>
      </c>
      <c r="M649" s="229"/>
      <c r="N649" s="193">
        <f>$N$607</f>
        <v>1.76</v>
      </c>
      <c r="O649" s="231" t="s">
        <v>0</v>
      </c>
      <c r="P649" s="229">
        <f>ROUND(N649*$C649,0)</f>
        <v>2344651</v>
      </c>
      <c r="Q649" s="229"/>
      <c r="R649" s="193" t="str">
        <f>$R$607</f>
        <v xml:space="preserve"> </v>
      </c>
      <c r="S649" s="231" t="s">
        <v>0</v>
      </c>
      <c r="T649" s="229">
        <f>ROUND(R649*$C649,0)</f>
        <v>0</v>
      </c>
      <c r="U649" s="229"/>
      <c r="V649" s="193" t="str">
        <f>$V$607</f>
        <v xml:space="preserve"> </v>
      </c>
      <c r="W649" s="231" t="s">
        <v>0</v>
      </c>
      <c r="X649" s="229">
        <f>ROUND(V649*$C649,0)</f>
        <v>0</v>
      </c>
      <c r="AA649" s="110"/>
      <c r="AB649" s="110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</row>
    <row r="650" spans="1:45" hidden="1">
      <c r="A650" s="231" t="s">
        <v>180</v>
      </c>
      <c r="B650" s="169"/>
      <c r="C650" s="227">
        <v>1526782</v>
      </c>
      <c r="D650" s="193">
        <v>1.39</v>
      </c>
      <c r="E650" s="231" t="s">
        <v>0</v>
      </c>
      <c r="F650" s="229">
        <f>ROUND(D650*$C650,0)</f>
        <v>2122227</v>
      </c>
      <c r="G650" s="193">
        <v>1.39</v>
      </c>
      <c r="H650" s="231" t="s">
        <v>0</v>
      </c>
      <c r="I650" s="229">
        <f t="shared" si="178"/>
        <v>2122227</v>
      </c>
      <c r="J650" s="193">
        <f>$J$608</f>
        <v>1.44</v>
      </c>
      <c r="K650" s="231" t="s">
        <v>0</v>
      </c>
      <c r="L650" s="229">
        <f>ROUND(J650*$C650,0)</f>
        <v>2198566</v>
      </c>
      <c r="M650" s="229"/>
      <c r="N650" s="193">
        <f>$N$608</f>
        <v>1.44</v>
      </c>
      <c r="O650" s="231" t="s">
        <v>0</v>
      </c>
      <c r="P650" s="229">
        <f>ROUND(N650*$C650,0)</f>
        <v>2198566</v>
      </c>
      <c r="Q650" s="229"/>
      <c r="R650" s="193" t="str">
        <f>$R$608</f>
        <v xml:space="preserve"> </v>
      </c>
      <c r="S650" s="231" t="s">
        <v>0</v>
      </c>
      <c r="T650" s="229">
        <f>ROUND(R650*$C650,0)</f>
        <v>0</v>
      </c>
      <c r="U650" s="229"/>
      <c r="V650" s="193" t="str">
        <f>$V$608</f>
        <v xml:space="preserve"> </v>
      </c>
      <c r="W650" s="231" t="s">
        <v>0</v>
      </c>
      <c r="X650" s="229">
        <f>ROUND(V650*$C650,0)</f>
        <v>0</v>
      </c>
      <c r="AA650" s="110"/>
      <c r="AB650" s="110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</row>
    <row r="651" spans="1:45" hidden="1">
      <c r="A651" s="154" t="s">
        <v>181</v>
      </c>
      <c r="B651" s="169"/>
      <c r="C651" s="227"/>
      <c r="D651" s="200"/>
      <c r="E651" s="231"/>
      <c r="F651" s="229"/>
      <c r="G651" s="200"/>
      <c r="H651" s="231"/>
      <c r="I651" s="229"/>
      <c r="J651" s="200"/>
      <c r="K651" s="231"/>
      <c r="L651" s="229"/>
      <c r="M651" s="229"/>
      <c r="N651" s="200"/>
      <c r="O651" s="231"/>
      <c r="P651" s="229"/>
      <c r="Q651" s="229"/>
      <c r="R651" s="200"/>
      <c r="S651" s="231"/>
      <c r="T651" s="229"/>
      <c r="U651" s="229"/>
      <c r="V651" s="200"/>
      <c r="W651" s="231"/>
      <c r="X651" s="229"/>
      <c r="AA651" s="110"/>
      <c r="AB651" s="110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</row>
    <row r="652" spans="1:45" hidden="1">
      <c r="A652" s="154" t="s">
        <v>182</v>
      </c>
      <c r="B652" s="169"/>
      <c r="C652" s="227">
        <v>2162284</v>
      </c>
      <c r="D652" s="193">
        <v>4.4400000000000004</v>
      </c>
      <c r="E652" s="231"/>
      <c r="F652" s="229">
        <f>ROUND(D652*$C652,0)</f>
        <v>9600541</v>
      </c>
      <c r="G652" s="193">
        <v>4.72</v>
      </c>
      <c r="H652" s="231"/>
      <c r="I652" s="229">
        <f t="shared" ref="I652:I653" si="179">ROUND(G652*C652,0)</f>
        <v>10205980</v>
      </c>
      <c r="J652" s="193">
        <f>$J$610</f>
        <v>5.37</v>
      </c>
      <c r="K652" s="231"/>
      <c r="L652" s="229">
        <f>ROUND(J652*$C652,0)</f>
        <v>11611465</v>
      </c>
      <c r="M652" s="229"/>
      <c r="N652" s="193">
        <f>$N$610</f>
        <v>0.84</v>
      </c>
      <c r="O652" s="231"/>
      <c r="P652" s="229">
        <f>ROUND(N652*$C652,0)</f>
        <v>1816319</v>
      </c>
      <c r="Q652" s="229"/>
      <c r="R652" s="193">
        <f>$R$610</f>
        <v>0.9</v>
      </c>
      <c r="S652" s="231"/>
      <c r="T652" s="229">
        <f>ROUND(R652*$C652,0)</f>
        <v>1946056</v>
      </c>
      <c r="U652" s="229"/>
      <c r="V652" s="193">
        <f>$V$610</f>
        <v>3.63</v>
      </c>
      <c r="W652" s="231"/>
      <c r="X652" s="229">
        <f>ROUND(V652*$C652,0)</f>
        <v>7849091</v>
      </c>
      <c r="AA652" s="110"/>
      <c r="AB652" s="110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</row>
    <row r="653" spans="1:45" hidden="1">
      <c r="A653" s="154" t="s">
        <v>198</v>
      </c>
      <c r="B653" s="169"/>
      <c r="C653" s="227">
        <v>1056.3333333333362</v>
      </c>
      <c r="D653" s="296">
        <v>4.4400000000000004</v>
      </c>
      <c r="E653" s="231"/>
      <c r="F653" s="229">
        <f>ROUND(D653*$C653,0)</f>
        <v>4690</v>
      </c>
      <c r="G653" s="296">
        <v>4.72</v>
      </c>
      <c r="H653" s="231"/>
      <c r="I653" s="229">
        <f t="shared" si="179"/>
        <v>4986</v>
      </c>
      <c r="J653" s="296">
        <f>J652</f>
        <v>5.37</v>
      </c>
      <c r="K653" s="231"/>
      <c r="L653" s="229">
        <f>ROUND(J653*$C653,0)</f>
        <v>5673</v>
      </c>
      <c r="M653" s="229"/>
      <c r="N653" s="296">
        <f>N652</f>
        <v>0.84</v>
      </c>
      <c r="O653" s="231"/>
      <c r="P653" s="229">
        <f>ROUND(N653*$C653,0)</f>
        <v>887</v>
      </c>
      <c r="Q653" s="229"/>
      <c r="R653" s="296">
        <f>R652</f>
        <v>0.9</v>
      </c>
      <c r="S653" s="231"/>
      <c r="T653" s="229">
        <f>ROUND(R653*$C653,0)</f>
        <v>951</v>
      </c>
      <c r="U653" s="229"/>
      <c r="V653" s="296">
        <f>V652</f>
        <v>3.63</v>
      </c>
      <c r="W653" s="231"/>
      <c r="X653" s="229">
        <f>ROUND(V653*$C653,0)</f>
        <v>3834</v>
      </c>
      <c r="AA653" s="110"/>
      <c r="AB653" s="110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</row>
    <row r="654" spans="1:45" hidden="1">
      <c r="A654" s="231" t="s">
        <v>183</v>
      </c>
      <c r="B654" s="169"/>
      <c r="C654" s="227"/>
      <c r="D654" s="193"/>
      <c r="E654" s="231"/>
      <c r="F654" s="229"/>
      <c r="G654" s="193"/>
      <c r="H654" s="231"/>
      <c r="I654" s="229"/>
      <c r="J654" s="193"/>
      <c r="K654" s="231"/>
      <c r="L654" s="229"/>
      <c r="M654" s="229"/>
      <c r="N654" s="193"/>
      <c r="O654" s="231"/>
      <c r="P654" s="229"/>
      <c r="Q654" s="229"/>
      <c r="R654" s="193"/>
      <c r="S654" s="231"/>
      <c r="T654" s="229"/>
      <c r="U654" s="229"/>
      <c r="V654" s="193"/>
      <c r="W654" s="231"/>
      <c r="X654" s="229"/>
      <c r="AA654" s="110"/>
      <c r="AB654" s="110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</row>
    <row r="655" spans="1:45" hidden="1">
      <c r="A655" s="231" t="s">
        <v>184</v>
      </c>
      <c r="B655" s="227"/>
      <c r="C655" s="227">
        <v>352966596.14110196</v>
      </c>
      <c r="D655" s="311">
        <v>5.2919999999999998</v>
      </c>
      <c r="E655" s="231" t="s">
        <v>107</v>
      </c>
      <c r="F655" s="229">
        <f>ROUND(D655*$C655/100,0)</f>
        <v>18678992</v>
      </c>
      <c r="G655" s="311">
        <v>5.6289999999999996</v>
      </c>
      <c r="H655" s="231" t="s">
        <v>107</v>
      </c>
      <c r="I655" s="229">
        <f>ROUND(G655*C655/100,0)</f>
        <v>19868490</v>
      </c>
      <c r="J655" s="297">
        <f>$J$613</f>
        <v>5.6790000000000003</v>
      </c>
      <c r="K655" s="231" t="s">
        <v>107</v>
      </c>
      <c r="L655" s="229">
        <f>ROUND(J655*$C655/100,0)</f>
        <v>20044973</v>
      </c>
      <c r="M655" s="229"/>
      <c r="N655" s="297" t="str">
        <f>$N$613</f>
        <v xml:space="preserve"> </v>
      </c>
      <c r="O655" s="231" t="s">
        <v>107</v>
      </c>
      <c r="P655" s="229">
        <f>ROUND(N655*$C655/100,0)</f>
        <v>0</v>
      </c>
      <c r="Q655" s="229"/>
      <c r="R655" s="297">
        <f>$R$613</f>
        <v>1.125</v>
      </c>
      <c r="S655" s="231" t="s">
        <v>107</v>
      </c>
      <c r="T655" s="229">
        <f>ROUND(R655*$C655/100,0)</f>
        <v>3970874</v>
      </c>
      <c r="U655" s="229"/>
      <c r="V655" s="297">
        <f>$V$613</f>
        <v>4.5540000000000003</v>
      </c>
      <c r="W655" s="231" t="s">
        <v>107</v>
      </c>
      <c r="X655" s="229">
        <f>ROUND(V655*$C655/100,0)</f>
        <v>16074099</v>
      </c>
      <c r="AA655" s="110"/>
      <c r="AB655" s="110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</row>
    <row r="656" spans="1:45" hidden="1">
      <c r="A656" s="231" t="s">
        <v>151</v>
      </c>
      <c r="B656" s="227"/>
      <c r="C656" s="227">
        <v>441168417.03466094</v>
      </c>
      <c r="D656" s="311">
        <v>4.8499999999999996</v>
      </c>
      <c r="E656" s="231" t="s">
        <v>107</v>
      </c>
      <c r="F656" s="229">
        <f>ROUND(D656*$C656/100,0)</f>
        <v>21396668</v>
      </c>
      <c r="G656" s="311">
        <v>5.157</v>
      </c>
      <c r="H656" s="231" t="s">
        <v>107</v>
      </c>
      <c r="I656" s="229">
        <f t="shared" ref="I656:I657" si="180">ROUND(G656*C656/100,0)</f>
        <v>22751055</v>
      </c>
      <c r="J656" s="297">
        <f>$J$614</f>
        <v>5.2</v>
      </c>
      <c r="K656" s="231" t="s">
        <v>107</v>
      </c>
      <c r="L656" s="229">
        <f>ROUND(J656*$C656/100,0)</f>
        <v>22940758</v>
      </c>
      <c r="M656" s="229"/>
      <c r="N656" s="297" t="str">
        <f>$N$614</f>
        <v xml:space="preserve"> </v>
      </c>
      <c r="O656" s="231" t="s">
        <v>107</v>
      </c>
      <c r="P656" s="229">
        <f>ROUND(N656*$C656/100,0)</f>
        <v>0</v>
      </c>
      <c r="Q656" s="229"/>
      <c r="R656" s="297">
        <f>$R$614</f>
        <v>1.03</v>
      </c>
      <c r="S656" s="231" t="s">
        <v>107</v>
      </c>
      <c r="T656" s="229">
        <f>ROUND(R656*$C656/100,0)</f>
        <v>4544035</v>
      </c>
      <c r="U656" s="229"/>
      <c r="V656" s="297">
        <f>$V$614</f>
        <v>4.17</v>
      </c>
      <c r="W656" s="231" t="s">
        <v>107</v>
      </c>
      <c r="X656" s="229">
        <f>ROUND(V656*$C656/100,0)</f>
        <v>18396723</v>
      </c>
      <c r="AA656" s="110"/>
      <c r="AB656" s="110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</row>
    <row r="657" spans="1:47" hidden="1">
      <c r="A657" s="231" t="s">
        <v>152</v>
      </c>
      <c r="B657" s="169"/>
      <c r="C657" s="227">
        <v>386507.60000000073</v>
      </c>
      <c r="D657" s="312">
        <v>56</v>
      </c>
      <c r="E657" s="231" t="s">
        <v>107</v>
      </c>
      <c r="F657" s="229">
        <f>ROUND(D657*$C657/100,0)</f>
        <v>216444</v>
      </c>
      <c r="G657" s="312">
        <v>56</v>
      </c>
      <c r="H657" s="231" t="s">
        <v>107</v>
      </c>
      <c r="I657" s="229">
        <f t="shared" si="180"/>
        <v>216444</v>
      </c>
      <c r="J657" s="313">
        <f>$J$615</f>
        <v>56</v>
      </c>
      <c r="K657" s="231" t="s">
        <v>107</v>
      </c>
      <c r="L657" s="229">
        <f>ROUND(J657*$C657/100,0)</f>
        <v>216444</v>
      </c>
      <c r="M657" s="229"/>
      <c r="N657" s="313" t="str">
        <f>$N$615</f>
        <v xml:space="preserve"> </v>
      </c>
      <c r="O657" s="231" t="s">
        <v>107</v>
      </c>
      <c r="P657" s="229">
        <f>ROUND(N657*$C657/100,0)</f>
        <v>0</v>
      </c>
      <c r="Q657" s="229"/>
      <c r="R657" s="313">
        <f>$R$615</f>
        <v>11</v>
      </c>
      <c r="S657" s="231" t="s">
        <v>107</v>
      </c>
      <c r="T657" s="229">
        <f>ROUND(R657*$C657/100,0)</f>
        <v>42516</v>
      </c>
      <c r="U657" s="229"/>
      <c r="V657" s="313">
        <f>$V$615</f>
        <v>45</v>
      </c>
      <c r="W657" s="231" t="s">
        <v>107</v>
      </c>
      <c r="X657" s="229">
        <f>ROUND(V657*$C657/100,0)</f>
        <v>173928</v>
      </c>
      <c r="AA657" s="110"/>
      <c r="AB657" s="110"/>
      <c r="AC657" s="222" t="s">
        <v>0</v>
      </c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</row>
    <row r="658" spans="1:47" s="141" customFormat="1" hidden="1">
      <c r="A658" s="140" t="s">
        <v>186</v>
      </c>
      <c r="C658" s="142">
        <f>C655</f>
        <v>352966596.14110196</v>
      </c>
      <c r="D658" s="138"/>
      <c r="E658" s="143"/>
      <c r="F658" s="144"/>
      <c r="G658" s="138"/>
      <c r="H658" s="143"/>
      <c r="I658" s="144"/>
      <c r="J658" s="145">
        <f>J616</f>
        <v>0</v>
      </c>
      <c r="K658" s="283" t="s">
        <v>107</v>
      </c>
      <c r="L658" s="283">
        <f t="shared" ref="L658:L659" si="181">ROUND(J658*$C658/100,0)</f>
        <v>0</v>
      </c>
      <c r="M658" s="283"/>
      <c r="N658" s="145" t="str">
        <f>N616</f>
        <v xml:space="preserve"> </v>
      </c>
      <c r="O658" s="283" t="s">
        <v>107</v>
      </c>
      <c r="P658" s="283">
        <f t="shared" ref="P658:P659" si="182">ROUND(N658*$C658/100,0)</f>
        <v>0</v>
      </c>
      <c r="Q658" s="283"/>
      <c r="R658" s="145" t="str">
        <f>R616</f>
        <v xml:space="preserve"> </v>
      </c>
      <c r="S658" s="283" t="s">
        <v>107</v>
      </c>
      <c r="T658" s="283">
        <f t="shared" ref="T658:T659" si="183">ROUND(R658*$C658/100,0)</f>
        <v>0</v>
      </c>
      <c r="U658" s="283"/>
      <c r="V658" s="145">
        <f>V616</f>
        <v>0</v>
      </c>
      <c r="W658" s="283" t="s">
        <v>107</v>
      </c>
      <c r="X658" s="283">
        <f t="shared" ref="X658:X659" si="184">ROUND(V658*$C658/100,0)</f>
        <v>0</v>
      </c>
      <c r="Z658" s="314"/>
      <c r="AA658" s="315"/>
      <c r="AB658" s="316"/>
      <c r="AC658" s="148"/>
      <c r="AD658" s="148"/>
      <c r="AI658" s="143"/>
      <c r="AJ658" s="143"/>
      <c r="AK658" s="143"/>
      <c r="AL658" s="143"/>
      <c r="AM658" s="143"/>
      <c r="AN658" s="143"/>
      <c r="AO658" s="143"/>
      <c r="AP658" s="143"/>
      <c r="AQ658" s="143"/>
      <c r="AR658" s="143"/>
      <c r="AS658" s="143"/>
      <c r="AU658" s="147"/>
    </row>
    <row r="659" spans="1:47" s="141" customFormat="1" hidden="1">
      <c r="A659" s="140" t="s">
        <v>187</v>
      </c>
      <c r="C659" s="142">
        <f>C656</f>
        <v>441168417.03466094</v>
      </c>
      <c r="D659" s="138"/>
      <c r="E659" s="143"/>
      <c r="F659" s="144"/>
      <c r="G659" s="138"/>
      <c r="H659" s="143"/>
      <c r="I659" s="144"/>
      <c r="J659" s="145">
        <f>J617</f>
        <v>0</v>
      </c>
      <c r="K659" s="283" t="s">
        <v>107</v>
      </c>
      <c r="L659" s="283">
        <f t="shared" si="181"/>
        <v>0</v>
      </c>
      <c r="M659" s="283"/>
      <c r="N659" s="145" t="str">
        <f>N617</f>
        <v xml:space="preserve"> </v>
      </c>
      <c r="O659" s="283" t="s">
        <v>107</v>
      </c>
      <c r="P659" s="283">
        <f t="shared" si="182"/>
        <v>0</v>
      </c>
      <c r="Q659" s="283"/>
      <c r="R659" s="145" t="str">
        <f>R617</f>
        <v xml:space="preserve"> </v>
      </c>
      <c r="S659" s="283" t="s">
        <v>107</v>
      </c>
      <c r="T659" s="283">
        <f t="shared" si="183"/>
        <v>0</v>
      </c>
      <c r="U659" s="283"/>
      <c r="V659" s="145">
        <f>V617</f>
        <v>0</v>
      </c>
      <c r="W659" s="283" t="s">
        <v>107</v>
      </c>
      <c r="X659" s="283">
        <f t="shared" si="184"/>
        <v>0</v>
      </c>
      <c r="Z659" s="314"/>
      <c r="AA659" s="315"/>
      <c r="AB659" s="316"/>
      <c r="AC659" s="148"/>
      <c r="AD659" s="148"/>
      <c r="AI659" s="143"/>
      <c r="AJ659" s="143"/>
      <c r="AK659" s="143"/>
      <c r="AL659" s="143"/>
      <c r="AM659" s="143"/>
      <c r="AN659" s="143"/>
      <c r="AO659" s="143"/>
      <c r="AP659" s="143"/>
      <c r="AQ659" s="143"/>
      <c r="AR659" s="143"/>
      <c r="AS659" s="143"/>
      <c r="AU659" s="147"/>
    </row>
    <row r="660" spans="1:47" hidden="1">
      <c r="A660" s="284" t="s">
        <v>159</v>
      </c>
      <c r="B660" s="169"/>
      <c r="C660" s="227"/>
      <c r="D660" s="245">
        <v>-0.01</v>
      </c>
      <c r="E660" s="131"/>
      <c r="F660" s="229"/>
      <c r="G660" s="245">
        <v>-0.01</v>
      </c>
      <c r="H660" s="169"/>
      <c r="I660" s="229"/>
      <c r="J660" s="245">
        <v>-0.01</v>
      </c>
      <c r="K660" s="169"/>
      <c r="L660" s="229"/>
      <c r="M660" s="229"/>
      <c r="N660" s="245">
        <v>-0.01</v>
      </c>
      <c r="O660" s="169"/>
      <c r="P660" s="229"/>
      <c r="Q660" s="229"/>
      <c r="R660" s="245">
        <v>-0.01</v>
      </c>
      <c r="S660" s="169"/>
      <c r="T660" s="229"/>
      <c r="U660" s="229"/>
      <c r="V660" s="245">
        <v>-0.01</v>
      </c>
      <c r="W660" s="169"/>
      <c r="X660" s="229"/>
      <c r="AA660" s="166"/>
      <c r="AB660" s="110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</row>
    <row r="661" spans="1:47" hidden="1">
      <c r="A661" s="231" t="s">
        <v>178</v>
      </c>
      <c r="B661" s="189"/>
      <c r="C661" s="227">
        <v>0.46666666666666701</v>
      </c>
      <c r="D661" s="200">
        <v>259</v>
      </c>
      <c r="E661" s="292"/>
      <c r="F661" s="229">
        <f>ROUND(D661*$C661*D660,0)</f>
        <v>-1</v>
      </c>
      <c r="G661" s="200">
        <v>259</v>
      </c>
      <c r="H661" s="188"/>
      <c r="I661" s="229">
        <f>ROUND(G661*C661*$G$660,0)</f>
        <v>-1</v>
      </c>
      <c r="J661" s="200">
        <f>J645</f>
        <v>259</v>
      </c>
      <c r="K661" s="188"/>
      <c r="L661" s="229">
        <f>ROUND(J661*$C661*J660,0)</f>
        <v>-1</v>
      </c>
      <c r="M661" s="229"/>
      <c r="N661" s="200">
        <f>N645</f>
        <v>259</v>
      </c>
      <c r="O661" s="188"/>
      <c r="P661" s="229">
        <f>ROUND(N661*$C661*N660,0)</f>
        <v>-1</v>
      </c>
      <c r="Q661" s="229"/>
      <c r="R661" s="200" t="str">
        <f>R645</f>
        <v xml:space="preserve"> </v>
      </c>
      <c r="S661" s="188"/>
      <c r="T661" s="229">
        <f>ROUND(R661*$C661*R660,0)</f>
        <v>0</v>
      </c>
      <c r="U661" s="229"/>
      <c r="V661" s="200" t="str">
        <f>V645</f>
        <v xml:space="preserve"> </v>
      </c>
      <c r="W661" s="188"/>
      <c r="X661" s="229">
        <f>ROUND(V661*$C661*V660,0)</f>
        <v>0</v>
      </c>
      <c r="AA661" s="166"/>
      <c r="AB661" s="110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</row>
    <row r="662" spans="1:47" hidden="1">
      <c r="A662" s="231" t="s">
        <v>179</v>
      </c>
      <c r="B662" s="169"/>
      <c r="C662" s="227">
        <v>47.6</v>
      </c>
      <c r="D662" s="200">
        <v>96</v>
      </c>
      <c r="E662" s="292"/>
      <c r="F662" s="229">
        <f>ROUND(D662*$C662*D660,0)</f>
        <v>-46</v>
      </c>
      <c r="G662" s="200">
        <v>96</v>
      </c>
      <c r="H662" s="188"/>
      <c r="I662" s="229">
        <f t="shared" ref="I662:I667" si="185">ROUND(G662*C662*$G$660,0)</f>
        <v>-46</v>
      </c>
      <c r="J662" s="200">
        <f>J646</f>
        <v>96</v>
      </c>
      <c r="K662" s="188"/>
      <c r="L662" s="229">
        <f>ROUND(J662*$C662*J660,0)</f>
        <v>-46</v>
      </c>
      <c r="M662" s="229"/>
      <c r="N662" s="200">
        <f>N646</f>
        <v>96</v>
      </c>
      <c r="O662" s="188"/>
      <c r="P662" s="229">
        <f>ROUND(N662*$C662*N660,0)</f>
        <v>-46</v>
      </c>
      <c r="Q662" s="229"/>
      <c r="R662" s="200" t="str">
        <f>R646</f>
        <v xml:space="preserve"> </v>
      </c>
      <c r="S662" s="188"/>
      <c r="T662" s="229">
        <f>ROUND(R662*$C662*R660,0)</f>
        <v>0</v>
      </c>
      <c r="U662" s="229"/>
      <c r="V662" s="200" t="str">
        <f>V646</f>
        <v xml:space="preserve"> </v>
      </c>
      <c r="W662" s="188"/>
      <c r="X662" s="229">
        <f>ROUND(V662*$C662*V660,0)</f>
        <v>0</v>
      </c>
      <c r="AA662" s="166"/>
      <c r="AB662" s="110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</row>
    <row r="663" spans="1:47" hidden="1">
      <c r="A663" s="231" t="s">
        <v>180</v>
      </c>
      <c r="B663" s="169"/>
      <c r="C663" s="227">
        <v>82</v>
      </c>
      <c r="D663" s="200">
        <v>192</v>
      </c>
      <c r="E663" s="301"/>
      <c r="F663" s="229">
        <f>ROUND(D663*$C663*D660,0)</f>
        <v>-157</v>
      </c>
      <c r="G663" s="200">
        <v>192</v>
      </c>
      <c r="H663" s="302"/>
      <c r="I663" s="229">
        <f t="shared" si="185"/>
        <v>-157</v>
      </c>
      <c r="J663" s="200">
        <f>J647</f>
        <v>192</v>
      </c>
      <c r="K663" s="302"/>
      <c r="L663" s="229">
        <f>ROUND(J663*$C663*J660,0)</f>
        <v>-157</v>
      </c>
      <c r="M663" s="229"/>
      <c r="N663" s="200">
        <f>N647</f>
        <v>192</v>
      </c>
      <c r="O663" s="302"/>
      <c r="P663" s="229">
        <f>ROUND(N663*$C663*N660,0)</f>
        <v>-157</v>
      </c>
      <c r="Q663" s="229"/>
      <c r="R663" s="200" t="str">
        <f>R647</f>
        <v xml:space="preserve"> </v>
      </c>
      <c r="S663" s="302"/>
      <c r="T663" s="229">
        <f>ROUND(R663*$C663*R660,0)</f>
        <v>0</v>
      </c>
      <c r="U663" s="229"/>
      <c r="V663" s="200" t="str">
        <f>V647</f>
        <v xml:space="preserve"> </v>
      </c>
      <c r="W663" s="302"/>
      <c r="X663" s="229">
        <f>ROUND(V663*$C663*V660,0)</f>
        <v>0</v>
      </c>
      <c r="AA663" s="166"/>
      <c r="AB663" s="110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</row>
    <row r="664" spans="1:47" hidden="1">
      <c r="A664" s="231" t="s">
        <v>179</v>
      </c>
      <c r="B664" s="169"/>
      <c r="C664" s="227">
        <v>8428</v>
      </c>
      <c r="D664" s="200">
        <v>1.7</v>
      </c>
      <c r="E664" s="292"/>
      <c r="F664" s="229">
        <f>ROUND(D664*$C664*D660,0)</f>
        <v>-143</v>
      </c>
      <c r="G664" s="200">
        <v>1.7</v>
      </c>
      <c r="H664" s="188"/>
      <c r="I664" s="229">
        <f t="shared" si="185"/>
        <v>-143</v>
      </c>
      <c r="J664" s="200">
        <f>J649</f>
        <v>1.76</v>
      </c>
      <c r="K664" s="188"/>
      <c r="L664" s="229">
        <f>ROUND(J664*$C664*J660,0)</f>
        <v>-148</v>
      </c>
      <c r="M664" s="229"/>
      <c r="N664" s="200">
        <f>N649</f>
        <v>1.76</v>
      </c>
      <c r="O664" s="188"/>
      <c r="P664" s="229">
        <f>ROUND(N664*$C664*N660,0)</f>
        <v>-148</v>
      </c>
      <c r="Q664" s="229"/>
      <c r="R664" s="200" t="str">
        <f>R649</f>
        <v xml:space="preserve"> </v>
      </c>
      <c r="S664" s="188"/>
      <c r="T664" s="229">
        <f>ROUND(R664*$C664*R660,0)</f>
        <v>0</v>
      </c>
      <c r="U664" s="229"/>
      <c r="V664" s="200" t="str">
        <f>V649</f>
        <v xml:space="preserve"> </v>
      </c>
      <c r="W664" s="188"/>
      <c r="X664" s="229">
        <f>ROUND(V664*$C664*V660,0)</f>
        <v>0</v>
      </c>
      <c r="AA664" s="166"/>
      <c r="AB664" s="110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</row>
    <row r="665" spans="1:47" hidden="1">
      <c r="A665" s="231" t="s">
        <v>180</v>
      </c>
      <c r="B665" s="169"/>
      <c r="C665" s="227">
        <v>57957</v>
      </c>
      <c r="D665" s="200">
        <v>1.39</v>
      </c>
      <c r="E665" s="292" t="s">
        <v>0</v>
      </c>
      <c r="F665" s="229">
        <f>ROUND(D665*$C665*D660,0)</f>
        <v>-806</v>
      </c>
      <c r="G665" s="200">
        <v>1.39</v>
      </c>
      <c r="H665" s="188"/>
      <c r="I665" s="229">
        <f t="shared" si="185"/>
        <v>-806</v>
      </c>
      <c r="J665" s="200">
        <f>J650</f>
        <v>1.44</v>
      </c>
      <c r="K665" s="188"/>
      <c r="L665" s="229">
        <f>ROUND(J665*$C665*J660,0)</f>
        <v>-835</v>
      </c>
      <c r="M665" s="229"/>
      <c r="N665" s="200">
        <f>N650</f>
        <v>1.44</v>
      </c>
      <c r="O665" s="188"/>
      <c r="P665" s="229">
        <f>ROUND(N665*$C665*N660,0)</f>
        <v>-835</v>
      </c>
      <c r="Q665" s="229"/>
      <c r="R665" s="200" t="str">
        <f>R650</f>
        <v xml:space="preserve"> </v>
      </c>
      <c r="S665" s="188"/>
      <c r="T665" s="229">
        <f>ROUND(R665*$C665*R660,0)</f>
        <v>0</v>
      </c>
      <c r="U665" s="229"/>
      <c r="V665" s="200" t="str">
        <f>V650</f>
        <v xml:space="preserve"> </v>
      </c>
      <c r="W665" s="188"/>
      <c r="X665" s="229">
        <f>ROUND(V665*$C665*V660,0)</f>
        <v>0</v>
      </c>
      <c r="AA665" s="166"/>
      <c r="AB665" s="110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</row>
    <row r="666" spans="1:47" hidden="1">
      <c r="A666" s="154" t="s">
        <v>182</v>
      </c>
      <c r="B666" s="169"/>
      <c r="C666" s="227">
        <v>42970.5</v>
      </c>
      <c r="D666" s="200">
        <v>4.4400000000000004</v>
      </c>
      <c r="E666" s="292" t="s">
        <v>0</v>
      </c>
      <c r="F666" s="229">
        <f>ROUND(D666*$C666*D660,0)</f>
        <v>-1908</v>
      </c>
      <c r="G666" s="200">
        <v>4.72</v>
      </c>
      <c r="H666" s="188"/>
      <c r="I666" s="229">
        <f t="shared" si="185"/>
        <v>-2028</v>
      </c>
      <c r="J666" s="200">
        <f>J652</f>
        <v>5.37</v>
      </c>
      <c r="K666" s="188"/>
      <c r="L666" s="229">
        <f>ROUND(J666*$C666*J660,0)</f>
        <v>-2308</v>
      </c>
      <c r="M666" s="229"/>
      <c r="N666" s="200">
        <f>N652</f>
        <v>0.84</v>
      </c>
      <c r="O666" s="188"/>
      <c r="P666" s="229">
        <f>ROUND(N666*$C666*N660,0)</f>
        <v>-361</v>
      </c>
      <c r="Q666" s="229"/>
      <c r="R666" s="200">
        <f>R652</f>
        <v>0.9</v>
      </c>
      <c r="S666" s="188"/>
      <c r="T666" s="229">
        <f>ROUND(R666*$C666*R660,0)</f>
        <v>-387</v>
      </c>
      <c r="U666" s="229"/>
      <c r="V666" s="200">
        <f>V652</f>
        <v>3.63</v>
      </c>
      <c r="W666" s="188"/>
      <c r="X666" s="229">
        <f>ROUND(V666*$C666*V660,0)</f>
        <v>-1560</v>
      </c>
      <c r="AA666" s="166"/>
      <c r="AB666" s="110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</row>
    <row r="667" spans="1:47" hidden="1">
      <c r="A667" s="154" t="s">
        <v>198</v>
      </c>
      <c r="B667" s="169"/>
      <c r="C667" s="227">
        <v>384.33333333333331</v>
      </c>
      <c r="D667" s="200">
        <v>4.4400000000000004</v>
      </c>
      <c r="E667" s="292" t="s">
        <v>0</v>
      </c>
      <c r="F667" s="229">
        <f>ROUND(D667*$C667*D660,0)</f>
        <v>-17</v>
      </c>
      <c r="G667" s="200">
        <v>4.72</v>
      </c>
      <c r="H667" s="188"/>
      <c r="I667" s="229">
        <f t="shared" si="185"/>
        <v>-18</v>
      </c>
      <c r="J667" s="200">
        <f>J653</f>
        <v>5.37</v>
      </c>
      <c r="K667" s="188"/>
      <c r="L667" s="229">
        <f>ROUND(J667*$C667*J660,0)</f>
        <v>-21</v>
      </c>
      <c r="M667" s="229"/>
      <c r="N667" s="200">
        <f>N653</f>
        <v>0.84</v>
      </c>
      <c r="O667" s="188"/>
      <c r="P667" s="229">
        <f>ROUND(N667*$C667*N660,0)</f>
        <v>-3</v>
      </c>
      <c r="Q667" s="229"/>
      <c r="R667" s="200">
        <f>R653</f>
        <v>0.9</v>
      </c>
      <c r="S667" s="188"/>
      <c r="T667" s="229">
        <f>ROUND(R667*$C667*R660,0)</f>
        <v>-3</v>
      </c>
      <c r="U667" s="229"/>
      <c r="V667" s="200">
        <f>V653</f>
        <v>3.63</v>
      </c>
      <c r="W667" s="188"/>
      <c r="X667" s="229">
        <f>ROUND(V667*$C667*V660,0)</f>
        <v>-14</v>
      </c>
      <c r="AA667" s="166"/>
      <c r="AB667" s="110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</row>
    <row r="668" spans="1:47" hidden="1">
      <c r="A668" s="231" t="s">
        <v>184</v>
      </c>
      <c r="B668" s="169"/>
      <c r="C668" s="227">
        <v>4425080</v>
      </c>
      <c r="D668" s="287">
        <v>5.2939999999999996</v>
      </c>
      <c r="E668" s="229" t="s">
        <v>107</v>
      </c>
      <c r="F668" s="229">
        <f>ROUND(D668*$C668/100*D660,0)</f>
        <v>-2343</v>
      </c>
      <c r="G668" s="287">
        <v>5.6289999999999996</v>
      </c>
      <c r="H668" s="231" t="s">
        <v>107</v>
      </c>
      <c r="I668" s="229">
        <f>ROUND(G668*C668/100*$G$660,0)</f>
        <v>-2491</v>
      </c>
      <c r="J668" s="287">
        <f>J655</f>
        <v>5.6790000000000003</v>
      </c>
      <c r="K668" s="231" t="s">
        <v>107</v>
      </c>
      <c r="L668" s="229">
        <f>ROUND(J668*$C668/100*J660,0)</f>
        <v>-2513</v>
      </c>
      <c r="M668" s="229"/>
      <c r="N668" s="287" t="str">
        <f>N655</f>
        <v xml:space="preserve"> </v>
      </c>
      <c r="O668" s="231" t="s">
        <v>107</v>
      </c>
      <c r="P668" s="229">
        <f>ROUND(N668*$C668/100*N660,0)</f>
        <v>0</v>
      </c>
      <c r="Q668" s="229"/>
      <c r="R668" s="287">
        <f>R655</f>
        <v>1.125</v>
      </c>
      <c r="S668" s="231" t="s">
        <v>107</v>
      </c>
      <c r="T668" s="229">
        <f>ROUND(R668*$C668/100*R660,0)</f>
        <v>-498</v>
      </c>
      <c r="U668" s="229"/>
      <c r="V668" s="287">
        <f>V655</f>
        <v>4.5540000000000003</v>
      </c>
      <c r="W668" s="231" t="s">
        <v>107</v>
      </c>
      <c r="X668" s="229">
        <f>ROUND(V668*$C668/100*V660,0)</f>
        <v>-2015</v>
      </c>
      <c r="AA668" s="166"/>
      <c r="AB668" s="110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</row>
    <row r="669" spans="1:47" hidden="1">
      <c r="A669" s="231" t="s">
        <v>151</v>
      </c>
      <c r="B669" s="169"/>
      <c r="C669" s="227">
        <v>11577379</v>
      </c>
      <c r="D669" s="287">
        <v>4.8520000000000003</v>
      </c>
      <c r="E669" s="229" t="s">
        <v>107</v>
      </c>
      <c r="F669" s="229">
        <f>ROUND(D669*$C669/100*D660,0)</f>
        <v>-5617</v>
      </c>
      <c r="G669" s="287">
        <v>5.157</v>
      </c>
      <c r="H669" s="231" t="s">
        <v>107</v>
      </c>
      <c r="I669" s="229">
        <f>ROUND(G669*C669/100*$G$660,0)</f>
        <v>-5970</v>
      </c>
      <c r="J669" s="287">
        <f>J656</f>
        <v>5.2</v>
      </c>
      <c r="K669" s="231" t="s">
        <v>107</v>
      </c>
      <c r="L669" s="229">
        <f>ROUND(J669*$C669/100*J660,0)</f>
        <v>-6020</v>
      </c>
      <c r="M669" s="229"/>
      <c r="N669" s="287" t="str">
        <f>N656</f>
        <v xml:space="preserve"> </v>
      </c>
      <c r="O669" s="231" t="s">
        <v>107</v>
      </c>
      <c r="P669" s="229">
        <f>ROUND(N669*$C669/100*N660,0)</f>
        <v>0</v>
      </c>
      <c r="Q669" s="229"/>
      <c r="R669" s="287">
        <f>R656</f>
        <v>1.03</v>
      </c>
      <c r="S669" s="231" t="s">
        <v>107</v>
      </c>
      <c r="T669" s="229">
        <f>ROUND(R669*$C669/100*R660,0)</f>
        <v>-1192</v>
      </c>
      <c r="U669" s="229"/>
      <c r="V669" s="287">
        <f>V656</f>
        <v>4.17</v>
      </c>
      <c r="W669" s="231" t="s">
        <v>107</v>
      </c>
      <c r="X669" s="229">
        <f>ROUND(V669*$C669/100*V660,0)</f>
        <v>-4828</v>
      </c>
      <c r="AA669" s="166"/>
      <c r="AB669" s="110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</row>
    <row r="670" spans="1:47" hidden="1">
      <c r="A670" s="231" t="s">
        <v>152</v>
      </c>
      <c r="B670" s="169"/>
      <c r="C670" s="227">
        <v>7635.9666666666699</v>
      </c>
      <c r="D670" s="289">
        <v>56</v>
      </c>
      <c r="E670" s="229" t="s">
        <v>107</v>
      </c>
      <c r="F670" s="229">
        <f>ROUND(D670*$C670/100*D660,0)</f>
        <v>-43</v>
      </c>
      <c r="G670" s="289">
        <v>56</v>
      </c>
      <c r="H670" s="231" t="s">
        <v>107</v>
      </c>
      <c r="I670" s="229">
        <f>ROUND(G670*C670/100*$G$660,0)</f>
        <v>-43</v>
      </c>
      <c r="J670" s="289">
        <f>J657</f>
        <v>56</v>
      </c>
      <c r="K670" s="231" t="s">
        <v>107</v>
      </c>
      <c r="L670" s="229">
        <f>ROUND(J670*$C670/100*J660,0)</f>
        <v>-43</v>
      </c>
      <c r="M670" s="229"/>
      <c r="N670" s="289" t="str">
        <f>N657</f>
        <v xml:space="preserve"> </v>
      </c>
      <c r="O670" s="231" t="s">
        <v>107</v>
      </c>
      <c r="P670" s="229">
        <f>ROUND(N670*$C670/100*N660,0)</f>
        <v>0</v>
      </c>
      <c r="Q670" s="229"/>
      <c r="R670" s="289">
        <f>R657</f>
        <v>11</v>
      </c>
      <c r="S670" s="231" t="s">
        <v>107</v>
      </c>
      <c r="T670" s="229">
        <f>ROUND(R670*$C670/100*R660,0)</f>
        <v>-8</v>
      </c>
      <c r="U670" s="229"/>
      <c r="V670" s="289">
        <f>V657</f>
        <v>45</v>
      </c>
      <c r="W670" s="231" t="s">
        <v>107</v>
      </c>
      <c r="X670" s="229">
        <f>ROUND(V670*$C670/100*V660,0)</f>
        <v>-34</v>
      </c>
      <c r="AA670" s="166"/>
      <c r="AB670" s="110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</row>
    <row r="671" spans="1:47" hidden="1">
      <c r="A671" s="231" t="s">
        <v>201</v>
      </c>
      <c r="B671" s="169"/>
      <c r="C671" s="227">
        <v>129.6</v>
      </c>
      <c r="D671" s="193">
        <v>60</v>
      </c>
      <c r="E671" s="292" t="s">
        <v>0</v>
      </c>
      <c r="F671" s="229">
        <f>ROUND(D671*$C671,0)</f>
        <v>7776</v>
      </c>
      <c r="G671" s="193">
        <v>60</v>
      </c>
      <c r="H671" s="169"/>
      <c r="I671" s="229">
        <f>ROUND(G671*C671,0)</f>
        <v>7776</v>
      </c>
      <c r="J671" s="193">
        <f>$J$631</f>
        <v>60</v>
      </c>
      <c r="K671" s="169"/>
      <c r="L671" s="229">
        <f>ROUND(J671*$C671,0)</f>
        <v>7776</v>
      </c>
      <c r="M671" s="229"/>
      <c r="N671" s="193" t="str">
        <f>$N$631</f>
        <v xml:space="preserve"> </v>
      </c>
      <c r="O671" s="169"/>
      <c r="P671" s="229">
        <f>ROUND(N671*$C671,0)</f>
        <v>0</v>
      </c>
      <c r="Q671" s="229"/>
      <c r="R671" s="193">
        <f>$R$631</f>
        <v>11.894336305988995</v>
      </c>
      <c r="S671" s="169"/>
      <c r="T671" s="229">
        <f>ROUND(R671*$C671,0)</f>
        <v>1542</v>
      </c>
      <c r="U671" s="229"/>
      <c r="V671" s="193">
        <f>$V$631</f>
        <v>48.105663694011007</v>
      </c>
      <c r="W671" s="169"/>
      <c r="X671" s="229">
        <f>ROUND(V671*$C671,0)</f>
        <v>6234</v>
      </c>
      <c r="AA671" s="111"/>
      <c r="AB671" s="132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</row>
    <row r="672" spans="1:47" hidden="1">
      <c r="A672" s="231" t="s">
        <v>202</v>
      </c>
      <c r="B672" s="210"/>
      <c r="C672" s="227">
        <v>66385</v>
      </c>
      <c r="D672" s="251">
        <v>-30</v>
      </c>
      <c r="E672" s="229" t="s">
        <v>107</v>
      </c>
      <c r="F672" s="229">
        <f>ROUND(D672*$C672/100,0)</f>
        <v>-19916</v>
      </c>
      <c r="G672" s="251">
        <v>-30</v>
      </c>
      <c r="H672" s="229" t="s">
        <v>107</v>
      </c>
      <c r="I672" s="229">
        <f>-ROUND(G672*C672*$G$660,0)</f>
        <v>-19916</v>
      </c>
      <c r="J672" s="251">
        <f>$J$632</f>
        <v>-30</v>
      </c>
      <c r="K672" s="229" t="s">
        <v>107</v>
      </c>
      <c r="L672" s="229">
        <f>ROUND(J672*$C672/100,0)</f>
        <v>-19916</v>
      </c>
      <c r="M672" s="229"/>
      <c r="N672" s="251">
        <f>$N$632</f>
        <v>-30</v>
      </c>
      <c r="O672" s="229" t="s">
        <v>107</v>
      </c>
      <c r="P672" s="229">
        <f>ROUND(N672*$C672/100,0)</f>
        <v>-19916</v>
      </c>
      <c r="Q672" s="229"/>
      <c r="R672" s="251" t="str">
        <f>$R$632</f>
        <v xml:space="preserve"> </v>
      </c>
      <c r="S672" s="229" t="s">
        <v>107</v>
      </c>
      <c r="T672" s="229">
        <f>ROUND(R672*$C672/100,0)</f>
        <v>0</v>
      </c>
      <c r="U672" s="229"/>
      <c r="V672" s="251">
        <f>$V$632</f>
        <v>0</v>
      </c>
      <c r="W672" s="229" t="s">
        <v>107</v>
      </c>
      <c r="X672" s="229">
        <f>ROUND(V672*$C672/100,0)</f>
        <v>0</v>
      </c>
      <c r="AA672" s="111"/>
      <c r="AB672" s="132"/>
      <c r="AC672" s="222" t="s">
        <v>0</v>
      </c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</row>
    <row r="673" spans="1:47" s="141" customFormat="1" hidden="1">
      <c r="A673" s="140" t="s">
        <v>186</v>
      </c>
      <c r="C673" s="142">
        <f>C668</f>
        <v>4425080</v>
      </c>
      <c r="D673" s="138"/>
      <c r="E673" s="143"/>
      <c r="F673" s="144"/>
      <c r="G673" s="138"/>
      <c r="H673" s="143"/>
      <c r="I673" s="144"/>
      <c r="J673" s="145">
        <f>J658</f>
        <v>0</v>
      </c>
      <c r="K673" s="283" t="s">
        <v>107</v>
      </c>
      <c r="L673" s="283">
        <f>ROUND(J673*$C673/100*J660,0)</f>
        <v>0</v>
      </c>
      <c r="M673" s="283"/>
      <c r="N673" s="145" t="str">
        <f>N658</f>
        <v xml:space="preserve"> </v>
      </c>
      <c r="O673" s="283" t="s">
        <v>107</v>
      </c>
      <c r="P673" s="283">
        <f>ROUND(N673*$C673/100*N660,0)</f>
        <v>0</v>
      </c>
      <c r="Q673" s="283"/>
      <c r="R673" s="145" t="str">
        <f>R658</f>
        <v xml:space="preserve"> </v>
      </c>
      <c r="S673" s="283" t="s">
        <v>107</v>
      </c>
      <c r="T673" s="283">
        <f>ROUND(R673*$C673/100*R660,0)</f>
        <v>0</v>
      </c>
      <c r="U673" s="283"/>
      <c r="V673" s="145">
        <f>V658</f>
        <v>0</v>
      </c>
      <c r="W673" s="283" t="s">
        <v>107</v>
      </c>
      <c r="X673" s="283">
        <f>ROUND(V673*$C673/100*V660,0)</f>
        <v>0</v>
      </c>
      <c r="Z673" s="314"/>
      <c r="AA673" s="315"/>
      <c r="AB673" s="316"/>
      <c r="AC673" s="148"/>
      <c r="AD673" s="148"/>
      <c r="AI673" s="143"/>
      <c r="AJ673" s="143"/>
      <c r="AK673" s="143"/>
      <c r="AL673" s="143"/>
      <c r="AM673" s="143"/>
      <c r="AN673" s="143"/>
      <c r="AO673" s="143"/>
      <c r="AP673" s="143"/>
      <c r="AQ673" s="143"/>
      <c r="AR673" s="143"/>
      <c r="AS673" s="143"/>
      <c r="AU673" s="147"/>
    </row>
    <row r="674" spans="1:47" s="141" customFormat="1" hidden="1">
      <c r="A674" s="140" t="s">
        <v>187</v>
      </c>
      <c r="C674" s="142">
        <f>C669</f>
        <v>11577379</v>
      </c>
      <c r="D674" s="138"/>
      <c r="E674" s="143"/>
      <c r="F674" s="144"/>
      <c r="G674" s="138"/>
      <c r="H674" s="143"/>
      <c r="I674" s="144"/>
      <c r="J674" s="145">
        <f>J659</f>
        <v>0</v>
      </c>
      <c r="K674" s="283" t="s">
        <v>107</v>
      </c>
      <c r="L674" s="283">
        <f>ROUND(J674*$C674/100*J660,0)</f>
        <v>0</v>
      </c>
      <c r="M674" s="283"/>
      <c r="N674" s="145" t="str">
        <f>N659</f>
        <v xml:space="preserve"> </v>
      </c>
      <c r="O674" s="283" t="s">
        <v>107</v>
      </c>
      <c r="P674" s="283">
        <f>ROUND(N674*$C674/100*N660,0)</f>
        <v>0</v>
      </c>
      <c r="Q674" s="283"/>
      <c r="R674" s="145" t="str">
        <f>R659</f>
        <v xml:space="preserve"> </v>
      </c>
      <c r="S674" s="283" t="s">
        <v>107</v>
      </c>
      <c r="T674" s="283">
        <f>ROUND(R674*$C674/100*R660,0)</f>
        <v>0</v>
      </c>
      <c r="U674" s="283"/>
      <c r="V674" s="145">
        <f>V659</f>
        <v>0</v>
      </c>
      <c r="W674" s="283" t="s">
        <v>107</v>
      </c>
      <c r="X674" s="283">
        <f>ROUND(V674*$C674/100*V660,0)</f>
        <v>0</v>
      </c>
      <c r="Z674" s="314"/>
      <c r="AA674" s="315"/>
      <c r="AB674" s="316"/>
      <c r="AC674" s="148"/>
      <c r="AD674" s="148"/>
      <c r="AI674" s="143"/>
      <c r="AJ674" s="143"/>
      <c r="AK674" s="143"/>
      <c r="AL674" s="143"/>
      <c r="AM674" s="143"/>
      <c r="AN674" s="143"/>
      <c r="AO674" s="143"/>
      <c r="AP674" s="143"/>
      <c r="AQ674" s="143"/>
      <c r="AR674" s="143"/>
      <c r="AS674" s="143"/>
      <c r="AU674" s="147"/>
    </row>
    <row r="675" spans="1:47" hidden="1">
      <c r="A675" s="169" t="s">
        <v>133</v>
      </c>
      <c r="B675" s="212"/>
      <c r="C675" s="227">
        <f>SUM(C655:C656)</f>
        <v>794135013.17576289</v>
      </c>
      <c r="D675" s="237"/>
      <c r="E675" s="131"/>
      <c r="F675" s="131">
        <f>SUM(F645:F672)</f>
        <v>55660462</v>
      </c>
      <c r="G675" s="237"/>
      <c r="H675" s="169"/>
      <c r="I675" s="131">
        <f>SUM(I645:I672)</f>
        <v>58809460</v>
      </c>
      <c r="J675" s="237"/>
      <c r="K675" s="169"/>
      <c r="L675" s="131">
        <f>SUM(L645:L674)</f>
        <v>60737699</v>
      </c>
      <c r="M675" s="131"/>
      <c r="N675" s="237"/>
      <c r="O675" s="169"/>
      <c r="P675" s="131">
        <f>SUM(P645:P674)</f>
        <v>7738357</v>
      </c>
      <c r="Q675" s="131"/>
      <c r="R675" s="237"/>
      <c r="S675" s="169"/>
      <c r="T675" s="131">
        <f>SUM(T645:T674)</f>
        <v>10503886</v>
      </c>
      <c r="U675" s="131"/>
      <c r="V675" s="237"/>
      <c r="W675" s="169"/>
      <c r="X675" s="131">
        <f>SUM(X645:X674)</f>
        <v>42495458</v>
      </c>
      <c r="AA675" s="166"/>
      <c r="AB675" s="110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</row>
    <row r="676" spans="1:47" hidden="1">
      <c r="A676" s="169" t="s">
        <v>111</v>
      </c>
      <c r="B676" s="169"/>
      <c r="C676" s="275">
        <v>-2278044.4690362429</v>
      </c>
      <c r="D676" s="154"/>
      <c r="E676" s="154"/>
      <c r="F676" s="152">
        <f>I676</f>
        <v>-139476.06740318847</v>
      </c>
      <c r="G676" s="154"/>
      <c r="H676" s="154"/>
      <c r="I676" s="152">
        <v>-139476.06740318847</v>
      </c>
      <c r="J676" s="154"/>
      <c r="K676" s="154"/>
      <c r="L676" s="152">
        <f>I676</f>
        <v>-139476.06740318847</v>
      </c>
      <c r="M676" s="153"/>
      <c r="N676" s="154"/>
      <c r="O676" s="154"/>
      <c r="P676" s="152">
        <f>P636/L636*L676</f>
        <v>-18067.220970213766</v>
      </c>
      <c r="Q676" s="153"/>
      <c r="R676" s="154"/>
      <c r="S676" s="154"/>
      <c r="T676" s="152">
        <f>T636/L636*L676</f>
        <v>-24067.960833266228</v>
      </c>
      <c r="U676" s="153"/>
      <c r="V676" s="154"/>
      <c r="W676" s="154"/>
      <c r="X676" s="152">
        <f>X636/L636*L676</f>
        <v>-97340.88559970849</v>
      </c>
      <c r="Y676" s="185"/>
      <c r="Z676" s="183"/>
      <c r="AA676" s="166"/>
      <c r="AB676" s="110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</row>
    <row r="677" spans="1:47" ht="16.5" hidden="1" thickBot="1">
      <c r="A677" s="169" t="s">
        <v>134</v>
      </c>
      <c r="B677" s="169"/>
      <c r="C677" s="293">
        <f>SUM(C675)+C676</f>
        <v>791856968.70672667</v>
      </c>
      <c r="D677" s="272"/>
      <c r="E677" s="256"/>
      <c r="F677" s="257">
        <f>F675+F676</f>
        <v>55520985.93259681</v>
      </c>
      <c r="G677" s="272"/>
      <c r="H677" s="258"/>
      <c r="I677" s="257">
        <f>I675+I676</f>
        <v>58669983.93259681</v>
      </c>
      <c r="J677" s="272"/>
      <c r="K677" s="258"/>
      <c r="L677" s="257">
        <f>L675+L676</f>
        <v>60598222.93259681</v>
      </c>
      <c r="M677" s="257"/>
      <c r="N677" s="272"/>
      <c r="O677" s="258"/>
      <c r="P677" s="257">
        <f>P675+P676</f>
        <v>7720289.7790297866</v>
      </c>
      <c r="Q677" s="257"/>
      <c r="R677" s="272"/>
      <c r="S677" s="258"/>
      <c r="T677" s="257">
        <f>T675+T676</f>
        <v>10479818.039166734</v>
      </c>
      <c r="U677" s="257"/>
      <c r="V677" s="272"/>
      <c r="W677" s="258"/>
      <c r="X677" s="257">
        <f>X675+X676</f>
        <v>42398117.11440029</v>
      </c>
      <c r="Y677" s="186"/>
      <c r="Z677" s="187"/>
      <c r="AA677" s="166"/>
      <c r="AB677" s="110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</row>
    <row r="678" spans="1:47" hidden="1">
      <c r="A678" s="169"/>
      <c r="B678" s="169"/>
      <c r="C678" s="189"/>
      <c r="D678" s="250" t="s">
        <v>0</v>
      </c>
      <c r="E678" s="131"/>
      <c r="F678" s="131"/>
      <c r="G678" s="250" t="s">
        <v>0</v>
      </c>
      <c r="H678" s="169"/>
      <c r="I678" s="131"/>
      <c r="J678" s="277" t="s">
        <v>0</v>
      </c>
      <c r="K678" s="169"/>
      <c r="L678" s="131" t="s">
        <v>0</v>
      </c>
      <c r="M678" s="131"/>
      <c r="N678" s="277" t="s">
        <v>0</v>
      </c>
      <c r="O678" s="169"/>
      <c r="P678" s="131" t="s">
        <v>0</v>
      </c>
      <c r="Q678" s="131"/>
      <c r="R678" s="277" t="s">
        <v>0</v>
      </c>
      <c r="S678" s="169"/>
      <c r="T678" s="131" t="s">
        <v>0</v>
      </c>
      <c r="U678" s="131"/>
      <c r="V678" s="277" t="s">
        <v>0</v>
      </c>
      <c r="W678" s="169"/>
      <c r="X678" s="131" t="s">
        <v>0</v>
      </c>
      <c r="Y678" s="53"/>
      <c r="Z678" s="110"/>
      <c r="AA678" s="166"/>
      <c r="AB678" s="110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</row>
    <row r="679" spans="1:47" hidden="1">
      <c r="A679" s="188" t="s">
        <v>196</v>
      </c>
      <c r="B679" s="169"/>
      <c r="C679" s="169"/>
      <c r="D679" s="131"/>
      <c r="E679" s="131"/>
      <c r="F679" s="169" t="s">
        <v>0</v>
      </c>
      <c r="G679" s="131"/>
      <c r="H679" s="169"/>
      <c r="I679" s="169"/>
      <c r="J679" s="131"/>
      <c r="K679" s="169"/>
      <c r="L679" s="169"/>
      <c r="M679" s="169"/>
      <c r="N679" s="131"/>
      <c r="O679" s="169"/>
      <c r="P679" s="169"/>
      <c r="Q679" s="169"/>
      <c r="R679" s="131"/>
      <c r="S679" s="169"/>
      <c r="T679" s="169"/>
      <c r="U679" s="169"/>
      <c r="V679" s="131"/>
      <c r="W679" s="169"/>
      <c r="X679" s="169"/>
      <c r="Y679" s="53"/>
      <c r="Z679" s="110"/>
      <c r="AA679" s="166"/>
      <c r="AB679" s="110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</row>
    <row r="680" spans="1:47" hidden="1">
      <c r="A680" s="154" t="s">
        <v>204</v>
      </c>
      <c r="B680" s="169"/>
      <c r="C680" s="169"/>
      <c r="D680" s="131"/>
      <c r="E680" s="131"/>
      <c r="F680" s="169"/>
      <c r="G680" s="131"/>
      <c r="H680" s="169"/>
      <c r="I680" s="169"/>
      <c r="J680" s="131"/>
      <c r="K680" s="169"/>
      <c r="L680" s="169"/>
      <c r="M680" s="169"/>
      <c r="N680" s="131"/>
      <c r="O680" s="169"/>
      <c r="P680" s="169"/>
      <c r="Q680" s="169"/>
      <c r="R680" s="131"/>
      <c r="S680" s="169"/>
      <c r="T680" s="169"/>
      <c r="U680" s="169"/>
      <c r="V680" s="131"/>
      <c r="W680" s="169"/>
      <c r="X680" s="169"/>
      <c r="Y680" s="53"/>
      <c r="Z680" s="110"/>
      <c r="AA680" s="166"/>
      <c r="AB680" s="110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</row>
    <row r="681" spans="1:47" hidden="1">
      <c r="A681" s="231"/>
      <c r="B681" s="169"/>
      <c r="C681" s="169"/>
      <c r="D681" s="131"/>
      <c r="E681" s="131"/>
      <c r="F681" s="169"/>
      <c r="G681" s="131"/>
      <c r="H681" s="169"/>
      <c r="I681" s="169"/>
      <c r="J681" s="131"/>
      <c r="K681" s="169"/>
      <c r="L681" s="169"/>
      <c r="M681" s="169"/>
      <c r="N681" s="131"/>
      <c r="O681" s="169"/>
      <c r="P681" s="169"/>
      <c r="Q681" s="169"/>
      <c r="R681" s="131"/>
      <c r="S681" s="169"/>
      <c r="T681" s="169"/>
      <c r="U681" s="169"/>
      <c r="V681" s="131"/>
      <c r="W681" s="169"/>
      <c r="X681" s="169"/>
      <c r="Y681" s="53"/>
      <c r="Z681" s="110"/>
      <c r="AA681" s="166"/>
      <c r="AB681" s="110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</row>
    <row r="682" spans="1:47" hidden="1">
      <c r="A682" s="231" t="s">
        <v>146</v>
      </c>
      <c r="B682" s="189"/>
      <c r="C682" s="227"/>
      <c r="D682" s="131"/>
      <c r="E682" s="131"/>
      <c r="F682" s="169"/>
      <c r="G682" s="131"/>
      <c r="H682" s="169"/>
      <c r="I682" s="169"/>
      <c r="J682" s="131"/>
      <c r="K682" s="169"/>
      <c r="L682" s="169"/>
      <c r="M682" s="169"/>
      <c r="N682" s="131"/>
      <c r="O682" s="169"/>
      <c r="P682" s="169"/>
      <c r="Q682" s="169"/>
      <c r="R682" s="131"/>
      <c r="S682" s="169"/>
      <c r="T682" s="169"/>
      <c r="U682" s="169"/>
      <c r="V682" s="131"/>
      <c r="W682" s="169"/>
      <c r="X682" s="169"/>
      <c r="Y682" s="53"/>
      <c r="Z682" s="110"/>
      <c r="AA682" s="166"/>
      <c r="AB682" s="110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</row>
    <row r="683" spans="1:47" hidden="1">
      <c r="A683" s="231" t="s">
        <v>178</v>
      </c>
      <c r="B683" s="169"/>
      <c r="C683" s="227">
        <v>48.2</v>
      </c>
      <c r="D683" s="193">
        <v>259</v>
      </c>
      <c r="E683" s="231"/>
      <c r="F683" s="229">
        <f>ROUND(D683*$C683,0)</f>
        <v>12484</v>
      </c>
      <c r="G683" s="193">
        <v>259</v>
      </c>
      <c r="H683" s="231"/>
      <c r="I683" s="229">
        <f>ROUND(G683*C683,0)</f>
        <v>12484</v>
      </c>
      <c r="J683" s="193">
        <f>$J$603</f>
        <v>259</v>
      </c>
      <c r="K683" s="231"/>
      <c r="L683" s="229">
        <f>ROUND(J683*$C683,0)</f>
        <v>12484</v>
      </c>
      <c r="M683" s="229"/>
      <c r="N683" s="193">
        <f>$N$603</f>
        <v>259</v>
      </c>
      <c r="O683" s="231"/>
      <c r="P683" s="229">
        <f>ROUND(N683*$C683,0)</f>
        <v>12484</v>
      </c>
      <c r="Q683" s="229"/>
      <c r="R683" s="193" t="str">
        <f>$R$603</f>
        <v xml:space="preserve"> </v>
      </c>
      <c r="S683" s="231"/>
      <c r="T683" s="229">
        <f>ROUND(R683*$C683,0)</f>
        <v>0</v>
      </c>
      <c r="U683" s="229"/>
      <c r="V683" s="193" t="str">
        <f>$V$603</f>
        <v xml:space="preserve"> </v>
      </c>
      <c r="W683" s="231"/>
      <c r="X683" s="229">
        <f>ROUND(V683*$C683,0)</f>
        <v>0</v>
      </c>
      <c r="Y683" s="53"/>
      <c r="Z683" s="110"/>
      <c r="AA683" s="166"/>
      <c r="AB683" s="110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</row>
    <row r="684" spans="1:47" hidden="1">
      <c r="A684" s="231" t="s">
        <v>179</v>
      </c>
      <c r="B684" s="169"/>
      <c r="C684" s="227">
        <v>998.63333333333298</v>
      </c>
      <c r="D684" s="193">
        <v>96</v>
      </c>
      <c r="E684" s="231"/>
      <c r="F684" s="229">
        <f>ROUND(D684*$C684,0)</f>
        <v>95869</v>
      </c>
      <c r="G684" s="193">
        <v>96</v>
      </c>
      <c r="H684" s="231"/>
      <c r="I684" s="229">
        <f>ROUND(G684*C684,0)</f>
        <v>95869</v>
      </c>
      <c r="J684" s="193">
        <f>$J$604</f>
        <v>96</v>
      </c>
      <c r="K684" s="231"/>
      <c r="L684" s="229">
        <f>ROUND(J684*$C684,0)</f>
        <v>95869</v>
      </c>
      <c r="M684" s="229"/>
      <c r="N684" s="193">
        <f>$N$604</f>
        <v>96</v>
      </c>
      <c r="O684" s="231"/>
      <c r="P684" s="229">
        <f>ROUND(N684*$C684,0)</f>
        <v>95869</v>
      </c>
      <c r="Q684" s="229"/>
      <c r="R684" s="193" t="str">
        <f>$R$604</f>
        <v xml:space="preserve"> </v>
      </c>
      <c r="S684" s="231"/>
      <c r="T684" s="229">
        <f>ROUND(R684*$C684,0)</f>
        <v>0</v>
      </c>
      <c r="U684" s="229"/>
      <c r="V684" s="193" t="str">
        <f>$V$604</f>
        <v xml:space="preserve"> </v>
      </c>
      <c r="W684" s="231"/>
      <c r="X684" s="229">
        <f>ROUND(V684*$C684,0)</f>
        <v>0</v>
      </c>
      <c r="Y684" s="53"/>
      <c r="Z684" s="110"/>
      <c r="AA684" s="166"/>
      <c r="AB684" s="110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</row>
    <row r="685" spans="1:47" hidden="1">
      <c r="A685" s="231" t="s">
        <v>180</v>
      </c>
      <c r="B685" s="169"/>
      <c r="C685" s="227">
        <v>541.06666666666626</v>
      </c>
      <c r="D685" s="193">
        <v>192</v>
      </c>
      <c r="E685" s="233"/>
      <c r="F685" s="229">
        <f>ROUND(D685*$C685,0)</f>
        <v>103885</v>
      </c>
      <c r="G685" s="193">
        <v>192</v>
      </c>
      <c r="H685" s="233"/>
      <c r="I685" s="229">
        <f>ROUND(G685*C685,0)</f>
        <v>103885</v>
      </c>
      <c r="J685" s="193">
        <f>$J$605</f>
        <v>192</v>
      </c>
      <c r="K685" s="233"/>
      <c r="L685" s="229">
        <f>ROUND(J685*$C685,0)</f>
        <v>103885</v>
      </c>
      <c r="M685" s="229"/>
      <c r="N685" s="193">
        <f>$N$605</f>
        <v>192</v>
      </c>
      <c r="O685" s="233"/>
      <c r="P685" s="229">
        <f>ROUND(N685*$C685,0)</f>
        <v>103885</v>
      </c>
      <c r="Q685" s="229"/>
      <c r="R685" s="193" t="str">
        <f>$R$605</f>
        <v xml:space="preserve"> </v>
      </c>
      <c r="S685" s="233"/>
      <c r="T685" s="229">
        <f>ROUND(R685*$C685,0)</f>
        <v>0</v>
      </c>
      <c r="U685" s="229"/>
      <c r="V685" s="193" t="str">
        <f>$V$605</f>
        <v xml:space="preserve"> </v>
      </c>
      <c r="W685" s="233"/>
      <c r="X685" s="229">
        <f>ROUND(V685*$C685,0)</f>
        <v>0</v>
      </c>
      <c r="Y685" s="53"/>
      <c r="Z685" s="110"/>
      <c r="AA685" s="166"/>
      <c r="AB685" s="110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</row>
    <row r="686" spans="1:47" hidden="1">
      <c r="A686" s="231" t="s">
        <v>147</v>
      </c>
      <c r="B686" s="169"/>
      <c r="C686" s="227">
        <f>SUM(C683:C685)</f>
        <v>1587.8999999999992</v>
      </c>
      <c r="D686" s="193"/>
      <c r="E686" s="231"/>
      <c r="F686" s="229"/>
      <c r="G686" s="193"/>
      <c r="H686" s="231"/>
      <c r="I686" s="229"/>
      <c r="J686" s="193"/>
      <c r="K686" s="231"/>
      <c r="L686" s="229"/>
      <c r="M686" s="229"/>
      <c r="N686" s="193"/>
      <c r="O686" s="231"/>
      <c r="P686" s="229"/>
      <c r="Q686" s="229"/>
      <c r="R686" s="193"/>
      <c r="S686" s="231"/>
      <c r="T686" s="229"/>
      <c r="U686" s="229"/>
      <c r="V686" s="193"/>
      <c r="W686" s="231"/>
      <c r="X686" s="229"/>
      <c r="Y686" s="53"/>
      <c r="Z686" s="110"/>
      <c r="AA686" s="111"/>
      <c r="AB686" s="132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</row>
    <row r="687" spans="1:47" hidden="1">
      <c r="A687" s="231" t="s">
        <v>179</v>
      </c>
      <c r="B687" s="169"/>
      <c r="C687" s="227">
        <v>169859</v>
      </c>
      <c r="D687" s="193">
        <v>1.7</v>
      </c>
      <c r="E687" s="231" t="s">
        <v>0</v>
      </c>
      <c r="F687" s="229">
        <f>ROUND(D687*$C687,0)</f>
        <v>288760</v>
      </c>
      <c r="G687" s="193">
        <v>1.7</v>
      </c>
      <c r="H687" s="231" t="s">
        <v>0</v>
      </c>
      <c r="I687" s="229">
        <f t="shared" ref="I687:I688" si="186">ROUND(G687*C687,0)</f>
        <v>288760</v>
      </c>
      <c r="J687" s="193">
        <f>$J$607</f>
        <v>1.76</v>
      </c>
      <c r="K687" s="231" t="s">
        <v>0</v>
      </c>
      <c r="L687" s="229">
        <f>ROUND(J687*$C687,0)</f>
        <v>298952</v>
      </c>
      <c r="M687" s="229"/>
      <c r="N687" s="193">
        <f>$N$607</f>
        <v>1.76</v>
      </c>
      <c r="O687" s="231" t="s">
        <v>0</v>
      </c>
      <c r="P687" s="229">
        <f>ROUND(N687*$C687,0)</f>
        <v>298952</v>
      </c>
      <c r="Q687" s="229"/>
      <c r="R687" s="193" t="str">
        <f>$R$607</f>
        <v xml:space="preserve"> </v>
      </c>
      <c r="S687" s="231" t="s">
        <v>0</v>
      </c>
      <c r="T687" s="229">
        <f>ROUND(R687*$C687,0)</f>
        <v>0</v>
      </c>
      <c r="U687" s="229"/>
      <c r="V687" s="193" t="str">
        <f>$V$607</f>
        <v xml:space="preserve"> </v>
      </c>
      <c r="W687" s="231" t="s">
        <v>0</v>
      </c>
      <c r="X687" s="229">
        <f>ROUND(V687*$C687,0)</f>
        <v>0</v>
      </c>
      <c r="Y687" s="53"/>
      <c r="Z687" s="110"/>
      <c r="AA687" s="111"/>
      <c r="AB687" s="132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</row>
    <row r="688" spans="1:47" hidden="1">
      <c r="A688" s="231" t="s">
        <v>180</v>
      </c>
      <c r="B688" s="169"/>
      <c r="C688" s="227">
        <v>301914</v>
      </c>
      <c r="D688" s="193">
        <v>1.39</v>
      </c>
      <c r="E688" s="231" t="s">
        <v>0</v>
      </c>
      <c r="F688" s="229">
        <f>ROUND(D688*$C688,0)</f>
        <v>419660</v>
      </c>
      <c r="G688" s="193">
        <v>1.39</v>
      </c>
      <c r="H688" s="231" t="s">
        <v>0</v>
      </c>
      <c r="I688" s="229">
        <f t="shared" si="186"/>
        <v>419660</v>
      </c>
      <c r="J688" s="193">
        <f>$J$608</f>
        <v>1.44</v>
      </c>
      <c r="K688" s="231" t="s">
        <v>0</v>
      </c>
      <c r="L688" s="229">
        <f>ROUND(J688*$C688,0)</f>
        <v>434756</v>
      </c>
      <c r="M688" s="229"/>
      <c r="N688" s="193">
        <f>$N$608</f>
        <v>1.44</v>
      </c>
      <c r="O688" s="231" t="s">
        <v>0</v>
      </c>
      <c r="P688" s="229">
        <f>ROUND(N688*$C688,0)</f>
        <v>434756</v>
      </c>
      <c r="Q688" s="229"/>
      <c r="R688" s="193" t="str">
        <f>$R$608</f>
        <v xml:space="preserve"> </v>
      </c>
      <c r="S688" s="231" t="s">
        <v>0</v>
      </c>
      <c r="T688" s="229">
        <f>ROUND(R688*$C688,0)</f>
        <v>0</v>
      </c>
      <c r="U688" s="229"/>
      <c r="V688" s="193" t="str">
        <f>$V$608</f>
        <v xml:space="preserve"> </v>
      </c>
      <c r="W688" s="231" t="s">
        <v>0</v>
      </c>
      <c r="X688" s="229">
        <f>ROUND(V688*$C688,0)</f>
        <v>0</v>
      </c>
      <c r="Y688" s="53"/>
      <c r="Z688" s="110"/>
      <c r="AA688" s="166"/>
      <c r="AB688" s="110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</row>
    <row r="689" spans="1:47" hidden="1">
      <c r="A689" s="154" t="s">
        <v>181</v>
      </c>
      <c r="B689" s="169"/>
      <c r="C689" s="227"/>
      <c r="D689" s="200"/>
      <c r="E689" s="231"/>
      <c r="F689" s="229"/>
      <c r="G689" s="200"/>
      <c r="H689" s="231"/>
      <c r="I689" s="229"/>
      <c r="J689" s="200"/>
      <c r="K689" s="231"/>
      <c r="L689" s="229"/>
      <c r="M689" s="229"/>
      <c r="N689" s="200"/>
      <c r="O689" s="231"/>
      <c r="P689" s="229"/>
      <c r="Q689" s="229"/>
      <c r="R689" s="200"/>
      <c r="S689" s="231"/>
      <c r="T689" s="229"/>
      <c r="U689" s="229"/>
      <c r="V689" s="200"/>
      <c r="W689" s="231"/>
      <c r="X689" s="229"/>
      <c r="Y689" s="53"/>
      <c r="Z689" s="110"/>
      <c r="AA689" s="110"/>
      <c r="AB689" s="110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</row>
    <row r="690" spans="1:47" hidden="1">
      <c r="A690" s="154" t="s">
        <v>182</v>
      </c>
      <c r="B690" s="169"/>
      <c r="C690" s="227">
        <v>354299.5</v>
      </c>
      <c r="D690" s="193">
        <v>4.4400000000000004</v>
      </c>
      <c r="E690" s="231"/>
      <c r="F690" s="229">
        <f>ROUND(D690*$C690,0)</f>
        <v>1573090</v>
      </c>
      <c r="G690" s="193">
        <v>4.72</v>
      </c>
      <c r="H690" s="231"/>
      <c r="I690" s="229">
        <f t="shared" ref="I690:I691" si="187">ROUND(G690*C690,0)</f>
        <v>1672294</v>
      </c>
      <c r="J690" s="193">
        <f>$J$610</f>
        <v>5.37</v>
      </c>
      <c r="K690" s="231"/>
      <c r="L690" s="229">
        <f>ROUND(J690*$C690,0)</f>
        <v>1902588</v>
      </c>
      <c r="M690" s="229"/>
      <c r="N690" s="193">
        <f>$N$610</f>
        <v>0.84</v>
      </c>
      <c r="O690" s="231"/>
      <c r="P690" s="229">
        <f>ROUND(N690*$C690,0)</f>
        <v>297612</v>
      </c>
      <c r="Q690" s="229"/>
      <c r="R690" s="193">
        <f>$R$610</f>
        <v>0.9</v>
      </c>
      <c r="S690" s="231"/>
      <c r="T690" s="229">
        <f>ROUND(R690*$C690,0)</f>
        <v>318870</v>
      </c>
      <c r="U690" s="229"/>
      <c r="V690" s="193">
        <f>$V$610</f>
        <v>3.63</v>
      </c>
      <c r="W690" s="231"/>
      <c r="X690" s="229">
        <f>ROUND(V690*$C690,0)</f>
        <v>1286107</v>
      </c>
      <c r="Y690" s="53"/>
      <c r="Z690" s="110"/>
      <c r="AA690" s="110"/>
      <c r="AB690" s="110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</row>
    <row r="691" spans="1:47" hidden="1">
      <c r="A691" s="154" t="s">
        <v>198</v>
      </c>
      <c r="B691" s="169"/>
      <c r="C691" s="227">
        <v>942.33333333333303</v>
      </c>
      <c r="D691" s="296">
        <v>4.4400000000000004</v>
      </c>
      <c r="E691" s="231"/>
      <c r="F691" s="229">
        <f>ROUND(D691*$C691,0)</f>
        <v>4184</v>
      </c>
      <c r="G691" s="296">
        <v>4.72</v>
      </c>
      <c r="H691" s="231"/>
      <c r="I691" s="229">
        <f t="shared" si="187"/>
        <v>4448</v>
      </c>
      <c r="J691" s="296">
        <f>J690</f>
        <v>5.37</v>
      </c>
      <c r="K691" s="231"/>
      <c r="L691" s="229">
        <f>ROUND(J691*$C691,0)</f>
        <v>5060</v>
      </c>
      <c r="M691" s="229"/>
      <c r="N691" s="296">
        <f>N690</f>
        <v>0.84</v>
      </c>
      <c r="O691" s="231"/>
      <c r="P691" s="229">
        <f>ROUND(N691*$C691,0)</f>
        <v>792</v>
      </c>
      <c r="Q691" s="229"/>
      <c r="R691" s="296">
        <f>R690</f>
        <v>0.9</v>
      </c>
      <c r="S691" s="231"/>
      <c r="T691" s="229">
        <f>ROUND(R691*$C691,0)</f>
        <v>848</v>
      </c>
      <c r="U691" s="229"/>
      <c r="V691" s="296">
        <f>V690</f>
        <v>3.63</v>
      </c>
      <c r="W691" s="231"/>
      <c r="X691" s="229">
        <f>ROUND(V691*$C691,0)</f>
        <v>3421</v>
      </c>
      <c r="Y691" s="53"/>
      <c r="Z691" s="110"/>
      <c r="AA691" s="110"/>
      <c r="AB691" s="110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</row>
    <row r="692" spans="1:47" hidden="1">
      <c r="A692" s="231" t="s">
        <v>183</v>
      </c>
      <c r="B692" s="169"/>
      <c r="C692" s="227"/>
      <c r="D692" s="193"/>
      <c r="E692" s="231"/>
      <c r="F692" s="229"/>
      <c r="G692" s="193"/>
      <c r="H692" s="231"/>
      <c r="I692" s="229"/>
      <c r="J692" s="193"/>
      <c r="K692" s="231"/>
      <c r="L692" s="229"/>
      <c r="M692" s="229"/>
      <c r="N692" s="193"/>
      <c r="O692" s="231"/>
      <c r="P692" s="229"/>
      <c r="Q692" s="229"/>
      <c r="R692" s="193"/>
      <c r="S692" s="231"/>
      <c r="T692" s="229"/>
      <c r="U692" s="229"/>
      <c r="V692" s="193"/>
      <c r="W692" s="231"/>
      <c r="X692" s="229"/>
      <c r="Y692" s="53"/>
      <c r="Z692" s="110"/>
      <c r="AA692" s="110"/>
      <c r="AB692" s="110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</row>
    <row r="693" spans="1:47" hidden="1">
      <c r="A693" s="231" t="s">
        <v>184</v>
      </c>
      <c r="B693" s="169"/>
      <c r="C693" s="227">
        <v>43824556.333333328</v>
      </c>
      <c r="D693" s="311">
        <v>5.2919999999999998</v>
      </c>
      <c r="E693" s="231" t="s">
        <v>107</v>
      </c>
      <c r="F693" s="229">
        <f>ROUND(D693*$C693/100,0)</f>
        <v>2319196</v>
      </c>
      <c r="G693" s="311">
        <v>5.6289999999999996</v>
      </c>
      <c r="H693" s="231" t="s">
        <v>107</v>
      </c>
      <c r="I693" s="229">
        <f>ROUND(G693*C693/100,0)</f>
        <v>2466884</v>
      </c>
      <c r="J693" s="297">
        <f>$J$613</f>
        <v>5.6790000000000003</v>
      </c>
      <c r="K693" s="231" t="s">
        <v>107</v>
      </c>
      <c r="L693" s="229">
        <f>ROUND(J693*$C693/100,0)</f>
        <v>2488797</v>
      </c>
      <c r="M693" s="229"/>
      <c r="N693" s="297" t="str">
        <f>$N$613</f>
        <v xml:space="preserve"> </v>
      </c>
      <c r="O693" s="231" t="s">
        <v>107</v>
      </c>
      <c r="P693" s="229">
        <f>ROUND(N693*$C693/100,0)</f>
        <v>0</v>
      </c>
      <c r="Q693" s="229"/>
      <c r="R693" s="297">
        <f>$R$613</f>
        <v>1.125</v>
      </c>
      <c r="S693" s="231" t="s">
        <v>107</v>
      </c>
      <c r="T693" s="229">
        <f>ROUND(R693*$C693/100,0)</f>
        <v>493026</v>
      </c>
      <c r="U693" s="229"/>
      <c r="V693" s="297">
        <f>$V$613</f>
        <v>4.5540000000000003</v>
      </c>
      <c r="W693" s="231" t="s">
        <v>107</v>
      </c>
      <c r="X693" s="229">
        <f>ROUND(V693*$C693/100,0)</f>
        <v>1995770</v>
      </c>
      <c r="Y693" s="53"/>
      <c r="Z693" s="110"/>
      <c r="AA693" s="110"/>
      <c r="AB693" s="110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</row>
    <row r="694" spans="1:47" hidden="1">
      <c r="A694" s="231" t="s">
        <v>151</v>
      </c>
      <c r="B694" s="169"/>
      <c r="C694" s="227">
        <v>61783202.666666672</v>
      </c>
      <c r="D694" s="311">
        <v>4.8499999999999996</v>
      </c>
      <c r="E694" s="231" t="s">
        <v>107</v>
      </c>
      <c r="F694" s="229">
        <f>ROUND(D694*$C694/100,0)</f>
        <v>2996485</v>
      </c>
      <c r="G694" s="311">
        <v>5.157</v>
      </c>
      <c r="H694" s="231" t="s">
        <v>107</v>
      </c>
      <c r="I694" s="229">
        <f t="shared" ref="I694:I695" si="188">ROUND(G694*C694/100,0)</f>
        <v>3186160</v>
      </c>
      <c r="J694" s="297">
        <f>$J$614</f>
        <v>5.2</v>
      </c>
      <c r="K694" s="231" t="s">
        <v>107</v>
      </c>
      <c r="L694" s="229">
        <f>ROUND(J694*$C694/100,0)</f>
        <v>3212727</v>
      </c>
      <c r="M694" s="229"/>
      <c r="N694" s="297" t="str">
        <f>$N$614</f>
        <v xml:space="preserve"> </v>
      </c>
      <c r="O694" s="231" t="s">
        <v>107</v>
      </c>
      <c r="P694" s="229">
        <f>ROUND(N694*$C694/100,0)</f>
        <v>0</v>
      </c>
      <c r="Q694" s="229"/>
      <c r="R694" s="297">
        <f>$R$614</f>
        <v>1.03</v>
      </c>
      <c r="S694" s="231" t="s">
        <v>107</v>
      </c>
      <c r="T694" s="229">
        <f>ROUND(R694*$C694/100,0)</f>
        <v>636367</v>
      </c>
      <c r="U694" s="229"/>
      <c r="V694" s="297">
        <f>$V$614</f>
        <v>4.17</v>
      </c>
      <c r="W694" s="231" t="s">
        <v>107</v>
      </c>
      <c r="X694" s="229">
        <f>ROUND(V694*$C694/100,0)</f>
        <v>2576360</v>
      </c>
      <c r="Y694" s="53"/>
      <c r="Z694" s="110"/>
      <c r="AA694" s="110"/>
      <c r="AB694" s="110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</row>
    <row r="695" spans="1:47" hidden="1">
      <c r="A695" s="231" t="s">
        <v>152</v>
      </c>
      <c r="B695" s="169"/>
      <c r="C695" s="227">
        <v>110811.9666666667</v>
      </c>
      <c r="D695" s="312">
        <v>56</v>
      </c>
      <c r="E695" s="231" t="s">
        <v>107</v>
      </c>
      <c r="F695" s="229">
        <f>ROUND(D695*$C695/100,0)</f>
        <v>62055</v>
      </c>
      <c r="G695" s="312">
        <v>56</v>
      </c>
      <c r="H695" s="231" t="s">
        <v>107</v>
      </c>
      <c r="I695" s="229">
        <f t="shared" si="188"/>
        <v>62055</v>
      </c>
      <c r="J695" s="313">
        <f>$J$615</f>
        <v>56</v>
      </c>
      <c r="K695" s="231" t="s">
        <v>107</v>
      </c>
      <c r="L695" s="229">
        <f>ROUND(J695*$C695/100,0)</f>
        <v>62055</v>
      </c>
      <c r="M695" s="229"/>
      <c r="N695" s="313" t="str">
        <f>$N$615</f>
        <v xml:space="preserve"> </v>
      </c>
      <c r="O695" s="231" t="s">
        <v>107</v>
      </c>
      <c r="P695" s="229">
        <f>ROUND(N695*$C695/100,0)</f>
        <v>0</v>
      </c>
      <c r="Q695" s="229"/>
      <c r="R695" s="313">
        <f>$R$615</f>
        <v>11</v>
      </c>
      <c r="S695" s="231" t="s">
        <v>107</v>
      </c>
      <c r="T695" s="229">
        <f>ROUND(R695*$C695/100,0)</f>
        <v>12189</v>
      </c>
      <c r="U695" s="229"/>
      <c r="V695" s="313">
        <f>$V$615</f>
        <v>45</v>
      </c>
      <c r="W695" s="231" t="s">
        <v>107</v>
      </c>
      <c r="X695" s="229">
        <f>ROUND(V695*$C695/100,0)</f>
        <v>49865</v>
      </c>
      <c r="Y695" s="53"/>
      <c r="Z695" s="110"/>
      <c r="AA695" s="110"/>
      <c r="AB695" s="110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</row>
    <row r="696" spans="1:47" s="141" customFormat="1" hidden="1">
      <c r="A696" s="140" t="s">
        <v>186</v>
      </c>
      <c r="C696" s="142">
        <f>C693</f>
        <v>43824556.333333328</v>
      </c>
      <c r="D696" s="138"/>
      <c r="E696" s="143"/>
      <c r="F696" s="144"/>
      <c r="G696" s="138"/>
      <c r="H696" s="143"/>
      <c r="I696" s="144"/>
      <c r="J696" s="145">
        <f>J616</f>
        <v>0</v>
      </c>
      <c r="K696" s="283" t="s">
        <v>107</v>
      </c>
      <c r="L696" s="283">
        <f t="shared" ref="L696:L697" si="189">ROUND(J696*$C696/100,0)</f>
        <v>0</v>
      </c>
      <c r="M696" s="283"/>
      <c r="N696" s="145" t="str">
        <f>N616</f>
        <v xml:space="preserve"> </v>
      </c>
      <c r="O696" s="283" t="s">
        <v>107</v>
      </c>
      <c r="P696" s="283">
        <f t="shared" ref="P696:P697" si="190">ROUND(N696*$C696/100,0)</f>
        <v>0</v>
      </c>
      <c r="Q696" s="283"/>
      <c r="R696" s="145" t="str">
        <f>R616</f>
        <v xml:space="preserve"> </v>
      </c>
      <c r="S696" s="283" t="s">
        <v>107</v>
      </c>
      <c r="T696" s="283">
        <f t="shared" ref="T696:T697" si="191">ROUND(R696*$C696/100,0)</f>
        <v>0</v>
      </c>
      <c r="U696" s="283"/>
      <c r="V696" s="145">
        <f>V616</f>
        <v>0</v>
      </c>
      <c r="W696" s="283" t="s">
        <v>107</v>
      </c>
      <c r="X696" s="283">
        <f t="shared" ref="X696:X697" si="192">ROUND(V696*$C696/100,0)</f>
        <v>0</v>
      </c>
      <c r="Z696" s="132"/>
      <c r="AC696" s="148"/>
      <c r="AD696" s="148"/>
      <c r="AI696" s="143"/>
      <c r="AJ696" s="143"/>
      <c r="AK696" s="143"/>
      <c r="AL696" s="143"/>
      <c r="AM696" s="143"/>
      <c r="AN696" s="143"/>
      <c r="AO696" s="143"/>
      <c r="AP696" s="143"/>
      <c r="AQ696" s="143"/>
      <c r="AR696" s="143"/>
      <c r="AS696" s="143"/>
      <c r="AU696" s="147"/>
    </row>
    <row r="697" spans="1:47" s="141" customFormat="1" hidden="1">
      <c r="A697" s="140" t="s">
        <v>187</v>
      </c>
      <c r="C697" s="142">
        <f>C694</f>
        <v>61783202.666666672</v>
      </c>
      <c r="D697" s="138"/>
      <c r="E697" s="143"/>
      <c r="F697" s="144"/>
      <c r="G697" s="138"/>
      <c r="H697" s="143"/>
      <c r="I697" s="144"/>
      <c r="J697" s="145">
        <f>J617</f>
        <v>0</v>
      </c>
      <c r="K697" s="283" t="s">
        <v>107</v>
      </c>
      <c r="L697" s="283">
        <f t="shared" si="189"/>
        <v>0</v>
      </c>
      <c r="M697" s="283"/>
      <c r="N697" s="145" t="str">
        <f>N617</f>
        <v xml:space="preserve"> </v>
      </c>
      <c r="O697" s="283" t="s">
        <v>107</v>
      </c>
      <c r="P697" s="283">
        <f t="shared" si="190"/>
        <v>0</v>
      </c>
      <c r="Q697" s="283"/>
      <c r="R697" s="145" t="str">
        <f>R617</f>
        <v xml:space="preserve"> </v>
      </c>
      <c r="S697" s="283" t="s">
        <v>107</v>
      </c>
      <c r="T697" s="283">
        <f t="shared" si="191"/>
        <v>0</v>
      </c>
      <c r="U697" s="283"/>
      <c r="V697" s="145">
        <f>V617</f>
        <v>0</v>
      </c>
      <c r="W697" s="283" t="s">
        <v>107</v>
      </c>
      <c r="X697" s="283">
        <f t="shared" si="192"/>
        <v>0</v>
      </c>
      <c r="Z697" s="132"/>
      <c r="AC697" s="148"/>
      <c r="AD697" s="148"/>
      <c r="AI697" s="143"/>
      <c r="AJ697" s="143"/>
      <c r="AK697" s="143"/>
      <c r="AL697" s="143"/>
      <c r="AM697" s="143"/>
      <c r="AN697" s="143"/>
      <c r="AO697" s="143"/>
      <c r="AP697" s="143"/>
      <c r="AQ697" s="143"/>
      <c r="AR697" s="143"/>
      <c r="AS697" s="143"/>
      <c r="AU697" s="147"/>
    </row>
    <row r="698" spans="1:47" hidden="1">
      <c r="A698" s="284" t="s">
        <v>159</v>
      </c>
      <c r="B698" s="169"/>
      <c r="C698" s="227"/>
      <c r="D698" s="245">
        <v>-0.01</v>
      </c>
      <c r="E698" s="131"/>
      <c r="F698" s="229"/>
      <c r="G698" s="245">
        <v>-0.01</v>
      </c>
      <c r="H698" s="169"/>
      <c r="I698" s="229"/>
      <c r="J698" s="245">
        <v>-0.01</v>
      </c>
      <c r="K698" s="169"/>
      <c r="L698" s="229"/>
      <c r="M698" s="229"/>
      <c r="N698" s="245">
        <v>-0.01</v>
      </c>
      <c r="O698" s="169"/>
      <c r="P698" s="229"/>
      <c r="Q698" s="229"/>
      <c r="R698" s="245">
        <v>-0.01</v>
      </c>
      <c r="S698" s="169"/>
      <c r="T698" s="229"/>
      <c r="U698" s="229"/>
      <c r="V698" s="245">
        <v>-0.01</v>
      </c>
      <c r="W698" s="169"/>
      <c r="X698" s="229"/>
      <c r="Y698" s="53"/>
      <c r="Z698" s="110"/>
      <c r="AA698" s="110"/>
      <c r="AB698" s="110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</row>
    <row r="699" spans="1:47" hidden="1">
      <c r="A699" s="231" t="s">
        <v>178</v>
      </c>
      <c r="B699" s="169"/>
      <c r="C699" s="227">
        <v>0</v>
      </c>
      <c r="D699" s="200">
        <v>259</v>
      </c>
      <c r="E699" s="292"/>
      <c r="F699" s="229">
        <f>ROUND(D699*$C699*D698,0)</f>
        <v>0</v>
      </c>
      <c r="G699" s="200">
        <v>259</v>
      </c>
      <c r="H699" s="188"/>
      <c r="I699" s="229">
        <f>ROUND(G699*C699*$G$660,0)</f>
        <v>0</v>
      </c>
      <c r="J699" s="200">
        <f>J683</f>
        <v>259</v>
      </c>
      <c r="K699" s="188"/>
      <c r="L699" s="229">
        <f>ROUND(J699*$C699*J698,0)</f>
        <v>0</v>
      </c>
      <c r="M699" s="229"/>
      <c r="N699" s="200">
        <f>N683</f>
        <v>259</v>
      </c>
      <c r="O699" s="188"/>
      <c r="P699" s="229">
        <f>ROUND(N699*$C699*N698,0)</f>
        <v>0</v>
      </c>
      <c r="Q699" s="229"/>
      <c r="R699" s="200" t="str">
        <f>R683</f>
        <v xml:space="preserve"> </v>
      </c>
      <c r="S699" s="188"/>
      <c r="T699" s="229">
        <f>ROUND(R699*$C699*R698,0)</f>
        <v>0</v>
      </c>
      <c r="U699" s="229"/>
      <c r="V699" s="200" t="str">
        <f>V683</f>
        <v xml:space="preserve"> </v>
      </c>
      <c r="W699" s="188"/>
      <c r="X699" s="229">
        <f>ROUND(V699*$C699*V698,0)</f>
        <v>0</v>
      </c>
      <c r="Y699" s="53"/>
      <c r="Z699" s="110"/>
      <c r="AA699" s="110"/>
      <c r="AB699" s="110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</row>
    <row r="700" spans="1:47" hidden="1">
      <c r="A700" s="231" t="s">
        <v>179</v>
      </c>
      <c r="B700" s="169"/>
      <c r="C700" s="227">
        <v>21</v>
      </c>
      <c r="D700" s="200">
        <v>96</v>
      </c>
      <c r="E700" s="292"/>
      <c r="F700" s="229">
        <f>ROUND(D700*$C700*D698,0)</f>
        <v>-20</v>
      </c>
      <c r="G700" s="200">
        <v>96</v>
      </c>
      <c r="H700" s="188"/>
      <c r="I700" s="229">
        <f t="shared" ref="I700:I705" si="193">ROUND(G700*C700*$G$660,0)</f>
        <v>-20</v>
      </c>
      <c r="J700" s="200">
        <f>J684</f>
        <v>96</v>
      </c>
      <c r="K700" s="188"/>
      <c r="L700" s="229">
        <f>ROUND(J700*$C700*J698,0)</f>
        <v>-20</v>
      </c>
      <c r="M700" s="229"/>
      <c r="N700" s="200">
        <f>N684</f>
        <v>96</v>
      </c>
      <c r="O700" s="188"/>
      <c r="P700" s="229">
        <f>ROUND(N700*$C700*N698,0)</f>
        <v>-20</v>
      </c>
      <c r="Q700" s="229"/>
      <c r="R700" s="200" t="str">
        <f>R684</f>
        <v xml:space="preserve"> </v>
      </c>
      <c r="S700" s="188"/>
      <c r="T700" s="229">
        <f>ROUND(R700*$C700*R698,0)</f>
        <v>0</v>
      </c>
      <c r="U700" s="229"/>
      <c r="V700" s="200" t="str">
        <f>V684</f>
        <v xml:space="preserve"> </v>
      </c>
      <c r="W700" s="188"/>
      <c r="X700" s="229">
        <f>ROUND(V700*$C700*V698,0)</f>
        <v>0</v>
      </c>
      <c r="Y700" s="53"/>
      <c r="Z700" s="110"/>
      <c r="AA700" s="110"/>
      <c r="AB700" s="110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</row>
    <row r="701" spans="1:47" hidden="1">
      <c r="A701" s="231" t="s">
        <v>180</v>
      </c>
      <c r="B701" s="169"/>
      <c r="C701" s="227">
        <v>0</v>
      </c>
      <c r="D701" s="200">
        <v>192</v>
      </c>
      <c r="E701" s="301"/>
      <c r="F701" s="229">
        <f>ROUND(D701*$C701*D698,0)</f>
        <v>0</v>
      </c>
      <c r="G701" s="200">
        <v>192</v>
      </c>
      <c r="H701" s="302"/>
      <c r="I701" s="229">
        <f t="shared" si="193"/>
        <v>0</v>
      </c>
      <c r="J701" s="200">
        <f>J685</f>
        <v>192</v>
      </c>
      <c r="K701" s="302"/>
      <c r="L701" s="229">
        <f>ROUND(J701*$C701*J698,0)</f>
        <v>0</v>
      </c>
      <c r="M701" s="229"/>
      <c r="N701" s="200">
        <f>N685</f>
        <v>192</v>
      </c>
      <c r="O701" s="302"/>
      <c r="P701" s="229">
        <f>ROUND(N701*$C701*N698,0)</f>
        <v>0</v>
      </c>
      <c r="Q701" s="229"/>
      <c r="R701" s="200" t="str">
        <f>R685</f>
        <v xml:space="preserve"> </v>
      </c>
      <c r="S701" s="302"/>
      <c r="T701" s="229">
        <f>ROUND(R701*$C701*R698,0)</f>
        <v>0</v>
      </c>
      <c r="U701" s="229"/>
      <c r="V701" s="200" t="str">
        <f>V685</f>
        <v xml:space="preserve"> </v>
      </c>
      <c r="W701" s="302"/>
      <c r="X701" s="229">
        <f>ROUND(V701*$C701*V698,0)</f>
        <v>0</v>
      </c>
      <c r="Y701" s="53"/>
      <c r="Z701" s="110"/>
      <c r="AA701" s="110"/>
      <c r="AB701" s="110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</row>
    <row r="702" spans="1:47" hidden="1">
      <c r="A702" s="231" t="s">
        <v>179</v>
      </c>
      <c r="B702" s="169"/>
      <c r="C702" s="227">
        <v>2337</v>
      </c>
      <c r="D702" s="200">
        <v>1.7</v>
      </c>
      <c r="E702" s="292"/>
      <c r="F702" s="229">
        <f>ROUND(D702*$C702*D698,0)</f>
        <v>-40</v>
      </c>
      <c r="G702" s="200">
        <v>1.7</v>
      </c>
      <c r="H702" s="188"/>
      <c r="I702" s="229">
        <f t="shared" si="193"/>
        <v>-40</v>
      </c>
      <c r="J702" s="200">
        <f>J687</f>
        <v>1.76</v>
      </c>
      <c r="K702" s="188"/>
      <c r="L702" s="229">
        <f>ROUND(J702*$C702*J698,0)</f>
        <v>-41</v>
      </c>
      <c r="M702" s="229"/>
      <c r="N702" s="200">
        <f>N687</f>
        <v>1.76</v>
      </c>
      <c r="O702" s="188"/>
      <c r="P702" s="229">
        <f>ROUND(N702*$C702*N698,0)</f>
        <v>-41</v>
      </c>
      <c r="Q702" s="229"/>
      <c r="R702" s="200" t="str">
        <f>R687</f>
        <v xml:space="preserve"> </v>
      </c>
      <c r="S702" s="188"/>
      <c r="T702" s="229">
        <f>ROUND(R702*$C702*R698,0)</f>
        <v>0</v>
      </c>
      <c r="U702" s="229"/>
      <c r="V702" s="200" t="str">
        <f>V687</f>
        <v xml:space="preserve"> </v>
      </c>
      <c r="W702" s="188"/>
      <c r="X702" s="229">
        <f>ROUND(V702*$C702*V698,0)</f>
        <v>0</v>
      </c>
      <c r="Y702" s="53"/>
      <c r="Z702" s="110"/>
      <c r="AA702" s="110"/>
      <c r="AB702" s="110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</row>
    <row r="703" spans="1:47" hidden="1">
      <c r="A703" s="231" t="s">
        <v>180</v>
      </c>
      <c r="B703" s="169"/>
      <c r="C703" s="227">
        <v>0</v>
      </c>
      <c r="D703" s="200">
        <v>1.39</v>
      </c>
      <c r="E703" s="292" t="s">
        <v>0</v>
      </c>
      <c r="F703" s="229">
        <f>ROUND(D703*$C703*D698,0)</f>
        <v>0</v>
      </c>
      <c r="G703" s="200">
        <v>1.39</v>
      </c>
      <c r="H703" s="188"/>
      <c r="I703" s="229">
        <f t="shared" si="193"/>
        <v>0</v>
      </c>
      <c r="J703" s="200">
        <f>J688</f>
        <v>1.44</v>
      </c>
      <c r="K703" s="188"/>
      <c r="L703" s="229">
        <f>ROUND(J703*$C703*J698,0)</f>
        <v>0</v>
      </c>
      <c r="M703" s="229"/>
      <c r="N703" s="200">
        <f>N688</f>
        <v>1.44</v>
      </c>
      <c r="O703" s="188"/>
      <c r="P703" s="229">
        <f>ROUND(N703*$C703*N698,0)</f>
        <v>0</v>
      </c>
      <c r="Q703" s="229"/>
      <c r="R703" s="200" t="str">
        <f>R688</f>
        <v xml:space="preserve"> </v>
      </c>
      <c r="S703" s="188"/>
      <c r="T703" s="229">
        <f>ROUND(R703*$C703*R698,0)</f>
        <v>0</v>
      </c>
      <c r="U703" s="229"/>
      <c r="V703" s="200" t="str">
        <f>V688</f>
        <v xml:space="preserve"> </v>
      </c>
      <c r="W703" s="188"/>
      <c r="X703" s="229">
        <f>ROUND(V703*$C703*V698,0)</f>
        <v>0</v>
      </c>
      <c r="Y703" s="53"/>
      <c r="Z703" s="110"/>
      <c r="AA703" s="110"/>
      <c r="AB703" s="110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</row>
    <row r="704" spans="1:47" hidden="1">
      <c r="A704" s="154" t="s">
        <v>182</v>
      </c>
      <c r="B704" s="169"/>
      <c r="C704" s="227">
        <v>1987.5</v>
      </c>
      <c r="D704" s="200">
        <v>4.4400000000000004</v>
      </c>
      <c r="E704" s="292" t="s">
        <v>0</v>
      </c>
      <c r="F704" s="229">
        <f>ROUND(D704*$C704*D698,0)</f>
        <v>-88</v>
      </c>
      <c r="G704" s="200">
        <v>4.72</v>
      </c>
      <c r="H704" s="188"/>
      <c r="I704" s="229">
        <f t="shared" si="193"/>
        <v>-94</v>
      </c>
      <c r="J704" s="200">
        <f>J690</f>
        <v>5.37</v>
      </c>
      <c r="K704" s="188"/>
      <c r="L704" s="229">
        <f>ROUND(J704*$C704*J698,0)</f>
        <v>-107</v>
      </c>
      <c r="M704" s="229"/>
      <c r="N704" s="200">
        <f>N690</f>
        <v>0.84</v>
      </c>
      <c r="O704" s="188"/>
      <c r="P704" s="229">
        <f>ROUND(N704*$C704*N698,0)</f>
        <v>-17</v>
      </c>
      <c r="Q704" s="229"/>
      <c r="R704" s="200">
        <f>R690</f>
        <v>0.9</v>
      </c>
      <c r="S704" s="188"/>
      <c r="T704" s="229">
        <f>ROUND(R704*$C704*R698,0)</f>
        <v>-18</v>
      </c>
      <c r="U704" s="229"/>
      <c r="V704" s="200">
        <f>V690</f>
        <v>3.63</v>
      </c>
      <c r="W704" s="188"/>
      <c r="X704" s="229">
        <f>ROUND(V704*$C704*V698,0)</f>
        <v>-72</v>
      </c>
      <c r="Y704" s="53"/>
      <c r="Z704" s="110"/>
      <c r="AA704" s="110"/>
      <c r="AB704" s="110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</row>
    <row r="705" spans="1:47" hidden="1">
      <c r="A705" s="154" t="s">
        <v>198</v>
      </c>
      <c r="B705" s="169"/>
      <c r="C705" s="227">
        <v>0</v>
      </c>
      <c r="D705" s="200">
        <v>4.4400000000000004</v>
      </c>
      <c r="E705" s="292" t="s">
        <v>0</v>
      </c>
      <c r="F705" s="229">
        <f>ROUND(D705*$C705*D698,0)</f>
        <v>0</v>
      </c>
      <c r="G705" s="200">
        <v>4.72</v>
      </c>
      <c r="H705" s="188"/>
      <c r="I705" s="229">
        <f t="shared" si="193"/>
        <v>0</v>
      </c>
      <c r="J705" s="200">
        <f>J691</f>
        <v>5.37</v>
      </c>
      <c r="K705" s="188"/>
      <c r="L705" s="229">
        <f>ROUND(J705*$C705*J698,0)</f>
        <v>0</v>
      </c>
      <c r="M705" s="229"/>
      <c r="N705" s="200">
        <f>N691</f>
        <v>0.84</v>
      </c>
      <c r="O705" s="188"/>
      <c r="P705" s="229">
        <f>ROUND(N705*$C705*N698,0)</f>
        <v>0</v>
      </c>
      <c r="Q705" s="229"/>
      <c r="R705" s="200">
        <f>R691</f>
        <v>0.9</v>
      </c>
      <c r="S705" s="188"/>
      <c r="T705" s="229">
        <f>ROUND(R705*$C705*R698,0)</f>
        <v>0</v>
      </c>
      <c r="U705" s="229"/>
      <c r="V705" s="200">
        <f>V691</f>
        <v>3.63</v>
      </c>
      <c r="W705" s="188"/>
      <c r="X705" s="229">
        <f>ROUND(V705*$C705*V698,0)</f>
        <v>0</v>
      </c>
      <c r="Y705" s="53"/>
      <c r="Z705" s="110"/>
      <c r="AA705" s="110"/>
      <c r="AB705" s="110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</row>
    <row r="706" spans="1:47" hidden="1">
      <c r="A706" s="231" t="s">
        <v>184</v>
      </c>
      <c r="B706" s="169"/>
      <c r="C706" s="227">
        <v>734400</v>
      </c>
      <c r="D706" s="287">
        <v>5.2939999999999996</v>
      </c>
      <c r="E706" s="229" t="s">
        <v>107</v>
      </c>
      <c r="F706" s="229">
        <f>ROUND(D706*$C706/100*D698,0)</f>
        <v>-389</v>
      </c>
      <c r="G706" s="287">
        <v>5.6289999999999996</v>
      </c>
      <c r="H706" s="231" t="s">
        <v>107</v>
      </c>
      <c r="I706" s="229">
        <f>ROUND(G706*C706/100*$G$660,0)</f>
        <v>-413</v>
      </c>
      <c r="J706" s="287">
        <f>J693</f>
        <v>5.6790000000000003</v>
      </c>
      <c r="K706" s="231" t="s">
        <v>107</v>
      </c>
      <c r="L706" s="229">
        <f>ROUND(J706*$C706/100*J698,0)</f>
        <v>-417</v>
      </c>
      <c r="M706" s="229"/>
      <c r="N706" s="287" t="str">
        <f>N693</f>
        <v xml:space="preserve"> </v>
      </c>
      <c r="O706" s="231" t="s">
        <v>107</v>
      </c>
      <c r="P706" s="229">
        <f>ROUND(N706*$C706/100*N698,0)</f>
        <v>0</v>
      </c>
      <c r="Q706" s="229"/>
      <c r="R706" s="287">
        <f>R693</f>
        <v>1.125</v>
      </c>
      <c r="S706" s="231" t="s">
        <v>107</v>
      </c>
      <c r="T706" s="229">
        <f>ROUND(R706*$C706/100*R698,0)</f>
        <v>-83</v>
      </c>
      <c r="U706" s="229"/>
      <c r="V706" s="287">
        <f>V693</f>
        <v>4.5540000000000003</v>
      </c>
      <c r="W706" s="231" t="s">
        <v>107</v>
      </c>
      <c r="X706" s="229">
        <f>ROUND(V706*$C706/100*V698,0)</f>
        <v>-334</v>
      </c>
      <c r="Y706" s="53"/>
      <c r="Z706" s="110"/>
      <c r="AA706" s="110"/>
      <c r="AB706" s="110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</row>
    <row r="707" spans="1:47" hidden="1">
      <c r="A707" s="231" t="s">
        <v>151</v>
      </c>
      <c r="B707" s="169"/>
      <c r="C707" s="227">
        <v>232800</v>
      </c>
      <c r="D707" s="287">
        <v>4.8520000000000003</v>
      </c>
      <c r="E707" s="229" t="s">
        <v>107</v>
      </c>
      <c r="F707" s="229">
        <f>ROUND(D707*$C707/100*D698,0)</f>
        <v>-113</v>
      </c>
      <c r="G707" s="287">
        <v>5.157</v>
      </c>
      <c r="H707" s="231" t="s">
        <v>107</v>
      </c>
      <c r="I707" s="229">
        <f>ROUND(G707*C707/100*$G$660,0)</f>
        <v>-120</v>
      </c>
      <c r="J707" s="287">
        <f>J694</f>
        <v>5.2</v>
      </c>
      <c r="K707" s="231" t="s">
        <v>107</v>
      </c>
      <c r="L707" s="229">
        <f>ROUND(J707*$C707/100*J698,0)</f>
        <v>-121</v>
      </c>
      <c r="M707" s="229"/>
      <c r="N707" s="287" t="str">
        <f>N694</f>
        <v xml:space="preserve"> </v>
      </c>
      <c r="O707" s="231" t="s">
        <v>107</v>
      </c>
      <c r="P707" s="229">
        <f>ROUND(N707*$C707/100*N698,0)</f>
        <v>0</v>
      </c>
      <c r="Q707" s="229"/>
      <c r="R707" s="287">
        <f>R694</f>
        <v>1.03</v>
      </c>
      <c r="S707" s="231" t="s">
        <v>107</v>
      </c>
      <c r="T707" s="229">
        <f>ROUND(R707*$C707/100*R698,0)</f>
        <v>-24</v>
      </c>
      <c r="U707" s="229"/>
      <c r="V707" s="287">
        <f>V694</f>
        <v>4.17</v>
      </c>
      <c r="W707" s="231" t="s">
        <v>107</v>
      </c>
      <c r="X707" s="229">
        <f>ROUND(V707*$C707/100*V698,0)</f>
        <v>-97</v>
      </c>
      <c r="Y707" s="53"/>
      <c r="Z707" s="110"/>
      <c r="AA707" s="110"/>
      <c r="AB707" s="110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</row>
    <row r="708" spans="1:47" hidden="1">
      <c r="A708" s="231" t="s">
        <v>152</v>
      </c>
      <c r="B708" s="169"/>
      <c r="C708" s="227">
        <v>1162</v>
      </c>
      <c r="D708" s="289">
        <v>56</v>
      </c>
      <c r="E708" s="229" t="s">
        <v>107</v>
      </c>
      <c r="F708" s="229">
        <f>ROUND(D708*$C708/100*D698,0)</f>
        <v>-7</v>
      </c>
      <c r="G708" s="289">
        <v>56</v>
      </c>
      <c r="H708" s="231" t="s">
        <v>107</v>
      </c>
      <c r="I708" s="229">
        <f>ROUND(G708*C708/100*$G$660,0)</f>
        <v>-7</v>
      </c>
      <c r="J708" s="289">
        <f>J695</f>
        <v>56</v>
      </c>
      <c r="K708" s="231" t="s">
        <v>107</v>
      </c>
      <c r="L708" s="229">
        <f>ROUND(J708*$C708/100*J698,0)</f>
        <v>-7</v>
      </c>
      <c r="M708" s="229"/>
      <c r="N708" s="289" t="str">
        <f>N695</f>
        <v xml:space="preserve"> </v>
      </c>
      <c r="O708" s="231" t="s">
        <v>107</v>
      </c>
      <c r="P708" s="229">
        <f>ROUND(N708*$C708/100*N698,0)</f>
        <v>0</v>
      </c>
      <c r="Q708" s="229"/>
      <c r="R708" s="289">
        <f>R695</f>
        <v>11</v>
      </c>
      <c r="S708" s="231" t="s">
        <v>107</v>
      </c>
      <c r="T708" s="229">
        <f>ROUND(R708*$C708/100*R698,0)</f>
        <v>-1</v>
      </c>
      <c r="U708" s="229"/>
      <c r="V708" s="289">
        <f>V695</f>
        <v>45</v>
      </c>
      <c r="W708" s="231" t="s">
        <v>107</v>
      </c>
      <c r="X708" s="229">
        <f>ROUND(V708*$C708/100*V698,0)</f>
        <v>-5</v>
      </c>
      <c r="Y708" s="53"/>
      <c r="Z708" s="110"/>
      <c r="AA708" s="110"/>
      <c r="AB708" s="110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</row>
    <row r="709" spans="1:47" hidden="1">
      <c r="A709" s="231" t="s">
        <v>201</v>
      </c>
      <c r="B709" s="169"/>
      <c r="C709" s="227">
        <v>21</v>
      </c>
      <c r="D709" s="193">
        <v>60</v>
      </c>
      <c r="E709" s="292" t="s">
        <v>0</v>
      </c>
      <c r="F709" s="229">
        <f>ROUND(D709*$C709,0)</f>
        <v>1260</v>
      </c>
      <c r="G709" s="193">
        <v>60</v>
      </c>
      <c r="H709" s="169"/>
      <c r="I709" s="229">
        <f>ROUND(G709*C709,0)</f>
        <v>1260</v>
      </c>
      <c r="J709" s="193">
        <f>$J$631</f>
        <v>60</v>
      </c>
      <c r="K709" s="169"/>
      <c r="L709" s="229">
        <f>ROUND(J709*$C709,0)</f>
        <v>1260</v>
      </c>
      <c r="M709" s="229"/>
      <c r="N709" s="193" t="str">
        <f>$N$631</f>
        <v xml:space="preserve"> </v>
      </c>
      <c r="O709" s="169"/>
      <c r="P709" s="229">
        <f>ROUND(N709*$C709,0)</f>
        <v>0</v>
      </c>
      <c r="Q709" s="229"/>
      <c r="R709" s="193">
        <f>$R$631</f>
        <v>11.894336305988995</v>
      </c>
      <c r="S709" s="169"/>
      <c r="T709" s="229">
        <f>ROUND(R709*$C709,0)</f>
        <v>250</v>
      </c>
      <c r="U709" s="229"/>
      <c r="V709" s="193">
        <f>$V$631</f>
        <v>48.105663694011007</v>
      </c>
      <c r="W709" s="169"/>
      <c r="X709" s="229">
        <f>ROUND(V709*$C709,0)</f>
        <v>1010</v>
      </c>
      <c r="Y709" s="53"/>
      <c r="Z709" s="110"/>
      <c r="AA709" s="110"/>
      <c r="AB709" s="110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</row>
    <row r="710" spans="1:47" hidden="1">
      <c r="A710" s="231" t="s">
        <v>202</v>
      </c>
      <c r="B710" s="169"/>
      <c r="C710" s="227">
        <v>2337</v>
      </c>
      <c r="D710" s="251">
        <v>-30</v>
      </c>
      <c r="E710" s="229" t="s">
        <v>107</v>
      </c>
      <c r="F710" s="229">
        <f>ROUND(D710*$C710/100,0)</f>
        <v>-701</v>
      </c>
      <c r="G710" s="251">
        <v>-30</v>
      </c>
      <c r="H710" s="229" t="s">
        <v>107</v>
      </c>
      <c r="I710" s="229">
        <f>-ROUND(G710*C710*$G$660,0)</f>
        <v>-701</v>
      </c>
      <c r="J710" s="251">
        <f>$J$632</f>
        <v>-30</v>
      </c>
      <c r="K710" s="229" t="s">
        <v>107</v>
      </c>
      <c r="L710" s="229">
        <f>ROUND(J710*$C710/100,0)</f>
        <v>-701</v>
      </c>
      <c r="M710" s="229"/>
      <c r="N710" s="251">
        <f>$N$632</f>
        <v>-30</v>
      </c>
      <c r="O710" s="229" t="s">
        <v>107</v>
      </c>
      <c r="P710" s="229">
        <f>ROUND(N710*$C710/100,0)</f>
        <v>-701</v>
      </c>
      <c r="Q710" s="229"/>
      <c r="R710" s="251" t="str">
        <f>$R$632</f>
        <v xml:space="preserve"> </v>
      </c>
      <c r="S710" s="229" t="s">
        <v>107</v>
      </c>
      <c r="T710" s="229">
        <f>ROUND(R710*$C710/100,0)</f>
        <v>0</v>
      </c>
      <c r="U710" s="229"/>
      <c r="V710" s="251">
        <f>$V$632</f>
        <v>0</v>
      </c>
      <c r="W710" s="229" t="s">
        <v>107</v>
      </c>
      <c r="X710" s="229">
        <f>ROUND(V710*$C710/100,0)</f>
        <v>0</v>
      </c>
      <c r="Y710" s="53"/>
      <c r="Z710" s="110"/>
      <c r="AA710" s="110"/>
      <c r="AB710" s="110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</row>
    <row r="711" spans="1:47" s="141" customFormat="1" hidden="1">
      <c r="A711" s="140" t="s">
        <v>186</v>
      </c>
      <c r="C711" s="142">
        <f>C706</f>
        <v>734400</v>
      </c>
      <c r="D711" s="138"/>
      <c r="E711" s="143"/>
      <c r="F711" s="144"/>
      <c r="G711" s="138"/>
      <c r="H711" s="143"/>
      <c r="I711" s="144"/>
      <c r="J711" s="145">
        <f>J696</f>
        <v>0</v>
      </c>
      <c r="K711" s="283" t="s">
        <v>107</v>
      </c>
      <c r="L711" s="283">
        <f>ROUND(J711*$C711/100*J698,0)</f>
        <v>0</v>
      </c>
      <c r="M711" s="283"/>
      <c r="N711" s="145" t="str">
        <f>N696</f>
        <v xml:space="preserve"> </v>
      </c>
      <c r="O711" s="283" t="s">
        <v>107</v>
      </c>
      <c r="P711" s="283">
        <f>ROUND(N711*$C711/100*N698,0)</f>
        <v>0</v>
      </c>
      <c r="Q711" s="283"/>
      <c r="R711" s="145" t="str">
        <f>R696</f>
        <v xml:space="preserve"> </v>
      </c>
      <c r="S711" s="283" t="s">
        <v>107</v>
      </c>
      <c r="T711" s="283">
        <f>ROUND(R711*$C711/100*R698,0)</f>
        <v>0</v>
      </c>
      <c r="U711" s="283"/>
      <c r="V711" s="145">
        <f>V696</f>
        <v>0</v>
      </c>
      <c r="W711" s="283" t="s">
        <v>107</v>
      </c>
      <c r="X711" s="283">
        <f>ROUND(V711*$C711/100*V698,0)</f>
        <v>0</v>
      </c>
      <c r="Z711" s="132"/>
      <c r="AC711" s="148"/>
      <c r="AD711" s="148"/>
      <c r="AI711" s="143"/>
      <c r="AJ711" s="143"/>
      <c r="AK711" s="143"/>
      <c r="AL711" s="143"/>
      <c r="AM711" s="143"/>
      <c r="AN711" s="143"/>
      <c r="AO711" s="143"/>
      <c r="AP711" s="143"/>
      <c r="AQ711" s="143"/>
      <c r="AR711" s="143"/>
      <c r="AS711" s="143"/>
      <c r="AU711" s="147"/>
    </row>
    <row r="712" spans="1:47" s="141" customFormat="1" hidden="1">
      <c r="A712" s="140" t="s">
        <v>187</v>
      </c>
      <c r="C712" s="142">
        <f>C707</f>
        <v>232800</v>
      </c>
      <c r="D712" s="138"/>
      <c r="E712" s="143"/>
      <c r="F712" s="144"/>
      <c r="G712" s="138"/>
      <c r="H712" s="143"/>
      <c r="I712" s="144"/>
      <c r="J712" s="145">
        <f>J697</f>
        <v>0</v>
      </c>
      <c r="K712" s="283" t="s">
        <v>107</v>
      </c>
      <c r="L712" s="283">
        <f>ROUND(J712*$C712/100*J698,0)</f>
        <v>0</v>
      </c>
      <c r="M712" s="283"/>
      <c r="N712" s="145" t="str">
        <f>N697</f>
        <v xml:space="preserve"> </v>
      </c>
      <c r="O712" s="283" t="s">
        <v>107</v>
      </c>
      <c r="P712" s="283">
        <f>ROUND(N712*$C712/100*N698,0)</f>
        <v>0</v>
      </c>
      <c r="Q712" s="283"/>
      <c r="R712" s="145" t="str">
        <f>R697</f>
        <v xml:space="preserve"> </v>
      </c>
      <c r="S712" s="283" t="s">
        <v>107</v>
      </c>
      <c r="T712" s="283">
        <f>ROUND(R712*$C712/100*R698,0)</f>
        <v>0</v>
      </c>
      <c r="U712" s="283"/>
      <c r="V712" s="145">
        <f>V697</f>
        <v>0</v>
      </c>
      <c r="W712" s="283" t="s">
        <v>107</v>
      </c>
      <c r="X712" s="283">
        <f>ROUND(V712*$C712/100*V698,0)</f>
        <v>0</v>
      </c>
      <c r="Z712" s="132"/>
      <c r="AC712" s="148"/>
      <c r="AD712" s="148"/>
      <c r="AI712" s="143"/>
      <c r="AJ712" s="143"/>
      <c r="AK712" s="143"/>
      <c r="AL712" s="143"/>
      <c r="AM712" s="143"/>
      <c r="AN712" s="143"/>
      <c r="AO712" s="143"/>
      <c r="AP712" s="143"/>
      <c r="AQ712" s="143"/>
      <c r="AR712" s="143"/>
      <c r="AS712" s="143"/>
      <c r="AU712" s="147"/>
    </row>
    <row r="713" spans="1:47" hidden="1">
      <c r="A713" s="169" t="s">
        <v>133</v>
      </c>
      <c r="B713" s="169"/>
      <c r="C713" s="227">
        <f>SUM(C693:C694)</f>
        <v>105607759</v>
      </c>
      <c r="D713" s="237"/>
      <c r="E713" s="131"/>
      <c r="F713" s="131">
        <f>SUM(F683:F710)</f>
        <v>7875570</v>
      </c>
      <c r="G713" s="237"/>
      <c r="H713" s="169"/>
      <c r="I713" s="131">
        <f>SUM(I683:I710)</f>
        <v>8312364</v>
      </c>
      <c r="J713" s="237"/>
      <c r="K713" s="169"/>
      <c r="L713" s="131">
        <f>SUM(L683:L712)</f>
        <v>8617019</v>
      </c>
      <c r="M713" s="131"/>
      <c r="N713" s="237"/>
      <c r="O713" s="169"/>
      <c r="P713" s="131">
        <f>SUM(P683:P712)</f>
        <v>1243571</v>
      </c>
      <c r="Q713" s="131"/>
      <c r="R713" s="237"/>
      <c r="S713" s="169"/>
      <c r="T713" s="131">
        <f>SUM(T683:T712)</f>
        <v>1461424</v>
      </c>
      <c r="U713" s="131"/>
      <c r="V713" s="237"/>
      <c r="W713" s="169"/>
      <c r="X713" s="131">
        <f>SUM(X683:X712)</f>
        <v>5912025</v>
      </c>
      <c r="Y713" s="53"/>
      <c r="Z713" s="110"/>
      <c r="AA713" s="110"/>
      <c r="AB713" s="110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</row>
    <row r="714" spans="1:47" hidden="1">
      <c r="A714" s="169" t="s">
        <v>111</v>
      </c>
      <c r="B714" s="169"/>
      <c r="C714" s="275">
        <v>-1691576.4987881514</v>
      </c>
      <c r="D714" s="154"/>
      <c r="E714" s="154"/>
      <c r="F714" s="152">
        <f>I714</f>
        <v>-172171.8285648945</v>
      </c>
      <c r="G714" s="154"/>
      <c r="H714" s="154"/>
      <c r="I714" s="152">
        <v>-172171.8285648945</v>
      </c>
      <c r="J714" s="154"/>
      <c r="K714" s="154"/>
      <c r="L714" s="152">
        <f>I714</f>
        <v>-172171.8285648945</v>
      </c>
      <c r="M714" s="153"/>
      <c r="N714" s="154"/>
      <c r="O714" s="154"/>
      <c r="P714" s="152">
        <f>P636/L636*L714</f>
        <v>-22302.510598722263</v>
      </c>
      <c r="Q714" s="153"/>
      <c r="R714" s="154"/>
      <c r="S714" s="154"/>
      <c r="T714" s="152">
        <f>T636/L636*L714</f>
        <v>-29709.934497314189</v>
      </c>
      <c r="U714" s="153"/>
      <c r="V714" s="154"/>
      <c r="W714" s="154"/>
      <c r="X714" s="152">
        <f>X636/L636*L714</f>
        <v>-120159.38346885805</v>
      </c>
      <c r="Y714" s="185"/>
      <c r="Z714" s="183"/>
      <c r="AA714" s="110"/>
      <c r="AB714" s="110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</row>
    <row r="715" spans="1:47" ht="16.5" hidden="1" thickBot="1">
      <c r="A715" s="169" t="s">
        <v>134</v>
      </c>
      <c r="B715" s="169"/>
      <c r="C715" s="293">
        <f>SUM(C713)+C714</f>
        <v>103916182.50121185</v>
      </c>
      <c r="D715" s="272"/>
      <c r="E715" s="256"/>
      <c r="F715" s="257">
        <f>F713+F714</f>
        <v>7703398.1714351056</v>
      </c>
      <c r="G715" s="272"/>
      <c r="H715" s="258"/>
      <c r="I715" s="257">
        <f>I713+I714</f>
        <v>8140192.1714351056</v>
      </c>
      <c r="J715" s="272"/>
      <c r="K715" s="258"/>
      <c r="L715" s="257">
        <f>L713+L714</f>
        <v>8444847.1714351047</v>
      </c>
      <c r="M715" s="257"/>
      <c r="N715" s="272"/>
      <c r="O715" s="258"/>
      <c r="P715" s="257">
        <f>P713+P714</f>
        <v>1221268.4894012776</v>
      </c>
      <c r="Q715" s="257"/>
      <c r="R715" s="272"/>
      <c r="S715" s="258"/>
      <c r="T715" s="257">
        <f>T713+T714</f>
        <v>1431714.0655026857</v>
      </c>
      <c r="U715" s="257"/>
      <c r="V715" s="272"/>
      <c r="W715" s="258"/>
      <c r="X715" s="257">
        <f>X713+X714</f>
        <v>5791865.616531142</v>
      </c>
      <c r="Y715" s="186"/>
      <c r="Z715" s="187"/>
      <c r="AA715" s="110"/>
      <c r="AB715" s="110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</row>
    <row r="716" spans="1:47" hidden="1">
      <c r="A716" s="199"/>
      <c r="B716" s="317"/>
      <c r="C716" s="199"/>
      <c r="D716" s="169"/>
      <c r="E716" s="189"/>
      <c r="F716" s="318"/>
      <c r="G716" s="169"/>
      <c r="H716" s="199"/>
      <c r="I716" s="318"/>
      <c r="J716" s="199"/>
      <c r="K716" s="199"/>
      <c r="L716" s="199"/>
      <c r="M716" s="199"/>
      <c r="N716" s="199"/>
      <c r="O716" s="199"/>
      <c r="P716" s="199"/>
      <c r="Q716" s="199"/>
      <c r="R716" s="199"/>
      <c r="S716" s="199"/>
      <c r="T716" s="199"/>
      <c r="U716" s="199"/>
      <c r="V716" s="199"/>
      <c r="W716" s="199"/>
      <c r="X716" s="199"/>
      <c r="Y716" s="53"/>
      <c r="Z716" s="110"/>
      <c r="AA716" s="110"/>
      <c r="AB716" s="110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</row>
    <row r="717" spans="1:47">
      <c r="A717" s="188" t="s">
        <v>205</v>
      </c>
      <c r="B717" s="169"/>
      <c r="C717" s="189"/>
      <c r="D717" s="250"/>
      <c r="E717" s="131"/>
      <c r="F717" s="131"/>
      <c r="G717" s="250"/>
      <c r="H717" s="169"/>
      <c r="I717" s="131"/>
      <c r="J717" s="250"/>
      <c r="K717" s="169"/>
      <c r="L717" s="131"/>
      <c r="M717" s="131"/>
      <c r="N717" s="250"/>
      <c r="O717" s="169"/>
      <c r="P717" s="131"/>
      <c r="Q717" s="131"/>
      <c r="R717" s="250"/>
      <c r="S717" s="169"/>
      <c r="T717" s="131"/>
      <c r="U717" s="131"/>
      <c r="V717" s="250"/>
      <c r="W717" s="169"/>
      <c r="X717" s="131"/>
      <c r="Y717" s="53"/>
      <c r="Z717" s="110"/>
      <c r="AA717" s="110"/>
      <c r="AB717" s="110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</row>
    <row r="718" spans="1:47">
      <c r="A718" s="154" t="s">
        <v>206</v>
      </c>
      <c r="B718" s="169"/>
      <c r="C718" s="189"/>
      <c r="D718" s="250"/>
      <c r="E718" s="131"/>
      <c r="F718" s="131"/>
      <c r="G718" s="250"/>
      <c r="H718" s="169"/>
      <c r="I718" s="131"/>
      <c r="J718" s="250"/>
      <c r="K718" s="169"/>
      <c r="L718" s="131"/>
      <c r="M718" s="131"/>
      <c r="N718" s="250"/>
      <c r="O718" s="169"/>
      <c r="P718" s="131"/>
      <c r="Q718" s="131"/>
      <c r="R718" s="250"/>
      <c r="S718" s="169"/>
      <c r="T718" s="131"/>
      <c r="U718" s="131"/>
      <c r="V718" s="250"/>
      <c r="W718" s="169"/>
      <c r="X718" s="131"/>
      <c r="Y718" s="53"/>
      <c r="Z718" s="110"/>
      <c r="AA718" s="110"/>
      <c r="AB718" s="110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</row>
    <row r="719" spans="1:47">
      <c r="A719" s="231"/>
      <c r="B719" s="169"/>
      <c r="C719" s="189"/>
      <c r="D719" s="250"/>
      <c r="E719" s="131"/>
      <c r="F719" s="273"/>
      <c r="G719" s="250"/>
      <c r="H719" s="169"/>
      <c r="I719" s="273"/>
      <c r="J719" s="250"/>
      <c r="K719" s="169"/>
      <c r="L719" s="319"/>
      <c r="M719" s="319"/>
      <c r="N719" s="250"/>
      <c r="O719" s="169"/>
      <c r="P719" s="319"/>
      <c r="Q719" s="319"/>
      <c r="R719" s="250"/>
      <c r="S719" s="169"/>
      <c r="T719" s="319"/>
      <c r="U719" s="319"/>
      <c r="V719" s="250"/>
      <c r="W719" s="169"/>
      <c r="X719" s="319"/>
      <c r="Y719" s="53"/>
      <c r="Z719" s="110"/>
      <c r="AA719" s="110"/>
      <c r="AB719" s="110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</row>
    <row r="720" spans="1:47">
      <c r="A720" s="154" t="s">
        <v>207</v>
      </c>
      <c r="B720" s="169"/>
      <c r="C720" s="227"/>
      <c r="D720" s="131" t="s">
        <v>0</v>
      </c>
      <c r="E720" s="131"/>
      <c r="F720" s="169"/>
      <c r="G720" s="131" t="s">
        <v>0</v>
      </c>
      <c r="H720" s="169"/>
      <c r="I720" s="169"/>
      <c r="J720" s="131" t="s">
        <v>0</v>
      </c>
      <c r="K720" s="169"/>
      <c r="L720" s="169"/>
      <c r="M720" s="169"/>
      <c r="N720" s="131" t="s">
        <v>0</v>
      </c>
      <c r="O720" s="169"/>
      <c r="P720" s="169"/>
      <c r="Q720" s="169"/>
      <c r="R720" s="131" t="s">
        <v>0</v>
      </c>
      <c r="S720" s="169"/>
      <c r="T720" s="169"/>
      <c r="U720" s="169"/>
      <c r="V720" s="131" t="s">
        <v>0</v>
      </c>
      <c r="W720" s="169"/>
      <c r="X720" s="169"/>
      <c r="Y720" s="53"/>
      <c r="Z720" s="110"/>
      <c r="AA720" s="53"/>
      <c r="AB720" s="53"/>
      <c r="AC720" s="53"/>
      <c r="AD720" s="53"/>
      <c r="AE720" s="53"/>
      <c r="AF720" s="53"/>
      <c r="AG720" s="53"/>
      <c r="AH720" s="53"/>
      <c r="AI720" s="53"/>
      <c r="AM720" s="53"/>
      <c r="AN720" s="53"/>
      <c r="AO720" s="53"/>
      <c r="AP720" s="53"/>
      <c r="AQ720" s="53"/>
      <c r="AR720" s="53"/>
      <c r="AS720" s="53"/>
    </row>
    <row r="721" spans="1:45">
      <c r="A721" s="154" t="s">
        <v>208</v>
      </c>
      <c r="B721" s="169"/>
      <c r="C721" s="227">
        <f>C775+C828</f>
        <v>1050.4737336553778</v>
      </c>
      <c r="D721" s="250">
        <v>0</v>
      </c>
      <c r="E721" s="232"/>
      <c r="F721" s="229">
        <f>F775+F828</f>
        <v>0</v>
      </c>
      <c r="G721" s="250">
        <v>0</v>
      </c>
      <c r="H721" s="232"/>
      <c r="I721" s="229">
        <f>I775+I828</f>
        <v>0</v>
      </c>
      <c r="J721" s="250">
        <v>0</v>
      </c>
      <c r="K721" s="232"/>
      <c r="L721" s="229">
        <f>L775+L828</f>
        <v>0</v>
      </c>
      <c r="M721" s="229"/>
      <c r="N721" s="250">
        <v>0</v>
      </c>
      <c r="O721" s="232"/>
      <c r="P721" s="229">
        <v>0</v>
      </c>
      <c r="Q721" s="229"/>
      <c r="R721" s="250" t="s">
        <v>0</v>
      </c>
      <c r="S721" s="232"/>
      <c r="T721" s="229">
        <v>0</v>
      </c>
      <c r="U721" s="229"/>
      <c r="V721" s="250" t="s">
        <v>0</v>
      </c>
      <c r="W721" s="232"/>
      <c r="X721" s="229">
        <v>0</v>
      </c>
      <c r="AA721" s="63"/>
      <c r="AB721" s="63"/>
      <c r="AN721" s="53"/>
      <c r="AO721" s="53"/>
      <c r="AP721" s="53"/>
      <c r="AQ721" s="53"/>
      <c r="AR721" s="53"/>
      <c r="AS721" s="53"/>
    </row>
    <row r="722" spans="1:45">
      <c r="A722" s="154" t="s">
        <v>209</v>
      </c>
      <c r="B722" s="169"/>
      <c r="C722" s="227"/>
      <c r="D722" s="250"/>
      <c r="E722" s="232"/>
      <c r="F722" s="229"/>
      <c r="G722" s="250"/>
      <c r="H722" s="232"/>
      <c r="I722" s="229"/>
      <c r="J722" s="250"/>
      <c r="K722" s="232"/>
      <c r="L722" s="229"/>
      <c r="M722" s="229"/>
      <c r="N722" s="250"/>
      <c r="O722" s="232"/>
      <c r="P722" s="229"/>
      <c r="Q722" s="229"/>
      <c r="R722" s="250"/>
      <c r="S722" s="232"/>
      <c r="T722" s="229"/>
      <c r="U722" s="229"/>
      <c r="V722" s="250"/>
      <c r="W722" s="232"/>
      <c r="X722" s="229"/>
      <c r="AD722" s="135"/>
      <c r="AE722" s="320"/>
      <c r="AF722" s="135"/>
      <c r="AG722" s="320"/>
      <c r="AH722" s="135"/>
      <c r="AI722" s="135"/>
      <c r="AJ722" s="93"/>
      <c r="AN722" s="53"/>
      <c r="AO722" s="53"/>
      <c r="AP722" s="53"/>
      <c r="AQ722" s="53"/>
      <c r="AR722" s="53"/>
      <c r="AS722" s="53"/>
    </row>
    <row r="723" spans="1:45">
      <c r="A723" s="154" t="s">
        <v>210</v>
      </c>
      <c r="B723" s="169"/>
      <c r="C723" s="227">
        <f t="shared" ref="C723:C728" si="194">C777+C830</f>
        <v>3761.846699801777</v>
      </c>
      <c r="D723" s="250">
        <v>0</v>
      </c>
      <c r="E723" s="232"/>
      <c r="F723" s="229">
        <f>F777+F830</f>
        <v>0</v>
      </c>
      <c r="G723" s="250">
        <v>0</v>
      </c>
      <c r="H723" s="232"/>
      <c r="I723" s="229">
        <f>I777+I830</f>
        <v>0</v>
      </c>
      <c r="J723" s="250">
        <v>0</v>
      </c>
      <c r="K723" s="232"/>
      <c r="L723" s="229">
        <f>L777+L830</f>
        <v>0</v>
      </c>
      <c r="M723" s="229"/>
      <c r="N723" s="250">
        <v>0</v>
      </c>
      <c r="O723" s="232"/>
      <c r="P723" s="229">
        <v>0</v>
      </c>
      <c r="Q723" s="229"/>
      <c r="R723" s="250" t="s">
        <v>0</v>
      </c>
      <c r="S723" s="232"/>
      <c r="T723" s="229">
        <v>0</v>
      </c>
      <c r="U723" s="229"/>
      <c r="V723" s="250" t="s">
        <v>0</v>
      </c>
      <c r="W723" s="232"/>
      <c r="X723" s="229">
        <v>0</v>
      </c>
      <c r="Y723" s="225"/>
      <c r="AA723" s="155" t="s">
        <v>122</v>
      </c>
      <c r="AB723" s="155"/>
      <c r="AD723" s="135"/>
      <c r="AE723" s="320"/>
      <c r="AF723" s="135"/>
      <c r="AG723" s="320"/>
      <c r="AH723" s="135"/>
      <c r="AI723" s="135"/>
      <c r="AJ723" s="93"/>
      <c r="AN723" s="53"/>
      <c r="AO723" s="53"/>
      <c r="AP723" s="53"/>
      <c r="AQ723" s="53"/>
      <c r="AR723" s="53"/>
      <c r="AS723" s="53"/>
    </row>
    <row r="724" spans="1:45">
      <c r="A724" s="154" t="s">
        <v>211</v>
      </c>
      <c r="B724" s="169"/>
      <c r="C724" s="227">
        <f t="shared" si="194"/>
        <v>421.7095485187607</v>
      </c>
      <c r="D724" s="250">
        <v>357</v>
      </c>
      <c r="E724" s="232"/>
      <c r="F724" s="229">
        <f>F778+F831</f>
        <v>150550</v>
      </c>
      <c r="G724" s="250">
        <v>357</v>
      </c>
      <c r="H724" s="232"/>
      <c r="I724" s="229">
        <f>I778+I831</f>
        <v>150550</v>
      </c>
      <c r="J724" s="250">
        <v>362</v>
      </c>
      <c r="K724" s="232"/>
      <c r="L724" s="229">
        <f>L778+L831</f>
        <v>152659</v>
      </c>
      <c r="M724" s="229"/>
      <c r="N724" s="250">
        <v>362</v>
      </c>
      <c r="O724" s="232"/>
      <c r="P724" s="229">
        <v>152659</v>
      </c>
      <c r="Q724" s="229"/>
      <c r="R724" s="250" t="s">
        <v>0</v>
      </c>
      <c r="S724" s="232"/>
      <c r="T724" s="229">
        <v>0</v>
      </c>
      <c r="U724" s="229"/>
      <c r="V724" s="250" t="s">
        <v>0</v>
      </c>
      <c r="W724" s="232"/>
      <c r="X724" s="229">
        <v>0</v>
      </c>
      <c r="Y724" s="117"/>
      <c r="AA724" s="63">
        <f>(J724-G724)/G724</f>
        <v>1.4005602240896359E-2</v>
      </c>
      <c r="AB724" s="63"/>
      <c r="AC724" s="236"/>
      <c r="AD724" s="135"/>
      <c r="AE724" s="228"/>
      <c r="AF724" s="135"/>
      <c r="AG724" s="228"/>
      <c r="AH724" s="135"/>
      <c r="AI724" s="135"/>
      <c r="AJ724" s="173"/>
      <c r="AN724" s="53"/>
      <c r="AO724" s="53"/>
      <c r="AP724" s="53"/>
      <c r="AQ724" s="53"/>
      <c r="AR724" s="53"/>
      <c r="AS724" s="53"/>
    </row>
    <row r="725" spans="1:45">
      <c r="A725" s="154" t="s">
        <v>212</v>
      </c>
      <c r="B725" s="169"/>
      <c r="C725" s="227">
        <f t="shared" si="194"/>
        <v>13</v>
      </c>
      <c r="D725" s="250">
        <v>1457</v>
      </c>
      <c r="E725" s="232"/>
      <c r="F725" s="229">
        <f>F779+F832</f>
        <v>18941</v>
      </c>
      <c r="G725" s="250">
        <v>1457</v>
      </c>
      <c r="H725" s="232"/>
      <c r="I725" s="229">
        <f>I779+I832</f>
        <v>18941</v>
      </c>
      <c r="J725" s="250">
        <v>1479</v>
      </c>
      <c r="K725" s="232"/>
      <c r="L725" s="229">
        <f>L779+L832</f>
        <v>19227</v>
      </c>
      <c r="M725" s="229"/>
      <c r="N725" s="250">
        <v>1479</v>
      </c>
      <c r="O725" s="232"/>
      <c r="P725" s="229">
        <v>19227</v>
      </c>
      <c r="Q725" s="229"/>
      <c r="R725" s="250" t="s">
        <v>0</v>
      </c>
      <c r="S725" s="232"/>
      <c r="T725" s="229">
        <v>0</v>
      </c>
      <c r="U725" s="229"/>
      <c r="V725" s="250" t="s">
        <v>0</v>
      </c>
      <c r="W725" s="232"/>
      <c r="X725" s="229">
        <v>0</v>
      </c>
      <c r="Y725" s="117"/>
      <c r="AA725" s="63">
        <f>(J725-G725)/G725</f>
        <v>1.5099519560741249E-2</v>
      </c>
      <c r="AB725" s="63"/>
      <c r="AD725" s="135"/>
      <c r="AE725" s="135"/>
      <c r="AJ725" s="53"/>
      <c r="AM725" s="53"/>
      <c r="AN725" s="53"/>
      <c r="AO725" s="53"/>
      <c r="AP725" s="53"/>
      <c r="AQ725" s="53"/>
      <c r="AR725" s="53"/>
      <c r="AS725" s="53"/>
    </row>
    <row r="726" spans="1:45">
      <c r="A726" s="154" t="s">
        <v>109</v>
      </c>
      <c r="B726" s="169"/>
      <c r="C726" s="227">
        <f t="shared" si="194"/>
        <v>5247.0299819759166</v>
      </c>
      <c r="D726" s="250"/>
      <c r="E726" s="232"/>
      <c r="F726" s="229"/>
      <c r="G726" s="250"/>
      <c r="H726" s="232"/>
      <c r="I726" s="229"/>
      <c r="J726" s="250"/>
      <c r="K726" s="232"/>
      <c r="L726" s="229"/>
      <c r="M726" s="229"/>
      <c r="N726" s="250"/>
      <c r="O726" s="232"/>
      <c r="P726" s="229"/>
      <c r="Q726" s="229"/>
      <c r="R726" s="250"/>
      <c r="S726" s="232"/>
      <c r="T726" s="229"/>
      <c r="U726" s="229"/>
      <c r="V726" s="250"/>
      <c r="W726" s="232"/>
      <c r="X726" s="229"/>
      <c r="Y726" s="117"/>
      <c r="AA726" s="228"/>
      <c r="AB726" s="228"/>
      <c r="AC726" s="117"/>
      <c r="AJ726" s="236"/>
      <c r="AK726" s="236"/>
      <c r="AL726" s="53"/>
      <c r="AM726" s="53"/>
      <c r="AN726" s="53"/>
      <c r="AO726" s="53"/>
      <c r="AP726" s="53"/>
      <c r="AQ726" s="53"/>
      <c r="AR726" s="53"/>
      <c r="AS726" s="53"/>
    </row>
    <row r="727" spans="1:45">
      <c r="A727" s="154" t="s">
        <v>213</v>
      </c>
      <c r="B727" s="169"/>
      <c r="C727" s="227">
        <f t="shared" si="194"/>
        <v>38716.743333333157</v>
      </c>
      <c r="D727" s="250"/>
      <c r="E727" s="232"/>
      <c r="F727" s="229"/>
      <c r="G727" s="250"/>
      <c r="H727" s="232"/>
      <c r="I727" s="229"/>
      <c r="J727" s="250"/>
      <c r="K727" s="232"/>
      <c r="L727" s="229"/>
      <c r="M727" s="229"/>
      <c r="N727" s="250"/>
      <c r="O727" s="232"/>
      <c r="P727" s="229"/>
      <c r="Q727" s="229"/>
      <c r="R727" s="250"/>
      <c r="S727" s="232"/>
      <c r="T727" s="229"/>
      <c r="U727" s="229"/>
      <c r="V727" s="250"/>
      <c r="W727" s="232"/>
      <c r="X727" s="229"/>
      <c r="Y727" s="117"/>
      <c r="AC727" s="117"/>
      <c r="AL727" s="53"/>
      <c r="AM727" s="53"/>
      <c r="AN727" s="53"/>
      <c r="AO727" s="53"/>
      <c r="AP727" s="53"/>
      <c r="AQ727" s="53"/>
      <c r="AR727" s="53"/>
      <c r="AS727" s="53"/>
    </row>
    <row r="728" spans="1:45">
      <c r="A728" s="154" t="s">
        <v>214</v>
      </c>
      <c r="B728" s="169"/>
      <c r="C728" s="227">
        <f t="shared" si="194"/>
        <v>5792</v>
      </c>
      <c r="D728" s="250"/>
      <c r="E728" s="229"/>
      <c r="F728" s="229"/>
      <c r="G728" s="250"/>
      <c r="H728" s="229"/>
      <c r="I728" s="229"/>
      <c r="J728" s="250"/>
      <c r="K728" s="229"/>
      <c r="L728" s="321" t="s">
        <v>0</v>
      </c>
      <c r="M728" s="321"/>
      <c r="N728" s="250"/>
      <c r="O728" s="229"/>
      <c r="P728" s="321" t="s">
        <v>0</v>
      </c>
      <c r="Q728" s="321"/>
      <c r="R728" s="250"/>
      <c r="S728" s="229"/>
      <c r="T728" s="321" t="s">
        <v>0</v>
      </c>
      <c r="U728" s="321"/>
      <c r="V728" s="250"/>
      <c r="W728" s="229"/>
      <c r="X728" s="321" t="s">
        <v>0</v>
      </c>
      <c r="Y728" s="117"/>
      <c r="AA728" s="228"/>
      <c r="AB728" s="228"/>
      <c r="AC728" s="252"/>
      <c r="AL728" s="53"/>
      <c r="AM728" s="53"/>
      <c r="AN728" s="53"/>
      <c r="AO728" s="53"/>
      <c r="AP728" s="53"/>
      <c r="AQ728" s="53"/>
      <c r="AR728" s="53"/>
      <c r="AS728" s="53"/>
    </row>
    <row r="729" spans="1:45">
      <c r="A729" s="154" t="s">
        <v>215</v>
      </c>
      <c r="B729" s="169"/>
      <c r="C729" s="227"/>
      <c r="D729" s="250"/>
      <c r="E729" s="232"/>
      <c r="F729" s="229"/>
      <c r="G729" s="250"/>
      <c r="H729" s="232"/>
      <c r="I729" s="229"/>
      <c r="J729" s="250"/>
      <c r="K729" s="232"/>
      <c r="L729" s="229"/>
      <c r="M729" s="229"/>
      <c r="N729" s="250"/>
      <c r="O729" s="232"/>
      <c r="P729" s="229"/>
      <c r="Q729" s="229"/>
      <c r="R729" s="250"/>
      <c r="S729" s="232"/>
      <c r="T729" s="229"/>
      <c r="U729" s="229"/>
      <c r="V729" s="250"/>
      <c r="W729" s="232"/>
      <c r="X729" s="229"/>
      <c r="Y729" s="117"/>
      <c r="AA729" s="228"/>
      <c r="AB729" s="228"/>
      <c r="AC729" s="117"/>
      <c r="AL729" s="53"/>
      <c r="AM729" s="53"/>
      <c r="AN729" s="53"/>
      <c r="AO729" s="53"/>
      <c r="AP729" s="53"/>
      <c r="AQ729" s="53"/>
      <c r="AR729" s="53"/>
      <c r="AS729" s="53"/>
    </row>
    <row r="730" spans="1:45">
      <c r="A730" s="154" t="s">
        <v>216</v>
      </c>
      <c r="B730" s="169"/>
      <c r="C730" s="227">
        <f>C784+C837</f>
        <v>3152.4964645755495</v>
      </c>
      <c r="D730" s="250">
        <v>23.87</v>
      </c>
      <c r="E730" s="232"/>
      <c r="F730" s="229">
        <f>F784+F837</f>
        <v>75251</v>
      </c>
      <c r="G730" s="250">
        <v>25.265901957370488</v>
      </c>
      <c r="H730" s="232"/>
      <c r="I730" s="229">
        <f>I784+I837</f>
        <v>79651</v>
      </c>
      <c r="J730" s="250">
        <v>25.642315429533081</v>
      </c>
      <c r="K730" s="232"/>
      <c r="L730" s="229">
        <f>L784+L837</f>
        <v>80838</v>
      </c>
      <c r="M730" s="229"/>
      <c r="N730" s="250">
        <v>25.642315429533081</v>
      </c>
      <c r="O730" s="232"/>
      <c r="P730" s="229">
        <v>80838</v>
      </c>
      <c r="Q730" s="229"/>
      <c r="R730" s="250" t="s">
        <v>0</v>
      </c>
      <c r="S730" s="232"/>
      <c r="T730" s="229">
        <v>0</v>
      </c>
      <c r="U730" s="229"/>
      <c r="V730" s="250" t="s">
        <v>0</v>
      </c>
      <c r="W730" s="232"/>
      <c r="X730" s="229">
        <v>0</v>
      </c>
      <c r="Y730" s="322"/>
      <c r="AA730" s="63">
        <f>(J730-G730)/G730</f>
        <v>1.4898081722856792E-2</v>
      </c>
      <c r="AB730" s="63"/>
      <c r="AC730" s="117"/>
      <c r="AN730" s="53"/>
      <c r="AO730" s="53"/>
      <c r="AP730" s="53"/>
      <c r="AQ730" s="53"/>
      <c r="AR730" s="53"/>
      <c r="AS730" s="53"/>
    </row>
    <row r="731" spans="1:45">
      <c r="A731" s="154" t="s">
        <v>217</v>
      </c>
      <c r="B731" s="169"/>
      <c r="C731" s="227"/>
      <c r="D731" s="250"/>
      <c r="E731" s="232"/>
      <c r="F731" s="229"/>
      <c r="G731" s="250"/>
      <c r="H731" s="232"/>
      <c r="I731" s="229"/>
      <c r="J731" s="250"/>
      <c r="K731" s="232"/>
      <c r="L731" s="229"/>
      <c r="M731" s="229"/>
      <c r="N731" s="250"/>
      <c r="O731" s="232"/>
      <c r="P731" s="229"/>
      <c r="Q731" s="229"/>
      <c r="R731" s="250"/>
      <c r="S731" s="232"/>
      <c r="T731" s="229"/>
      <c r="U731" s="229"/>
      <c r="V731" s="250"/>
      <c r="W731" s="232"/>
      <c r="X731" s="229"/>
      <c r="Y731" s="322"/>
      <c r="AA731" s="228"/>
      <c r="AB731" s="228"/>
      <c r="AC731" s="117"/>
      <c r="AN731" s="53"/>
      <c r="AO731" s="53"/>
      <c r="AP731" s="53"/>
      <c r="AQ731" s="53"/>
      <c r="AR731" s="53"/>
      <c r="AS731" s="53"/>
    </row>
    <row r="732" spans="1:45">
      <c r="A732" s="154" t="s">
        <v>210</v>
      </c>
      <c r="B732" s="169"/>
      <c r="C732" s="227">
        <f>C786+C839</f>
        <v>51992.896589696982</v>
      </c>
      <c r="D732" s="250">
        <v>23.79</v>
      </c>
      <c r="E732" s="232"/>
      <c r="F732" s="229">
        <f>F786+F839</f>
        <v>1236911</v>
      </c>
      <c r="G732" s="250">
        <v>25.171223609796559</v>
      </c>
      <c r="H732" s="232"/>
      <c r="I732" s="229">
        <f>I786+I839</f>
        <v>1308725</v>
      </c>
      <c r="J732" s="250">
        <v>25.536226556199608</v>
      </c>
      <c r="K732" s="232"/>
      <c r="L732" s="229">
        <f>L786+L839</f>
        <v>1327703</v>
      </c>
      <c r="M732" s="229"/>
      <c r="N732" s="250">
        <v>25.536226556199608</v>
      </c>
      <c r="O732" s="232"/>
      <c r="P732" s="229">
        <v>1327703</v>
      </c>
      <c r="Q732" s="229"/>
      <c r="R732" s="250" t="s">
        <v>0</v>
      </c>
      <c r="S732" s="232"/>
      <c r="T732" s="229">
        <v>0</v>
      </c>
      <c r="U732" s="229"/>
      <c r="V732" s="250" t="s">
        <v>0</v>
      </c>
      <c r="W732" s="232"/>
      <c r="X732" s="229">
        <v>0</v>
      </c>
      <c r="Y732" s="322"/>
      <c r="AA732" s="63">
        <f>(J732-G732)/G732</f>
        <v>1.4500802665031782E-2</v>
      </c>
      <c r="AB732" s="63"/>
      <c r="AC732" s="117"/>
      <c r="AN732" s="53"/>
      <c r="AO732" s="53"/>
      <c r="AP732" s="53"/>
      <c r="AQ732" s="53"/>
      <c r="AR732" s="53"/>
      <c r="AS732" s="53"/>
    </row>
    <row r="733" spans="1:45">
      <c r="A733" s="154" t="s">
        <v>211</v>
      </c>
      <c r="B733" s="169"/>
      <c r="C733" s="227">
        <f>C787+C840</f>
        <v>40499.362465837236</v>
      </c>
      <c r="D733" s="250">
        <v>16.559999999999999</v>
      </c>
      <c r="E733" s="232"/>
      <c r="F733" s="229">
        <f>F787+F840</f>
        <v>670669</v>
      </c>
      <c r="G733" s="250">
        <v>17.5284179478029</v>
      </c>
      <c r="H733" s="232"/>
      <c r="I733" s="229">
        <f>I787+I840</f>
        <v>709890</v>
      </c>
      <c r="J733" s="250">
        <v>17.789557750861658</v>
      </c>
      <c r="K733" s="232"/>
      <c r="L733" s="229">
        <f>L787+L840</f>
        <v>720466</v>
      </c>
      <c r="M733" s="229"/>
      <c r="N733" s="250">
        <v>17.789557750861658</v>
      </c>
      <c r="O733" s="232"/>
      <c r="P733" s="229">
        <v>720466</v>
      </c>
      <c r="Q733" s="229"/>
      <c r="R733" s="250" t="s">
        <v>0</v>
      </c>
      <c r="S733" s="232"/>
      <c r="T733" s="229">
        <v>0</v>
      </c>
      <c r="U733" s="229"/>
      <c r="V733" s="250" t="s">
        <v>0</v>
      </c>
      <c r="W733" s="232"/>
      <c r="X733" s="229">
        <v>0</v>
      </c>
      <c r="Y733" s="322"/>
      <c r="AA733" s="63">
        <f>(J733-G733)/G733</f>
        <v>1.4898081722856789E-2</v>
      </c>
      <c r="AB733" s="63"/>
      <c r="AC733" s="117"/>
      <c r="AF733" s="135"/>
      <c r="AG733" s="135"/>
      <c r="AH733" s="135"/>
      <c r="AI733" s="135"/>
      <c r="AJ733" s="135"/>
      <c r="AK733" s="93"/>
      <c r="AL733" s="53" t="s">
        <v>0</v>
      </c>
      <c r="AM733" s="53"/>
      <c r="AN733" s="53"/>
      <c r="AO733" s="53"/>
      <c r="AP733" s="53"/>
      <c r="AQ733" s="53"/>
      <c r="AR733" s="53"/>
      <c r="AS733" s="53"/>
    </row>
    <row r="734" spans="1:45">
      <c r="A734" s="154" t="s">
        <v>212</v>
      </c>
      <c r="B734" s="169" t="s">
        <v>0</v>
      </c>
      <c r="C734" s="227">
        <f>C788+C841</f>
        <v>5276</v>
      </c>
      <c r="D734" s="250">
        <v>12.96</v>
      </c>
      <c r="E734" s="232"/>
      <c r="F734" s="229">
        <f>F788+F841</f>
        <v>68377</v>
      </c>
      <c r="G734" s="250">
        <v>13.717892306976186</v>
      </c>
      <c r="H734" s="232"/>
      <c r="I734" s="229">
        <f>I788+I841</f>
        <v>72376</v>
      </c>
      <c r="J734" s="250">
        <v>13.922262587630865</v>
      </c>
      <c r="K734" s="232"/>
      <c r="L734" s="229">
        <f>L788+L841</f>
        <v>73454</v>
      </c>
      <c r="M734" s="229"/>
      <c r="N734" s="250">
        <v>13.922262587630865</v>
      </c>
      <c r="O734" s="232"/>
      <c r="P734" s="229">
        <v>73454</v>
      </c>
      <c r="Q734" s="229"/>
      <c r="R734" s="250" t="s">
        <v>0</v>
      </c>
      <c r="S734" s="232"/>
      <c r="T734" s="229">
        <v>0</v>
      </c>
      <c r="U734" s="229"/>
      <c r="V734" s="250" t="s">
        <v>0</v>
      </c>
      <c r="W734" s="232"/>
      <c r="X734" s="229">
        <v>0</v>
      </c>
      <c r="Y734" s="322"/>
      <c r="AA734" s="63">
        <f>(J734-G734)/G734</f>
        <v>1.489808172285674E-2</v>
      </c>
      <c r="AB734" s="63"/>
      <c r="AC734" s="117"/>
      <c r="AL734" s="53" t="s">
        <v>0</v>
      </c>
      <c r="AM734" s="53"/>
      <c r="AN734" s="53"/>
      <c r="AO734" s="53"/>
      <c r="AP734" s="53"/>
      <c r="AQ734" s="53"/>
      <c r="AR734" s="53"/>
      <c r="AS734" s="53"/>
    </row>
    <row r="735" spans="1:45">
      <c r="A735" s="154" t="s">
        <v>218</v>
      </c>
      <c r="B735" s="169"/>
      <c r="C735" s="227">
        <f>C789+C842</f>
        <v>590.57780050582846</v>
      </c>
      <c r="D735" s="250">
        <v>71.61</v>
      </c>
      <c r="E735" s="232"/>
      <c r="F735" s="229">
        <f>F789+F842</f>
        <v>42292</v>
      </c>
      <c r="G735" s="250">
        <v>75.797705872111464</v>
      </c>
      <c r="H735" s="232"/>
      <c r="I735" s="229">
        <f>I789+I842</f>
        <v>44765</v>
      </c>
      <c r="J735" s="250">
        <v>76.92694628859924</v>
      </c>
      <c r="K735" s="232"/>
      <c r="L735" s="229">
        <f>L789+L842</f>
        <v>45431</v>
      </c>
      <c r="M735" s="229"/>
      <c r="N735" s="250">
        <v>76.92694628859924</v>
      </c>
      <c r="O735" s="232"/>
      <c r="P735" s="229">
        <v>45431</v>
      </c>
      <c r="Q735" s="229"/>
      <c r="R735" s="250" t="s">
        <v>0</v>
      </c>
      <c r="S735" s="232"/>
      <c r="T735" s="229">
        <v>0</v>
      </c>
      <c r="U735" s="229"/>
      <c r="V735" s="250" t="s">
        <v>0</v>
      </c>
      <c r="W735" s="232"/>
      <c r="X735" s="229">
        <v>0</v>
      </c>
      <c r="Y735" s="117"/>
      <c r="AA735" s="63">
        <f>(J735-G735)/G735</f>
        <v>1.4898081722856745E-2</v>
      </c>
      <c r="AB735" s="63"/>
      <c r="AC735" s="117"/>
      <c r="AL735" s="53"/>
      <c r="AM735" s="53"/>
      <c r="AN735" s="53"/>
      <c r="AO735" s="53"/>
      <c r="AP735" s="53"/>
      <c r="AQ735" s="53"/>
      <c r="AR735" s="53"/>
      <c r="AS735" s="53"/>
    </row>
    <row r="736" spans="1:45">
      <c r="A736" s="154" t="s">
        <v>219</v>
      </c>
      <c r="B736" s="169"/>
      <c r="C736" s="227">
        <f>C790+C843</f>
        <v>1018.0903941811775</v>
      </c>
      <c r="D736" s="250">
        <v>142.74</v>
      </c>
      <c r="E736" s="232"/>
      <c r="F736" s="229">
        <f>F790+F843</f>
        <v>145322</v>
      </c>
      <c r="G736" s="250">
        <v>151.02734165877936</v>
      </c>
      <c r="H736" s="232"/>
      <c r="I736" s="229">
        <f>I790+I843</f>
        <v>153760</v>
      </c>
      <c r="J736" s="250">
        <v>153.21735933719765</v>
      </c>
      <c r="K736" s="232"/>
      <c r="L736" s="229">
        <f>L790+L843</f>
        <v>155989</v>
      </c>
      <c r="M736" s="229"/>
      <c r="N736" s="250">
        <v>153.21735933719765</v>
      </c>
      <c r="O736" s="232"/>
      <c r="P736" s="229">
        <v>155989</v>
      </c>
      <c r="Q736" s="229"/>
      <c r="R736" s="250" t="s">
        <v>0</v>
      </c>
      <c r="S736" s="232"/>
      <c r="T736" s="229">
        <v>0</v>
      </c>
      <c r="U736" s="229"/>
      <c r="V736" s="250" t="s">
        <v>0</v>
      </c>
      <c r="W736" s="232"/>
      <c r="X736" s="229">
        <v>0</v>
      </c>
      <c r="Y736" s="117"/>
      <c r="AA736" s="63">
        <f>(J736-G736)/G736</f>
        <v>1.4500802665031735E-2</v>
      </c>
      <c r="AB736" s="63"/>
      <c r="AC736" s="117"/>
      <c r="AL736" s="53"/>
      <c r="AM736" s="53"/>
      <c r="AN736" s="53"/>
      <c r="AO736" s="53"/>
      <c r="AP736" s="53"/>
      <c r="AQ736" s="53"/>
      <c r="AR736" s="53"/>
      <c r="AS736" s="53"/>
    </row>
    <row r="737" spans="1:47">
      <c r="A737" s="154" t="s">
        <v>220</v>
      </c>
      <c r="B737" s="169"/>
      <c r="C737" s="227"/>
      <c r="D737" s="250"/>
      <c r="E737" s="232"/>
      <c r="F737" s="229"/>
      <c r="G737" s="250"/>
      <c r="H737" s="232"/>
      <c r="I737" s="229"/>
      <c r="J737" s="250"/>
      <c r="K737" s="232"/>
      <c r="L737" s="229"/>
      <c r="M737" s="229"/>
      <c r="N737" s="250"/>
      <c r="O737" s="232"/>
      <c r="P737" s="229"/>
      <c r="Q737" s="229"/>
      <c r="R737" s="250"/>
      <c r="S737" s="232"/>
      <c r="T737" s="229"/>
      <c r="U737" s="229"/>
      <c r="V737" s="250"/>
      <c r="W737" s="232"/>
      <c r="X737" s="229"/>
      <c r="Y737" s="117"/>
      <c r="AA737" s="111"/>
      <c r="AB737" s="111"/>
      <c r="AC737" s="117"/>
      <c r="AL737" s="53"/>
      <c r="AM737" s="53"/>
      <c r="AN737" s="53"/>
      <c r="AO737" s="53"/>
      <c r="AP737" s="53"/>
      <c r="AQ737" s="53"/>
      <c r="AR737" s="53"/>
      <c r="AS737" s="53"/>
    </row>
    <row r="738" spans="1:47">
      <c r="A738" s="154" t="s">
        <v>216</v>
      </c>
      <c r="B738" s="169"/>
      <c r="C738" s="227">
        <f>C792+C845</f>
        <v>41.301659380740766</v>
      </c>
      <c r="D738" s="277">
        <v>-23.87</v>
      </c>
      <c r="E738" s="232"/>
      <c r="F738" s="229">
        <f>F792+F845</f>
        <v>-986</v>
      </c>
      <c r="G738" s="277">
        <v>-25.265901957370488</v>
      </c>
      <c r="H738" s="232"/>
      <c r="I738" s="229">
        <f>I792+I845</f>
        <v>-1043</v>
      </c>
      <c r="J738" s="277">
        <f>-J730</f>
        <v>-25.642315429533081</v>
      </c>
      <c r="K738" s="232"/>
      <c r="L738" s="229">
        <f>L792+L845</f>
        <v>-1059</v>
      </c>
      <c r="M738" s="229"/>
      <c r="N738" s="277">
        <f>-N730</f>
        <v>-25.642315429533081</v>
      </c>
      <c r="O738" s="232"/>
      <c r="P738" s="229">
        <v>-1059</v>
      </c>
      <c r="Q738" s="229"/>
      <c r="R738" s="277">
        <f>-R730</f>
        <v>0</v>
      </c>
      <c r="S738" s="232"/>
      <c r="T738" s="229">
        <v>0</v>
      </c>
      <c r="U738" s="229"/>
      <c r="V738" s="277">
        <f>-V730</f>
        <v>0</v>
      </c>
      <c r="W738" s="232"/>
      <c r="X738" s="229">
        <v>0</v>
      </c>
      <c r="Y738" s="117"/>
      <c r="AA738" s="111"/>
      <c r="AB738" s="111"/>
      <c r="AC738" s="117"/>
      <c r="AL738" s="53"/>
      <c r="AM738" s="53"/>
      <c r="AN738" s="53"/>
      <c r="AO738" s="53"/>
      <c r="AP738" s="53"/>
      <c r="AQ738" s="53"/>
      <c r="AR738" s="53"/>
      <c r="AS738" s="53"/>
    </row>
    <row r="739" spans="1:47">
      <c r="A739" s="154" t="s">
        <v>221</v>
      </c>
      <c r="B739" s="169"/>
      <c r="C739" s="227">
        <f>C793+C846</f>
        <v>311.0071403485303</v>
      </c>
      <c r="D739" s="277">
        <v>-23.79</v>
      </c>
      <c r="E739" s="232"/>
      <c r="F739" s="229">
        <f>F793+F846</f>
        <v>-7399</v>
      </c>
      <c r="G739" s="277">
        <v>-25.171223609796559</v>
      </c>
      <c r="H739" s="232"/>
      <c r="I739" s="229">
        <f>I793+I846</f>
        <v>-7828</v>
      </c>
      <c r="J739" s="277">
        <f>-J732</f>
        <v>-25.536226556199608</v>
      </c>
      <c r="K739" s="232"/>
      <c r="L739" s="229">
        <f>L793+L846</f>
        <v>-7942</v>
      </c>
      <c r="M739" s="229"/>
      <c r="N739" s="277">
        <f>-N732</f>
        <v>-25.536226556199608</v>
      </c>
      <c r="O739" s="232"/>
      <c r="P739" s="229">
        <v>-7942</v>
      </c>
      <c r="Q739" s="229"/>
      <c r="R739" s="277">
        <f>-R732</f>
        <v>0</v>
      </c>
      <c r="S739" s="232"/>
      <c r="T739" s="229">
        <v>0</v>
      </c>
      <c r="U739" s="229"/>
      <c r="V739" s="277">
        <f>-V732</f>
        <v>0</v>
      </c>
      <c r="W739" s="232"/>
      <c r="X739" s="229">
        <v>0</v>
      </c>
      <c r="Y739" s="117"/>
      <c r="AA739" s="111"/>
      <c r="AB739" s="111"/>
      <c r="AC739" s="117"/>
      <c r="AL739" s="53"/>
      <c r="AM739" s="53"/>
      <c r="AN739" s="53"/>
      <c r="AO739" s="53"/>
      <c r="AP739" s="53"/>
      <c r="AQ739" s="53"/>
      <c r="AR739" s="53"/>
      <c r="AS739" s="53"/>
    </row>
    <row r="740" spans="1:47">
      <c r="A740" s="231" t="s">
        <v>183</v>
      </c>
      <c r="B740" s="169"/>
      <c r="C740" s="227">
        <f>C794+C847</f>
        <v>0</v>
      </c>
      <c r="D740" s="250"/>
      <c r="E740" s="229"/>
      <c r="F740" s="229"/>
      <c r="G740" s="250"/>
      <c r="H740" s="229"/>
      <c r="I740" s="229"/>
      <c r="J740" s="250"/>
      <c r="K740" s="229"/>
      <c r="L740" s="229"/>
      <c r="M740" s="229"/>
      <c r="N740" s="250"/>
      <c r="O740" s="229"/>
      <c r="P740" s="229"/>
      <c r="Q740" s="323" t="s">
        <v>0</v>
      </c>
      <c r="R740" s="250"/>
      <c r="S740" s="229"/>
      <c r="T740" s="229"/>
      <c r="U740" s="229"/>
      <c r="V740" s="250"/>
      <c r="W740" s="229"/>
      <c r="X740" s="229"/>
      <c r="Y740" s="117"/>
      <c r="AA740" s="111"/>
      <c r="AB740" s="111"/>
      <c r="AC740" s="117"/>
      <c r="AD740" s="111" t="s">
        <v>0</v>
      </c>
      <c r="AL740" s="53"/>
      <c r="AM740" s="53"/>
      <c r="AN740" s="53"/>
      <c r="AO740" s="53"/>
      <c r="AP740" s="53"/>
      <c r="AQ740" s="53"/>
      <c r="AR740" s="53"/>
      <c r="AS740" s="53"/>
    </row>
    <row r="741" spans="1:47">
      <c r="A741" s="154" t="s">
        <v>222</v>
      </c>
      <c r="B741" s="169"/>
      <c r="C741" s="227">
        <f>C795+C848</f>
        <v>148745366.55847031</v>
      </c>
      <c r="D741" s="324">
        <v>6.4390000000000001</v>
      </c>
      <c r="E741" s="229" t="s">
        <v>107</v>
      </c>
      <c r="F741" s="229">
        <f>F795+F848</f>
        <v>9577714</v>
      </c>
      <c r="G741" s="324">
        <v>6.8159999999999998</v>
      </c>
      <c r="H741" s="229" t="s">
        <v>107</v>
      </c>
      <c r="I741" s="229">
        <f>I795+I848</f>
        <v>10138484</v>
      </c>
      <c r="J741" s="324">
        <v>6.9180000000000001</v>
      </c>
      <c r="K741" s="229" t="s">
        <v>107</v>
      </c>
      <c r="L741" s="229">
        <f>L795+L848</f>
        <v>10290205</v>
      </c>
      <c r="M741" s="229"/>
      <c r="N741" s="324">
        <v>9.7256693119232948E-2</v>
      </c>
      <c r="O741" s="323" t="s">
        <v>0</v>
      </c>
      <c r="P741" s="229">
        <v>144664.82468284963</v>
      </c>
      <c r="Q741" s="229"/>
      <c r="R741" s="324">
        <v>1.3449860146278823</v>
      </c>
      <c r="S741" s="229" t="s">
        <v>107</v>
      </c>
      <c r="T741" s="229">
        <v>2000604.3776184043</v>
      </c>
      <c r="U741" s="229"/>
      <c r="V741" s="324">
        <v>5.4757786184457329</v>
      </c>
      <c r="W741" s="229" t="s">
        <v>107</v>
      </c>
      <c r="X741" s="229">
        <v>8144966.977937446</v>
      </c>
      <c r="Y741" s="325"/>
      <c r="AA741" s="63">
        <f>((J741+J743)-G741)/G741</f>
        <v>1.4964788732394412E-2</v>
      </c>
      <c r="AB741" s="63"/>
      <c r="AC741" s="117"/>
      <c r="AL741" s="53"/>
      <c r="AM741" s="53"/>
      <c r="AN741" s="53"/>
      <c r="AO741" s="53"/>
      <c r="AP741" s="53"/>
      <c r="AQ741" s="53"/>
      <c r="AR741" s="53"/>
      <c r="AS741" s="53"/>
    </row>
    <row r="742" spans="1:47">
      <c r="A742" s="231" t="s">
        <v>152</v>
      </c>
      <c r="B742" s="169"/>
      <c r="C742" s="227">
        <f>C796+C849</f>
        <v>54173</v>
      </c>
      <c r="D742" s="326">
        <v>56</v>
      </c>
      <c r="E742" s="231" t="s">
        <v>107</v>
      </c>
      <c r="F742" s="229">
        <f>F796+F849</f>
        <v>30337</v>
      </c>
      <c r="G742" s="326">
        <v>56</v>
      </c>
      <c r="H742" s="231" t="s">
        <v>107</v>
      </c>
      <c r="I742" s="229">
        <f>I796+I849</f>
        <v>30337</v>
      </c>
      <c r="J742" s="326">
        <v>56</v>
      </c>
      <c r="K742" s="231" t="s">
        <v>107</v>
      </c>
      <c r="L742" s="229">
        <f>L796+L849</f>
        <v>30337</v>
      </c>
      <c r="M742" s="229"/>
      <c r="N742" s="326" t="s">
        <v>0</v>
      </c>
      <c r="O742" s="327" t="s">
        <v>0</v>
      </c>
      <c r="P742" s="229">
        <v>0</v>
      </c>
      <c r="Q742" s="229"/>
      <c r="R742" s="326">
        <v>11</v>
      </c>
      <c r="S742" s="231" t="s">
        <v>107</v>
      </c>
      <c r="T742" s="229">
        <v>5982.1505242850208</v>
      </c>
      <c r="U742" s="229"/>
      <c r="V742" s="326">
        <v>45</v>
      </c>
      <c r="W742" s="231" t="s">
        <v>107</v>
      </c>
      <c r="X742" s="229">
        <v>24354.849475714975</v>
      </c>
      <c r="AA742" s="63">
        <f>(J742-G742)/G742</f>
        <v>0</v>
      </c>
      <c r="AB742" s="63"/>
      <c r="AC742" s="117"/>
      <c r="AL742" s="53"/>
      <c r="AM742" s="53"/>
      <c r="AN742" s="53"/>
      <c r="AO742" s="53"/>
      <c r="AP742" s="53"/>
      <c r="AQ742" s="53"/>
      <c r="AR742" s="53"/>
      <c r="AS742" s="53"/>
    </row>
    <row r="743" spans="1:47" s="141" customFormat="1" hidden="1">
      <c r="A743" s="140" t="s">
        <v>223</v>
      </c>
      <c r="C743" s="239">
        <f>C741</f>
        <v>148745366.55847031</v>
      </c>
      <c r="D743" s="138"/>
      <c r="E743" s="143"/>
      <c r="F743" s="144"/>
      <c r="G743" s="138"/>
      <c r="H743" s="143"/>
      <c r="I743" s="144"/>
      <c r="J743" s="145">
        <v>0</v>
      </c>
      <c r="K743" s="240" t="s">
        <v>107</v>
      </c>
      <c r="L743" s="283">
        <f>L797+L850</f>
        <v>0</v>
      </c>
      <c r="M743" s="283"/>
      <c r="N743" s="145" t="s">
        <v>0</v>
      </c>
      <c r="O743" s="240" t="s">
        <v>0</v>
      </c>
      <c r="P743" s="229">
        <v>0</v>
      </c>
      <c r="Q743" s="283"/>
      <c r="R743" s="145" t="s">
        <v>0</v>
      </c>
      <c r="S743" s="240" t="s">
        <v>0</v>
      </c>
      <c r="T743" s="283">
        <f>T797+T850</f>
        <v>0</v>
      </c>
      <c r="U743" s="283"/>
      <c r="V743" s="145">
        <v>0</v>
      </c>
      <c r="W743" s="240" t="s">
        <v>107</v>
      </c>
      <c r="X743" s="229">
        <v>0</v>
      </c>
      <c r="Y743" s="147">
        <v>4820591.7626756122</v>
      </c>
      <c r="Z743" s="132" t="s">
        <v>108</v>
      </c>
      <c r="AC743" s="148"/>
      <c r="AD743" s="148"/>
      <c r="AI743" s="143"/>
      <c r="AJ743" s="143"/>
      <c r="AK743" s="143"/>
      <c r="AL743" s="143"/>
      <c r="AM743" s="143"/>
      <c r="AN743" s="143"/>
      <c r="AO743" s="143"/>
      <c r="AP743" s="143"/>
      <c r="AQ743" s="143"/>
      <c r="AR743" s="143"/>
      <c r="AS743" s="143"/>
      <c r="AU743" s="147"/>
    </row>
    <row r="744" spans="1:47" s="141" customFormat="1" hidden="1">
      <c r="A744" s="202" t="s">
        <v>224</v>
      </c>
      <c r="B744" s="203"/>
      <c r="C744" s="241"/>
      <c r="D744" s="205"/>
      <c r="E744" s="206"/>
      <c r="F744" s="207"/>
      <c r="G744" s="328">
        <f>G741</f>
        <v>6.8159999999999998</v>
      </c>
      <c r="H744" s="242" t="s">
        <v>107</v>
      </c>
      <c r="I744" s="207"/>
      <c r="J744" s="208">
        <f>J741+J743</f>
        <v>6.9180000000000001</v>
      </c>
      <c r="K744" s="242" t="s">
        <v>107</v>
      </c>
      <c r="L744" s="299"/>
      <c r="M744" s="299"/>
      <c r="N744" s="208">
        <f>N741+N743</f>
        <v>9.7256693119232948E-2</v>
      </c>
      <c r="O744" s="242" t="s">
        <v>107</v>
      </c>
      <c r="P744" s="299"/>
      <c r="Q744" s="299"/>
      <c r="R744" s="208">
        <f>R741+R743</f>
        <v>1.3449860146278823</v>
      </c>
      <c r="S744" s="242" t="s">
        <v>107</v>
      </c>
      <c r="T744" s="299"/>
      <c r="U744" s="299"/>
      <c r="V744" s="208">
        <f>V741+V743</f>
        <v>5.4757786184457329</v>
      </c>
      <c r="W744" s="242" t="s">
        <v>107</v>
      </c>
      <c r="X744" s="299"/>
      <c r="Y744" s="147"/>
      <c r="Z744" s="132"/>
      <c r="AA744" s="63">
        <f>(J744-G744)/G744</f>
        <v>1.4964788732394412E-2</v>
      </c>
      <c r="AC744" s="148"/>
      <c r="AD744" s="148"/>
      <c r="AI744" s="143"/>
      <c r="AJ744" s="143"/>
      <c r="AK744" s="143"/>
      <c r="AL744" s="143"/>
      <c r="AM744" s="143"/>
      <c r="AN744" s="143"/>
      <c r="AO744" s="143"/>
      <c r="AP744" s="143"/>
      <c r="AQ744" s="143"/>
      <c r="AR744" s="143"/>
      <c r="AS744" s="143"/>
      <c r="AU744" s="147"/>
    </row>
    <row r="745" spans="1:47">
      <c r="A745" s="284" t="s">
        <v>159</v>
      </c>
      <c r="B745" s="169"/>
      <c r="C745" s="227"/>
      <c r="D745" s="245">
        <v>-0.01</v>
      </c>
      <c r="E745" s="131"/>
      <c r="F745" s="229"/>
      <c r="G745" s="245">
        <v>-0.01</v>
      </c>
      <c r="H745" s="169"/>
      <c r="I745" s="229"/>
      <c r="J745" s="245">
        <v>-0.01</v>
      </c>
      <c r="K745" s="169"/>
      <c r="L745" s="229"/>
      <c r="M745" s="229"/>
      <c r="N745" s="245">
        <v>-0.01</v>
      </c>
      <c r="O745" s="169"/>
      <c r="P745" s="229"/>
      <c r="Q745" s="229"/>
      <c r="R745" s="245">
        <v>-0.01</v>
      </c>
      <c r="S745" s="169"/>
      <c r="T745" s="229"/>
      <c r="U745" s="229"/>
      <c r="V745" s="245">
        <v>-0.01</v>
      </c>
      <c r="W745" s="169"/>
      <c r="X745" s="229"/>
      <c r="AL745" s="53"/>
      <c r="AM745" s="53"/>
      <c r="AN745" s="53"/>
      <c r="AO745" s="53"/>
      <c r="AP745" s="53"/>
      <c r="AQ745" s="53"/>
      <c r="AR745" s="53"/>
      <c r="AS745" s="53"/>
    </row>
    <row r="746" spans="1:47">
      <c r="A746" s="154" t="s">
        <v>143</v>
      </c>
      <c r="B746" s="169"/>
      <c r="C746" s="227">
        <f>C799+C852</f>
        <v>0</v>
      </c>
      <c r="D746" s="273">
        <v>0</v>
      </c>
      <c r="E746" s="232"/>
      <c r="F746" s="229">
        <f>F799+F852</f>
        <v>0</v>
      </c>
      <c r="G746" s="273">
        <v>0</v>
      </c>
      <c r="H746" s="232"/>
      <c r="I746" s="229">
        <f>I799+I852</f>
        <v>0</v>
      </c>
      <c r="J746" s="273">
        <f>J721</f>
        <v>0</v>
      </c>
      <c r="K746" s="232"/>
      <c r="L746" s="229">
        <f>L799+L852</f>
        <v>0</v>
      </c>
      <c r="M746" s="229"/>
      <c r="N746" s="273">
        <f>N721</f>
        <v>0</v>
      </c>
      <c r="O746" s="232"/>
      <c r="P746" s="229">
        <v>0</v>
      </c>
      <c r="Q746" s="229"/>
      <c r="R746" s="273" t="str">
        <f>R721</f>
        <v xml:space="preserve"> </v>
      </c>
      <c r="S746" s="232"/>
      <c r="T746" s="229">
        <v>0</v>
      </c>
      <c r="U746" s="229"/>
      <c r="V746" s="273" t="str">
        <f>V721</f>
        <v xml:space="preserve"> </v>
      </c>
      <c r="W746" s="232"/>
      <c r="X746" s="229">
        <v>0</v>
      </c>
      <c r="AL746" s="53"/>
      <c r="AM746" s="53"/>
      <c r="AN746" s="53"/>
      <c r="AO746" s="53"/>
      <c r="AP746" s="53"/>
      <c r="AQ746" s="53"/>
      <c r="AR746" s="53"/>
      <c r="AS746" s="53"/>
    </row>
    <row r="747" spans="1:47">
      <c r="A747" s="154" t="s">
        <v>144</v>
      </c>
      <c r="B747" s="169"/>
      <c r="C747" s="227"/>
      <c r="D747" s="273"/>
      <c r="E747" s="232"/>
      <c r="F747" s="229"/>
      <c r="G747" s="273"/>
      <c r="H747" s="232"/>
      <c r="I747" s="229"/>
      <c r="J747" s="273"/>
      <c r="K747" s="232"/>
      <c r="L747" s="229"/>
      <c r="M747" s="229"/>
      <c r="N747" s="273"/>
      <c r="O747" s="232"/>
      <c r="P747" s="229"/>
      <c r="Q747" s="229"/>
      <c r="R747" s="273"/>
      <c r="S747" s="232"/>
      <c r="T747" s="229"/>
      <c r="U747" s="229"/>
      <c r="V747" s="273"/>
      <c r="W747" s="232"/>
      <c r="X747" s="229"/>
      <c r="AL747" s="53"/>
      <c r="AM747" s="53"/>
      <c r="AN747" s="53"/>
      <c r="AO747" s="53"/>
      <c r="AP747" s="53"/>
      <c r="AQ747" s="53"/>
      <c r="AR747" s="53"/>
      <c r="AS747" s="53"/>
    </row>
    <row r="748" spans="1:47">
      <c r="A748" s="154" t="s">
        <v>210</v>
      </c>
      <c r="B748" s="169"/>
      <c r="C748" s="227">
        <f>C801+C854</f>
        <v>1.00272540556427</v>
      </c>
      <c r="D748" s="273">
        <v>0</v>
      </c>
      <c r="E748" s="232"/>
      <c r="F748" s="229">
        <f>F801+F854</f>
        <v>0</v>
      </c>
      <c r="G748" s="273">
        <v>0</v>
      </c>
      <c r="H748" s="232"/>
      <c r="I748" s="229">
        <f>I801+I854</f>
        <v>0</v>
      </c>
      <c r="J748" s="273">
        <f>J723</f>
        <v>0</v>
      </c>
      <c r="K748" s="232"/>
      <c r="L748" s="229">
        <f>L801+L854</f>
        <v>0</v>
      </c>
      <c r="M748" s="229"/>
      <c r="N748" s="273">
        <f>N723</f>
        <v>0</v>
      </c>
      <c r="O748" s="232"/>
      <c r="P748" s="229">
        <v>0</v>
      </c>
      <c r="Q748" s="229"/>
      <c r="R748" s="273" t="str">
        <f>R723</f>
        <v xml:space="preserve"> </v>
      </c>
      <c r="S748" s="232"/>
      <c r="T748" s="229">
        <v>0</v>
      </c>
      <c r="U748" s="229"/>
      <c r="V748" s="273" t="str">
        <f>V723</f>
        <v xml:space="preserve"> </v>
      </c>
      <c r="W748" s="232"/>
      <c r="X748" s="229">
        <v>0</v>
      </c>
      <c r="AL748" s="53"/>
      <c r="AM748" s="53"/>
      <c r="AN748" s="53"/>
      <c r="AO748" s="53"/>
      <c r="AP748" s="53"/>
      <c r="AQ748" s="53"/>
      <c r="AR748" s="53"/>
      <c r="AS748" s="53"/>
    </row>
    <row r="749" spans="1:47">
      <c r="A749" s="154" t="s">
        <v>211</v>
      </c>
      <c r="B749" s="169"/>
      <c r="C749" s="227">
        <f>C802+C855</f>
        <v>0</v>
      </c>
      <c r="D749" s="273">
        <v>357</v>
      </c>
      <c r="E749" s="232"/>
      <c r="F749" s="229">
        <f>F802+F855</f>
        <v>0</v>
      </c>
      <c r="G749" s="273">
        <v>357</v>
      </c>
      <c r="H749" s="232"/>
      <c r="I749" s="229">
        <f>I802+I855</f>
        <v>0</v>
      </c>
      <c r="J749" s="273">
        <f>J724</f>
        <v>362</v>
      </c>
      <c r="K749" s="232"/>
      <c r="L749" s="229">
        <f>L802+L855</f>
        <v>0</v>
      </c>
      <c r="M749" s="229"/>
      <c r="N749" s="273">
        <f>N724</f>
        <v>362</v>
      </c>
      <c r="O749" s="232"/>
      <c r="P749" s="229">
        <v>0</v>
      </c>
      <c r="Q749" s="229"/>
      <c r="R749" s="273" t="str">
        <f>R724</f>
        <v xml:space="preserve"> </v>
      </c>
      <c r="S749" s="232"/>
      <c r="T749" s="229">
        <v>0</v>
      </c>
      <c r="U749" s="229"/>
      <c r="V749" s="273" t="str">
        <f>V724</f>
        <v xml:space="preserve"> </v>
      </c>
      <c r="W749" s="232"/>
      <c r="X749" s="229">
        <v>0</v>
      </c>
      <c r="AL749" s="53"/>
      <c r="AM749" s="53"/>
      <c r="AN749" s="53"/>
      <c r="AO749" s="53"/>
      <c r="AP749" s="53"/>
      <c r="AQ749" s="53"/>
      <c r="AR749" s="53"/>
      <c r="AS749" s="53"/>
    </row>
    <row r="750" spans="1:47">
      <c r="A750" s="154" t="s">
        <v>212</v>
      </c>
      <c r="B750" s="169"/>
      <c r="C750" s="227">
        <f>C803+C856</f>
        <v>0</v>
      </c>
      <c r="D750" s="273">
        <v>1457</v>
      </c>
      <c r="E750" s="232"/>
      <c r="F750" s="229">
        <f>F803+F856</f>
        <v>0</v>
      </c>
      <c r="G750" s="273">
        <v>1457</v>
      </c>
      <c r="H750" s="232"/>
      <c r="I750" s="229">
        <f>I803+I856</f>
        <v>0</v>
      </c>
      <c r="J750" s="273">
        <f>J725</f>
        <v>1479</v>
      </c>
      <c r="K750" s="232"/>
      <c r="L750" s="229">
        <f>L803+L856</f>
        <v>0</v>
      </c>
      <c r="M750" s="229"/>
      <c r="N750" s="273">
        <f>N725</f>
        <v>1479</v>
      </c>
      <c r="O750" s="232"/>
      <c r="P750" s="229">
        <v>0</v>
      </c>
      <c r="Q750" s="229"/>
      <c r="R750" s="273" t="str">
        <f>R725</f>
        <v xml:space="preserve"> </v>
      </c>
      <c r="S750" s="232"/>
      <c r="T750" s="229">
        <v>0</v>
      </c>
      <c r="U750" s="229"/>
      <c r="V750" s="273" t="str">
        <f>V725</f>
        <v xml:space="preserve"> </v>
      </c>
      <c r="W750" s="232"/>
      <c r="X750" s="229">
        <v>0</v>
      </c>
      <c r="AL750" s="53"/>
      <c r="AM750" s="53"/>
      <c r="AN750" s="53"/>
      <c r="AO750" s="53"/>
      <c r="AP750" s="53"/>
      <c r="AQ750" s="53"/>
      <c r="AR750" s="53"/>
      <c r="AS750" s="53"/>
    </row>
    <row r="751" spans="1:47">
      <c r="A751" s="154" t="s">
        <v>143</v>
      </c>
      <c r="B751" s="169"/>
      <c r="C751" s="227">
        <f>C804+C857</f>
        <v>0</v>
      </c>
      <c r="D751" s="273">
        <v>23.87</v>
      </c>
      <c r="E751" s="232"/>
      <c r="F751" s="229">
        <f>F804+F857</f>
        <v>0</v>
      </c>
      <c r="G751" s="273">
        <v>25.265901957370488</v>
      </c>
      <c r="H751" s="232"/>
      <c r="I751" s="229">
        <f>I804+I857</f>
        <v>0</v>
      </c>
      <c r="J751" s="273">
        <f>J730</f>
        <v>25.642315429533081</v>
      </c>
      <c r="K751" s="232"/>
      <c r="L751" s="229">
        <f>L804+L857</f>
        <v>0</v>
      </c>
      <c r="M751" s="229"/>
      <c r="N751" s="273">
        <f>N730</f>
        <v>25.642315429533081</v>
      </c>
      <c r="O751" s="232"/>
      <c r="P751" s="229">
        <v>0</v>
      </c>
      <c r="Q751" s="229"/>
      <c r="R751" s="273" t="str">
        <f>R730</f>
        <v xml:space="preserve"> </v>
      </c>
      <c r="S751" s="232"/>
      <c r="T751" s="229">
        <v>0</v>
      </c>
      <c r="U751" s="229"/>
      <c r="V751" s="273" t="str">
        <f>V730</f>
        <v xml:space="preserve"> </v>
      </c>
      <c r="W751" s="232"/>
      <c r="X751" s="229">
        <v>0</v>
      </c>
      <c r="AL751" s="53"/>
      <c r="AM751" s="53"/>
      <c r="AN751" s="53"/>
      <c r="AO751" s="53"/>
      <c r="AP751" s="53"/>
      <c r="AQ751" s="53"/>
      <c r="AR751" s="53"/>
      <c r="AS751" s="53"/>
    </row>
    <row r="752" spans="1:47">
      <c r="A752" s="154" t="s">
        <v>144</v>
      </c>
      <c r="B752" s="169"/>
      <c r="C752" s="227"/>
      <c r="D752" s="273"/>
      <c r="E752" s="232"/>
      <c r="F752" s="229"/>
      <c r="G752" s="273"/>
      <c r="H752" s="232"/>
      <c r="I752" s="229"/>
      <c r="J752" s="273"/>
      <c r="K752" s="232"/>
      <c r="L752" s="229"/>
      <c r="M752" s="229"/>
      <c r="N752" s="273"/>
      <c r="O752" s="232"/>
      <c r="P752" s="229"/>
      <c r="Q752" s="229"/>
      <c r="R752" s="273"/>
      <c r="S752" s="232"/>
      <c r="T752" s="229"/>
      <c r="U752" s="229"/>
      <c r="V752" s="273"/>
      <c r="W752" s="232"/>
      <c r="X752" s="229"/>
      <c r="AL752" s="53"/>
      <c r="AM752" s="53"/>
      <c r="AN752" s="53"/>
      <c r="AO752" s="53"/>
      <c r="AP752" s="53"/>
      <c r="AQ752" s="53"/>
      <c r="AR752" s="53"/>
      <c r="AS752" s="53"/>
    </row>
    <row r="753" spans="1:47">
      <c r="A753" s="154" t="s">
        <v>210</v>
      </c>
      <c r="B753" s="169"/>
      <c r="C753" s="227">
        <f>C806+C859</f>
        <v>30.440941572089098</v>
      </c>
      <c r="D753" s="273">
        <v>23.79</v>
      </c>
      <c r="E753" s="232"/>
      <c r="F753" s="229">
        <f>F806+F859</f>
        <v>-7</v>
      </c>
      <c r="G753" s="273">
        <v>25.171223609796559</v>
      </c>
      <c r="H753" s="232"/>
      <c r="I753" s="229">
        <f>I806+I859</f>
        <v>-8</v>
      </c>
      <c r="J753" s="273">
        <f>J732</f>
        <v>25.536226556199608</v>
      </c>
      <c r="K753" s="232"/>
      <c r="L753" s="229">
        <f>L806+L859</f>
        <v>-8</v>
      </c>
      <c r="M753" s="229"/>
      <c r="N753" s="273">
        <f>N732</f>
        <v>25.536226556199608</v>
      </c>
      <c r="O753" s="232"/>
      <c r="P753" s="229">
        <v>-8</v>
      </c>
      <c r="Q753" s="229"/>
      <c r="R753" s="273" t="str">
        <f>R732</f>
        <v xml:space="preserve"> </v>
      </c>
      <c r="S753" s="232"/>
      <c r="T753" s="229">
        <v>0</v>
      </c>
      <c r="U753" s="229"/>
      <c r="V753" s="273" t="str">
        <f>V732</f>
        <v xml:space="preserve"> </v>
      </c>
      <c r="W753" s="232"/>
      <c r="X753" s="229">
        <v>0</v>
      </c>
      <c r="AL753" s="53"/>
      <c r="AM753" s="53"/>
      <c r="AN753" s="53"/>
      <c r="AO753" s="53"/>
      <c r="AP753" s="53"/>
      <c r="AQ753" s="53"/>
      <c r="AR753" s="53"/>
      <c r="AS753" s="53"/>
    </row>
    <row r="754" spans="1:47">
      <c r="A754" s="154" t="s">
        <v>211</v>
      </c>
      <c r="B754" s="169"/>
      <c r="C754" s="227">
        <f>C807+C860</f>
        <v>0</v>
      </c>
      <c r="D754" s="273">
        <v>16.559999999999999</v>
      </c>
      <c r="E754" s="232"/>
      <c r="F754" s="229">
        <f>F807+F860</f>
        <v>0</v>
      </c>
      <c r="G754" s="273">
        <v>17.5284179478029</v>
      </c>
      <c r="H754" s="232"/>
      <c r="I754" s="229">
        <f>I807+I860</f>
        <v>0</v>
      </c>
      <c r="J754" s="273">
        <f>J733</f>
        <v>17.789557750861658</v>
      </c>
      <c r="K754" s="232"/>
      <c r="L754" s="229">
        <f>L807+L860</f>
        <v>0</v>
      </c>
      <c r="M754" s="229"/>
      <c r="N754" s="273">
        <f>N733</f>
        <v>17.789557750861658</v>
      </c>
      <c r="O754" s="232"/>
      <c r="P754" s="229">
        <v>0</v>
      </c>
      <c r="Q754" s="229"/>
      <c r="R754" s="273" t="str">
        <f>R733</f>
        <v xml:space="preserve"> </v>
      </c>
      <c r="S754" s="232"/>
      <c r="T754" s="229">
        <v>0</v>
      </c>
      <c r="U754" s="229"/>
      <c r="V754" s="273" t="str">
        <f>V733</f>
        <v xml:space="preserve"> </v>
      </c>
      <c r="W754" s="232"/>
      <c r="X754" s="229">
        <v>0</v>
      </c>
      <c r="AL754" s="53"/>
      <c r="AM754" s="53"/>
      <c r="AN754" s="53"/>
      <c r="AO754" s="53"/>
      <c r="AP754" s="53"/>
      <c r="AQ754" s="53"/>
      <c r="AR754" s="53"/>
      <c r="AS754" s="53"/>
    </row>
    <row r="755" spans="1:47">
      <c r="A755" s="154" t="s">
        <v>212</v>
      </c>
      <c r="B755" s="169"/>
      <c r="C755" s="227">
        <f>C808+C861</f>
        <v>0</v>
      </c>
      <c r="D755" s="273">
        <v>12.96</v>
      </c>
      <c r="E755" s="232"/>
      <c r="F755" s="229">
        <f>F808+F861</f>
        <v>0</v>
      </c>
      <c r="G755" s="273">
        <v>13.717892306976186</v>
      </c>
      <c r="H755" s="232"/>
      <c r="I755" s="229">
        <f>I808+I861</f>
        <v>0</v>
      </c>
      <c r="J755" s="273">
        <f>J734</f>
        <v>13.922262587630865</v>
      </c>
      <c r="K755" s="232"/>
      <c r="L755" s="229">
        <f>L808+L861</f>
        <v>0</v>
      </c>
      <c r="M755" s="229"/>
      <c r="N755" s="273">
        <f>N734</f>
        <v>13.922262587630865</v>
      </c>
      <c r="O755" s="232"/>
      <c r="P755" s="229">
        <v>0</v>
      </c>
      <c r="Q755" s="229"/>
      <c r="R755" s="273" t="str">
        <f>R734</f>
        <v xml:space="preserve"> </v>
      </c>
      <c r="S755" s="232"/>
      <c r="T755" s="229">
        <v>0</v>
      </c>
      <c r="U755" s="229"/>
      <c r="V755" s="273" t="str">
        <f>V734</f>
        <v xml:space="preserve"> </v>
      </c>
      <c r="W755" s="232"/>
      <c r="X755" s="229">
        <v>0</v>
      </c>
      <c r="AL755" s="53"/>
      <c r="AM755" s="53"/>
      <c r="AN755" s="53"/>
      <c r="AO755" s="53"/>
      <c r="AP755" s="53"/>
      <c r="AQ755" s="53"/>
      <c r="AR755" s="53"/>
      <c r="AS755" s="53"/>
    </row>
    <row r="756" spans="1:47">
      <c r="A756" s="154" t="s">
        <v>225</v>
      </c>
      <c r="B756" s="169"/>
      <c r="C756" s="227">
        <f>C809+C862</f>
        <v>0</v>
      </c>
      <c r="D756" s="277">
        <v>71.61</v>
      </c>
      <c r="E756" s="232"/>
      <c r="F756" s="229">
        <f>F809+F862</f>
        <v>0</v>
      </c>
      <c r="G756" s="277">
        <v>75.797705872111464</v>
      </c>
      <c r="H756" s="232"/>
      <c r="I756" s="229">
        <f>I809+I862</f>
        <v>0</v>
      </c>
      <c r="J756" s="277">
        <f>J735</f>
        <v>76.92694628859924</v>
      </c>
      <c r="K756" s="232"/>
      <c r="L756" s="229">
        <f>L809+L862</f>
        <v>0</v>
      </c>
      <c r="M756" s="229"/>
      <c r="N756" s="277">
        <f>N735</f>
        <v>76.92694628859924</v>
      </c>
      <c r="O756" s="232"/>
      <c r="P756" s="229">
        <v>0</v>
      </c>
      <c r="Q756" s="229"/>
      <c r="R756" s="277" t="str">
        <f>R735</f>
        <v xml:space="preserve"> </v>
      </c>
      <c r="S756" s="232"/>
      <c r="T756" s="229">
        <v>0</v>
      </c>
      <c r="U756" s="229"/>
      <c r="V756" s="277" t="str">
        <f>V735</f>
        <v xml:space="preserve"> </v>
      </c>
      <c r="W756" s="232"/>
      <c r="X756" s="229">
        <v>0</v>
      </c>
      <c r="AL756" s="53"/>
      <c r="AM756" s="53"/>
      <c r="AN756" s="53"/>
      <c r="AO756" s="53"/>
      <c r="AP756" s="53"/>
      <c r="AQ756" s="53"/>
      <c r="AR756" s="53"/>
      <c r="AS756" s="53"/>
    </row>
    <row r="757" spans="1:47">
      <c r="A757" s="154" t="s">
        <v>226</v>
      </c>
      <c r="B757" s="169"/>
      <c r="C757" s="227">
        <f>C810+C863</f>
        <v>0</v>
      </c>
      <c r="D757" s="277">
        <v>142.74</v>
      </c>
      <c r="E757" s="232"/>
      <c r="F757" s="229">
        <f>F810+F863</f>
        <v>0</v>
      </c>
      <c r="G757" s="277">
        <v>151.02734165877936</v>
      </c>
      <c r="H757" s="232"/>
      <c r="I757" s="229">
        <f>I810+I863</f>
        <v>0</v>
      </c>
      <c r="J757" s="277">
        <f>J736</f>
        <v>153.21735933719765</v>
      </c>
      <c r="K757" s="232"/>
      <c r="L757" s="229">
        <f>L810+L863</f>
        <v>0</v>
      </c>
      <c r="M757" s="229"/>
      <c r="N757" s="277">
        <f>N736</f>
        <v>153.21735933719765</v>
      </c>
      <c r="O757" s="232"/>
      <c r="P757" s="229">
        <v>0</v>
      </c>
      <c r="Q757" s="229"/>
      <c r="R757" s="277" t="str">
        <f>R736</f>
        <v xml:space="preserve"> </v>
      </c>
      <c r="S757" s="232"/>
      <c r="T757" s="229">
        <v>0</v>
      </c>
      <c r="U757" s="229"/>
      <c r="V757" s="277" t="str">
        <f>V736</f>
        <v xml:space="preserve"> </v>
      </c>
      <c r="W757" s="232"/>
      <c r="X757" s="229">
        <v>0</v>
      </c>
      <c r="AL757" s="53"/>
      <c r="AM757" s="53"/>
      <c r="AN757" s="53"/>
      <c r="AO757" s="53"/>
      <c r="AP757" s="53"/>
      <c r="AQ757" s="53"/>
      <c r="AR757" s="53"/>
      <c r="AS757" s="53"/>
    </row>
    <row r="758" spans="1:47">
      <c r="A758" s="154" t="s">
        <v>220</v>
      </c>
      <c r="B758" s="169"/>
      <c r="C758" s="227"/>
      <c r="D758" s="250"/>
      <c r="E758" s="232"/>
      <c r="F758" s="229"/>
      <c r="G758" s="250"/>
      <c r="H758" s="232"/>
      <c r="I758" s="229"/>
      <c r="J758" s="250"/>
      <c r="K758" s="232"/>
      <c r="L758" s="229"/>
      <c r="M758" s="229"/>
      <c r="N758" s="250"/>
      <c r="O758" s="232"/>
      <c r="P758" s="229"/>
      <c r="Q758" s="229"/>
      <c r="R758" s="250"/>
      <c r="S758" s="232"/>
      <c r="T758" s="229"/>
      <c r="U758" s="229"/>
      <c r="V758" s="250"/>
      <c r="W758" s="232"/>
      <c r="X758" s="229"/>
      <c r="AL758" s="53"/>
      <c r="AM758" s="53"/>
      <c r="AN758" s="53"/>
      <c r="AO758" s="53"/>
      <c r="AP758" s="53"/>
      <c r="AQ758" s="53"/>
      <c r="AR758" s="53"/>
      <c r="AS758" s="53"/>
    </row>
    <row r="759" spans="1:47">
      <c r="A759" s="154" t="s">
        <v>216</v>
      </c>
      <c r="B759" s="169"/>
      <c r="C759" s="227">
        <f>C812+C865</f>
        <v>0</v>
      </c>
      <c r="D759" s="277">
        <v>-23.87</v>
      </c>
      <c r="E759" s="232"/>
      <c r="F759" s="229">
        <f>F812+F865</f>
        <v>0</v>
      </c>
      <c r="G759" s="277">
        <v>-25.265901957370488</v>
      </c>
      <c r="H759" s="232"/>
      <c r="I759" s="229">
        <f>I812+I865</f>
        <v>0</v>
      </c>
      <c r="J759" s="277">
        <f>J738</f>
        <v>-25.642315429533081</v>
      </c>
      <c r="K759" s="232"/>
      <c r="L759" s="229">
        <f>L812+L865</f>
        <v>0</v>
      </c>
      <c r="M759" s="229"/>
      <c r="N759" s="277">
        <f>N738</f>
        <v>-25.642315429533081</v>
      </c>
      <c r="O759" s="232"/>
      <c r="P759" s="229">
        <v>0</v>
      </c>
      <c r="Q759" s="229"/>
      <c r="R759" s="277">
        <f>R738</f>
        <v>0</v>
      </c>
      <c r="S759" s="232"/>
      <c r="T759" s="229">
        <v>0</v>
      </c>
      <c r="U759" s="229"/>
      <c r="V759" s="277">
        <f>V738</f>
        <v>0</v>
      </c>
      <c r="W759" s="232"/>
      <c r="X759" s="229">
        <v>0</v>
      </c>
      <c r="AL759" s="53"/>
      <c r="AM759" s="53"/>
      <c r="AN759" s="53"/>
      <c r="AO759" s="53"/>
      <c r="AP759" s="53"/>
      <c r="AQ759" s="53"/>
      <c r="AR759" s="53"/>
      <c r="AS759" s="53"/>
    </row>
    <row r="760" spans="1:47">
      <c r="A760" s="154" t="s">
        <v>221</v>
      </c>
      <c r="B760" s="169"/>
      <c r="C760" s="227">
        <f>C813+C866</f>
        <v>0</v>
      </c>
      <c r="D760" s="277">
        <v>-23.79</v>
      </c>
      <c r="E760" s="232"/>
      <c r="F760" s="229">
        <f>F813+F866</f>
        <v>0</v>
      </c>
      <c r="G760" s="277">
        <v>-25.171223609796559</v>
      </c>
      <c r="H760" s="232"/>
      <c r="I760" s="229">
        <f>I813+I866</f>
        <v>0</v>
      </c>
      <c r="J760" s="277">
        <f>J739</f>
        <v>-25.536226556199608</v>
      </c>
      <c r="K760" s="232"/>
      <c r="L760" s="229">
        <f>L813+L866</f>
        <v>0</v>
      </c>
      <c r="M760" s="229"/>
      <c r="N760" s="277">
        <f>N739</f>
        <v>-25.536226556199608</v>
      </c>
      <c r="O760" s="232"/>
      <c r="P760" s="229">
        <v>0</v>
      </c>
      <c r="Q760" s="229"/>
      <c r="R760" s="277">
        <f>R739</f>
        <v>0</v>
      </c>
      <c r="S760" s="232"/>
      <c r="T760" s="229">
        <v>0</v>
      </c>
      <c r="U760" s="229"/>
      <c r="V760" s="277">
        <f>V739</f>
        <v>0</v>
      </c>
      <c r="W760" s="232"/>
      <c r="X760" s="229">
        <v>0</v>
      </c>
      <c r="AL760" s="53"/>
      <c r="AM760" s="53"/>
      <c r="AN760" s="53"/>
      <c r="AO760" s="53"/>
      <c r="AP760" s="53"/>
      <c r="AQ760" s="53"/>
      <c r="AR760" s="53"/>
      <c r="AS760" s="53"/>
    </row>
    <row r="761" spans="1:47">
      <c r="A761" s="231" t="s">
        <v>183</v>
      </c>
      <c r="B761" s="169"/>
      <c r="C761" s="227"/>
      <c r="D761" s="273"/>
      <c r="E761" s="229"/>
      <c r="F761" s="229"/>
      <c r="G761" s="273"/>
      <c r="H761" s="229"/>
      <c r="I761" s="229"/>
      <c r="J761" s="273"/>
      <c r="K761" s="229"/>
      <c r="L761" s="229"/>
      <c r="M761" s="229"/>
      <c r="N761" s="273"/>
      <c r="O761" s="229"/>
      <c r="P761" s="229"/>
      <c r="Q761" s="229"/>
      <c r="R761" s="273"/>
      <c r="S761" s="229"/>
      <c r="T761" s="229"/>
      <c r="U761" s="229"/>
      <c r="V761" s="273"/>
      <c r="W761" s="229"/>
      <c r="X761" s="229"/>
      <c r="AL761" s="53"/>
      <c r="AM761" s="53"/>
      <c r="AN761" s="53"/>
      <c r="AO761" s="53"/>
      <c r="AP761" s="53"/>
      <c r="AQ761" s="53"/>
      <c r="AR761" s="53"/>
      <c r="AS761" s="53"/>
    </row>
    <row r="762" spans="1:47">
      <c r="A762" s="154" t="s">
        <v>222</v>
      </c>
      <c r="B762" s="169"/>
      <c r="C762" s="227">
        <f>C815+C868</f>
        <v>32140</v>
      </c>
      <c r="D762" s="329">
        <v>6.4390000000000001</v>
      </c>
      <c r="E762" s="229" t="s">
        <v>107</v>
      </c>
      <c r="F762" s="229">
        <f>F815+F868</f>
        <v>-21</v>
      </c>
      <c r="G762" s="329">
        <v>6.8159999999999998</v>
      </c>
      <c r="H762" s="229" t="s">
        <v>107</v>
      </c>
      <c r="I762" s="229">
        <f>I815+I868</f>
        <v>-22</v>
      </c>
      <c r="J762" s="329">
        <f>J741</f>
        <v>6.9180000000000001</v>
      </c>
      <c r="K762" s="229" t="s">
        <v>107</v>
      </c>
      <c r="L762" s="229">
        <f t="shared" ref="L762:L769" si="195">L815+L868</f>
        <v>-22</v>
      </c>
      <c r="M762" s="229"/>
      <c r="N762" s="329">
        <f>N741</f>
        <v>9.7256693119232948E-2</v>
      </c>
      <c r="O762" s="323" t="s">
        <v>0</v>
      </c>
      <c r="P762" s="229">
        <v>-31.25830116852147</v>
      </c>
      <c r="Q762" s="229"/>
      <c r="R762" s="329">
        <f>R741</f>
        <v>1.3449860146278823</v>
      </c>
      <c r="S762" s="229" t="s">
        <v>107</v>
      </c>
      <c r="T762" s="229">
        <v>-4.322785051014014</v>
      </c>
      <c r="U762" s="229"/>
      <c r="V762" s="329">
        <f>V741</f>
        <v>5.4757786184457329</v>
      </c>
      <c r="W762" s="229" t="s">
        <v>107</v>
      </c>
      <c r="X762" s="229">
        <v>-17.599152479684584</v>
      </c>
      <c r="AL762" s="53"/>
      <c r="AM762" s="53"/>
      <c r="AN762" s="53"/>
      <c r="AO762" s="53"/>
      <c r="AP762" s="53"/>
      <c r="AQ762" s="53"/>
      <c r="AR762" s="53"/>
      <c r="AS762" s="53"/>
    </row>
    <row r="763" spans="1:47">
      <c r="A763" s="231" t="s">
        <v>152</v>
      </c>
      <c r="B763" s="169"/>
      <c r="C763" s="227">
        <f>C816+C869</f>
        <v>0</v>
      </c>
      <c r="D763" s="289">
        <v>56</v>
      </c>
      <c r="E763" s="229" t="s">
        <v>107</v>
      </c>
      <c r="F763" s="229">
        <f>F816+F869</f>
        <v>0</v>
      </c>
      <c r="G763" s="289">
        <v>56</v>
      </c>
      <c r="H763" s="231" t="s">
        <v>107</v>
      </c>
      <c r="I763" s="229">
        <f>I816+I869</f>
        <v>0</v>
      </c>
      <c r="J763" s="289">
        <f>J742</f>
        <v>56</v>
      </c>
      <c r="K763" s="231" t="s">
        <v>107</v>
      </c>
      <c r="L763" s="229">
        <f t="shared" si="195"/>
        <v>0</v>
      </c>
      <c r="M763" s="229"/>
      <c r="N763" s="289" t="str">
        <f>N742</f>
        <v xml:space="preserve"> </v>
      </c>
      <c r="O763" s="327" t="s">
        <v>0</v>
      </c>
      <c r="P763" s="229">
        <v>0</v>
      </c>
      <c r="Q763" s="229"/>
      <c r="R763" s="289">
        <f>R742</f>
        <v>11</v>
      </c>
      <c r="S763" s="231" t="s">
        <v>107</v>
      </c>
      <c r="T763" s="229">
        <v>0</v>
      </c>
      <c r="U763" s="229"/>
      <c r="V763" s="289">
        <f>V742</f>
        <v>45</v>
      </c>
      <c r="W763" s="231" t="s">
        <v>107</v>
      </c>
      <c r="X763" s="229">
        <v>0</v>
      </c>
      <c r="AL763" s="53"/>
      <c r="AM763" s="53"/>
      <c r="AN763" s="53"/>
      <c r="AO763" s="53"/>
      <c r="AP763" s="53"/>
      <c r="AQ763" s="53"/>
      <c r="AR763" s="53"/>
      <c r="AS763" s="53"/>
    </row>
    <row r="764" spans="1:47">
      <c r="A764" s="231" t="s">
        <v>201</v>
      </c>
      <c r="B764" s="169"/>
      <c r="C764" s="227">
        <f>C817+C870</f>
        <v>12</v>
      </c>
      <c r="D764" s="250">
        <v>60</v>
      </c>
      <c r="E764" s="292" t="s">
        <v>0</v>
      </c>
      <c r="F764" s="229">
        <f>F817+F870</f>
        <v>720</v>
      </c>
      <c r="G764" s="250">
        <v>60</v>
      </c>
      <c r="H764" s="169"/>
      <c r="I764" s="229">
        <f>I817+I870</f>
        <v>720</v>
      </c>
      <c r="J764" s="250">
        <v>60</v>
      </c>
      <c r="K764" s="169"/>
      <c r="L764" s="229">
        <f t="shared" si="195"/>
        <v>720</v>
      </c>
      <c r="M764" s="229"/>
      <c r="N764" s="250" t="s">
        <v>0</v>
      </c>
      <c r="O764" s="169"/>
      <c r="P764" s="229">
        <v>0</v>
      </c>
      <c r="Q764" s="229"/>
      <c r="R764" s="250">
        <v>11.831395044239748</v>
      </c>
      <c r="S764" s="169"/>
      <c r="T764" s="229">
        <v>141.97674053087698</v>
      </c>
      <c r="U764" s="229"/>
      <c r="V764" s="250">
        <v>48.168604955760237</v>
      </c>
      <c r="W764" s="169"/>
      <c r="X764" s="229">
        <v>578.02325946912288</v>
      </c>
      <c r="AL764" s="53"/>
      <c r="AM764" s="53"/>
      <c r="AN764" s="53"/>
      <c r="AO764" s="53"/>
      <c r="AP764" s="53"/>
      <c r="AQ764" s="53"/>
      <c r="AR764" s="53"/>
      <c r="AS764" s="53"/>
    </row>
    <row r="765" spans="1:47">
      <c r="A765" s="231" t="s">
        <v>202</v>
      </c>
      <c r="B765" s="169"/>
      <c r="C765" s="227">
        <f>C818+C871</f>
        <v>30.440941572089098</v>
      </c>
      <c r="D765" s="326">
        <v>-30</v>
      </c>
      <c r="E765" s="229" t="s">
        <v>107</v>
      </c>
      <c r="F765" s="229">
        <f>F818+F871</f>
        <v>-913</v>
      </c>
      <c r="G765" s="326">
        <v>-30</v>
      </c>
      <c r="H765" s="229" t="s">
        <v>107</v>
      </c>
      <c r="I765" s="229">
        <f>I818+I871</f>
        <v>-9</v>
      </c>
      <c r="J765" s="330">
        <v>-30</v>
      </c>
      <c r="K765" s="229" t="s">
        <v>107</v>
      </c>
      <c r="L765" s="229">
        <f t="shared" si="195"/>
        <v>-9</v>
      </c>
      <c r="M765" s="229"/>
      <c r="N765" s="330">
        <v>-30</v>
      </c>
      <c r="O765" s="229" t="s">
        <v>107</v>
      </c>
      <c r="P765" s="229">
        <v>-9</v>
      </c>
      <c r="Q765" s="229"/>
      <c r="R765" s="330">
        <v>0</v>
      </c>
      <c r="S765" s="323" t="s">
        <v>0</v>
      </c>
      <c r="T765" s="229">
        <v>0</v>
      </c>
      <c r="U765" s="229"/>
      <c r="V765" s="330">
        <v>0</v>
      </c>
      <c r="W765" s="323" t="s">
        <v>0</v>
      </c>
      <c r="X765" s="229">
        <v>0</v>
      </c>
      <c r="AL765" s="53"/>
      <c r="AM765" s="53"/>
      <c r="AN765" s="53"/>
      <c r="AO765" s="53"/>
      <c r="AP765" s="53"/>
      <c r="AQ765" s="53"/>
      <c r="AR765" s="53"/>
      <c r="AS765" s="53"/>
    </row>
    <row r="766" spans="1:47" s="141" customFormat="1" hidden="1">
      <c r="A766" s="140" t="s">
        <v>223</v>
      </c>
      <c r="C766" s="239">
        <f>C762</f>
        <v>32140</v>
      </c>
      <c r="D766" s="138"/>
      <c r="E766" s="143"/>
      <c r="F766" s="144"/>
      <c r="G766" s="138"/>
      <c r="H766" s="143"/>
      <c r="I766" s="144"/>
      <c r="J766" s="145">
        <f>J743</f>
        <v>0</v>
      </c>
      <c r="K766" s="283" t="s">
        <v>107</v>
      </c>
      <c r="L766" s="283">
        <f t="shared" si="195"/>
        <v>0</v>
      </c>
      <c r="M766" s="283"/>
      <c r="N766" s="145" t="str">
        <f>N743</f>
        <v xml:space="preserve"> </v>
      </c>
      <c r="O766" s="283" t="s">
        <v>0</v>
      </c>
      <c r="P766" s="229">
        <v>0</v>
      </c>
      <c r="Q766" s="283"/>
      <c r="R766" s="145" t="str">
        <f>R743</f>
        <v xml:space="preserve"> </v>
      </c>
      <c r="S766" s="283" t="s">
        <v>0</v>
      </c>
      <c r="T766" s="229">
        <v>0</v>
      </c>
      <c r="U766" s="283"/>
      <c r="V766" s="145">
        <f>V743</f>
        <v>0</v>
      </c>
      <c r="W766" s="283" t="s">
        <v>107</v>
      </c>
      <c r="X766" s="229">
        <v>0</v>
      </c>
      <c r="Z766" s="132"/>
      <c r="AA766" s="141" t="s">
        <v>0</v>
      </c>
      <c r="AC766" s="148"/>
      <c r="AD766" s="148"/>
      <c r="AI766" s="143"/>
      <c r="AJ766" s="143"/>
      <c r="AK766" s="143"/>
      <c r="AL766" s="143"/>
      <c r="AM766" s="143"/>
      <c r="AN766" s="143"/>
      <c r="AO766" s="143"/>
      <c r="AP766" s="143"/>
      <c r="AQ766" s="143"/>
      <c r="AR766" s="143"/>
      <c r="AS766" s="143"/>
      <c r="AU766" s="147"/>
    </row>
    <row r="767" spans="1:47">
      <c r="A767" s="169" t="s">
        <v>133</v>
      </c>
      <c r="B767" s="169"/>
      <c r="C767" s="227">
        <f>C820+C873</f>
        <v>148745366.55847031</v>
      </c>
      <c r="D767" s="232"/>
      <c r="E767" s="131"/>
      <c r="F767" s="131">
        <f t="shared" ref="F767" si="196">F820+F873</f>
        <v>12007758</v>
      </c>
      <c r="G767" s="232"/>
      <c r="H767" s="231"/>
      <c r="I767" s="131">
        <f>I820+I873</f>
        <v>12699289</v>
      </c>
      <c r="J767" s="131"/>
      <c r="K767" s="231"/>
      <c r="L767" s="283">
        <f t="shared" si="195"/>
        <v>12887989</v>
      </c>
      <c r="M767" s="283"/>
      <c r="N767" s="131"/>
      <c r="O767" s="231"/>
      <c r="P767" s="283">
        <f>SUM(P721:P766)</f>
        <v>2711382.5663816808</v>
      </c>
      <c r="Q767" s="283"/>
      <c r="R767" s="131"/>
      <c r="S767" s="231"/>
      <c r="T767" s="283">
        <f>SUM(T721:T766)</f>
        <v>2006724.1820981691</v>
      </c>
      <c r="U767" s="283"/>
      <c r="V767" s="131"/>
      <c r="W767" s="231"/>
      <c r="X767" s="283">
        <f>SUM(X721:X766)</f>
        <v>8169882.2515201513</v>
      </c>
      <c r="AA767" s="174"/>
      <c r="AB767" s="174"/>
      <c r="AL767" s="53"/>
      <c r="AM767" s="53"/>
      <c r="AN767" s="53"/>
      <c r="AO767" s="53"/>
      <c r="AP767" s="53"/>
      <c r="AQ767" s="53"/>
      <c r="AR767" s="53"/>
      <c r="AS767" s="53"/>
    </row>
    <row r="768" spans="1:47" ht="14.25" customHeight="1">
      <c r="A768" s="169" t="s">
        <v>111</v>
      </c>
      <c r="B768" s="169"/>
      <c r="C768" s="253">
        <f>C821+C874</f>
        <v>-212000</v>
      </c>
      <c r="D768" s="154"/>
      <c r="E768" s="154"/>
      <c r="F768" s="152">
        <f>I768</f>
        <v>-33000.000000000007</v>
      </c>
      <c r="G768" s="154"/>
      <c r="H768" s="154"/>
      <c r="I768" s="152">
        <f>I821+I874</f>
        <v>-33000.000000000007</v>
      </c>
      <c r="J768" s="154"/>
      <c r="K768" s="154"/>
      <c r="L768" s="331">
        <f t="shared" si="195"/>
        <v>-33000.000000000007</v>
      </c>
      <c r="M768" s="238"/>
      <c r="N768" s="154"/>
      <c r="O768" s="154"/>
      <c r="P768" s="331">
        <v>-6942.5590517337869</v>
      </c>
      <c r="Q768" s="153"/>
      <c r="R768" s="154"/>
      <c r="S768" s="154"/>
      <c r="T768" s="331">
        <v>-5138.2646283481145</v>
      </c>
      <c r="U768" s="153"/>
      <c r="V768" s="154"/>
      <c r="W768" s="154"/>
      <c r="X768" s="331">
        <v>-20919.176319918104</v>
      </c>
      <c r="AL768" s="53"/>
      <c r="AM768" s="53"/>
      <c r="AN768" s="53"/>
      <c r="AO768" s="53"/>
      <c r="AP768" s="53"/>
      <c r="AQ768" s="53"/>
      <c r="AR768" s="53"/>
      <c r="AS768" s="53"/>
    </row>
    <row r="769" spans="1:45" ht="17.25" customHeight="1" thickBot="1">
      <c r="A769" s="169" t="s">
        <v>134</v>
      </c>
      <c r="B769" s="169"/>
      <c r="C769" s="293">
        <f>SUM(C767:C768)</f>
        <v>148533366.55847031</v>
      </c>
      <c r="D769" s="272"/>
      <c r="E769" s="256"/>
      <c r="F769" s="257">
        <f>F767+F768</f>
        <v>11974758</v>
      </c>
      <c r="G769" s="272"/>
      <c r="H769" s="258"/>
      <c r="I769" s="257">
        <f>I767+I768</f>
        <v>12666289</v>
      </c>
      <c r="J769" s="272"/>
      <c r="K769" s="258"/>
      <c r="L769" s="257">
        <f t="shared" si="195"/>
        <v>12854989</v>
      </c>
      <c r="M769" s="257"/>
      <c r="N769" s="272"/>
      <c r="O769" s="258"/>
      <c r="P769" s="257">
        <f>SUM(P767:P768)</f>
        <v>2704440.0073299468</v>
      </c>
      <c r="Q769" s="257"/>
      <c r="R769" s="272"/>
      <c r="S769" s="258"/>
      <c r="T769" s="257">
        <f>SUM(T767:T768)</f>
        <v>2001585.9174698209</v>
      </c>
      <c r="U769" s="257"/>
      <c r="V769" s="272"/>
      <c r="W769" s="258"/>
      <c r="X769" s="257">
        <f>SUM(X767:X768)</f>
        <v>8148963.0752002336</v>
      </c>
      <c r="Y769" s="159" t="s">
        <v>113</v>
      </c>
      <c r="Z769" s="160">
        <v>12854992.408647321</v>
      </c>
      <c r="AA769" s="161">
        <v>-0.35730191827714325</v>
      </c>
      <c r="AB769" s="162"/>
      <c r="AC769" s="228" t="s">
        <v>0</v>
      </c>
      <c r="AD769" s="228"/>
      <c r="AL769" s="53"/>
      <c r="AM769" s="53"/>
      <c r="AN769" s="53"/>
      <c r="AO769" s="53"/>
      <c r="AP769" s="53"/>
      <c r="AQ769" s="53"/>
      <c r="AR769" s="53"/>
      <c r="AS769" s="53"/>
    </row>
    <row r="770" spans="1:45" ht="16.5" thickTop="1">
      <c r="A770" s="169"/>
      <c r="B770" s="169"/>
      <c r="C770" s="308"/>
      <c r="D770" s="276" t="s">
        <v>0</v>
      </c>
      <c r="E770" s="263"/>
      <c r="F770" s="230"/>
      <c r="G770" s="276" t="s">
        <v>0</v>
      </c>
      <c r="H770" s="264"/>
      <c r="I770" s="230"/>
      <c r="J770" s="332" t="s">
        <v>0</v>
      </c>
      <c r="K770" s="264"/>
      <c r="L770" s="151" t="s">
        <v>0</v>
      </c>
      <c r="M770" s="151"/>
      <c r="N770" s="332" t="s">
        <v>0</v>
      </c>
      <c r="O770" s="264"/>
      <c r="P770" s="151" t="s">
        <v>0</v>
      </c>
      <c r="Q770" s="151"/>
      <c r="R770" s="332" t="s">
        <v>0</v>
      </c>
      <c r="S770" s="264"/>
      <c r="T770" s="151" t="s">
        <v>0</v>
      </c>
      <c r="U770" s="151"/>
      <c r="V770" s="332" t="s">
        <v>0</v>
      </c>
      <c r="W770" s="264"/>
      <c r="X770" s="151" t="s">
        <v>0</v>
      </c>
      <c r="Y770" s="170" t="s">
        <v>115</v>
      </c>
      <c r="Z770" s="171">
        <f>Z769-L769</f>
        <v>3.408647321164608</v>
      </c>
      <c r="AA770" s="333" t="s">
        <v>0</v>
      </c>
      <c r="AB770" s="219"/>
      <c r="AL770" s="53"/>
      <c r="AM770" s="53"/>
      <c r="AN770" s="53"/>
      <c r="AO770" s="53"/>
      <c r="AP770" s="53"/>
      <c r="AQ770" s="53"/>
      <c r="AR770" s="53"/>
      <c r="AS770" s="53"/>
    </row>
    <row r="771" spans="1:45" hidden="1">
      <c r="A771" s="188" t="s">
        <v>205</v>
      </c>
      <c r="B771" s="169"/>
      <c r="C771" s="189"/>
      <c r="D771" s="250"/>
      <c r="E771" s="131"/>
      <c r="F771" s="131"/>
      <c r="G771" s="250"/>
      <c r="H771" s="169"/>
      <c r="I771" s="131"/>
      <c r="J771" s="250"/>
      <c r="K771" s="169"/>
      <c r="L771" s="131"/>
      <c r="M771" s="131"/>
      <c r="N771" s="250"/>
      <c r="O771" s="169"/>
      <c r="P771" s="131"/>
      <c r="Q771" s="131"/>
      <c r="R771" s="250"/>
      <c r="S771" s="169"/>
      <c r="T771" s="131"/>
      <c r="U771" s="131"/>
      <c r="V771" s="250"/>
      <c r="W771" s="169"/>
      <c r="X771" s="131" t="s">
        <v>0</v>
      </c>
      <c r="AL771" s="53"/>
      <c r="AM771" s="53"/>
      <c r="AN771" s="53"/>
      <c r="AO771" s="53"/>
      <c r="AP771" s="53"/>
      <c r="AQ771" s="53"/>
      <c r="AR771" s="53"/>
      <c r="AS771" s="53"/>
    </row>
    <row r="772" spans="1:45" hidden="1">
      <c r="A772" s="154" t="s">
        <v>53</v>
      </c>
      <c r="B772" s="169"/>
      <c r="C772" s="189"/>
      <c r="D772" s="250"/>
      <c r="E772" s="131"/>
      <c r="F772" s="131"/>
      <c r="G772" s="250"/>
      <c r="H772" s="169"/>
      <c r="I772" s="131"/>
      <c r="J772" s="250"/>
      <c r="K772" s="169"/>
      <c r="L772" s="131"/>
      <c r="M772" s="131"/>
      <c r="N772" s="250"/>
      <c r="O772" s="169"/>
      <c r="P772" s="131"/>
      <c r="Q772" s="131"/>
      <c r="R772" s="250"/>
      <c r="S772" s="169"/>
      <c r="T772" s="131"/>
      <c r="U772" s="131"/>
      <c r="V772" s="250"/>
      <c r="W772" s="169"/>
      <c r="X772" s="131"/>
      <c r="Y772" s="135"/>
      <c r="Z772" s="269" t="s">
        <v>0</v>
      </c>
      <c r="AA772" s="93"/>
      <c r="AB772" s="93"/>
      <c r="AL772" s="53"/>
      <c r="AM772" s="53"/>
      <c r="AN772" s="53"/>
      <c r="AO772" s="53"/>
      <c r="AP772" s="53"/>
      <c r="AQ772" s="53"/>
      <c r="AR772" s="53"/>
      <c r="AS772" s="53"/>
    </row>
    <row r="773" spans="1:45" hidden="1">
      <c r="A773" s="231"/>
      <c r="B773" s="169"/>
      <c r="C773" s="189"/>
      <c r="D773" s="250"/>
      <c r="E773" s="131"/>
      <c r="F773" s="273"/>
      <c r="G773" s="250"/>
      <c r="H773" s="169"/>
      <c r="I773" s="273"/>
      <c r="J773" s="250"/>
      <c r="K773" s="169"/>
      <c r="L773" s="319"/>
      <c r="M773" s="319"/>
      <c r="N773" s="250"/>
      <c r="O773" s="169"/>
      <c r="P773" s="319"/>
      <c r="Q773" s="319"/>
      <c r="R773" s="250"/>
      <c r="S773" s="169"/>
      <c r="T773" s="319"/>
      <c r="U773" s="319"/>
      <c r="V773" s="250"/>
      <c r="W773" s="169"/>
      <c r="X773" s="319"/>
      <c r="Y773" s="53"/>
      <c r="Z773" s="110"/>
      <c r="AA773" s="110"/>
      <c r="AB773" s="110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</row>
    <row r="774" spans="1:45" hidden="1">
      <c r="A774" s="154" t="s">
        <v>207</v>
      </c>
      <c r="B774" s="169"/>
      <c r="C774" s="227"/>
      <c r="D774" s="131" t="s">
        <v>0</v>
      </c>
      <c r="E774" s="131"/>
      <c r="F774" s="169"/>
      <c r="G774" s="131" t="s">
        <v>0</v>
      </c>
      <c r="H774" s="169"/>
      <c r="I774" s="169"/>
      <c r="J774" s="131" t="s">
        <v>0</v>
      </c>
      <c r="K774" s="169"/>
      <c r="L774" s="169"/>
      <c r="M774" s="169"/>
      <c r="N774" s="131" t="s">
        <v>0</v>
      </c>
      <c r="O774" s="169"/>
      <c r="P774" s="169"/>
      <c r="Q774" s="169"/>
      <c r="R774" s="131" t="s">
        <v>0</v>
      </c>
      <c r="S774" s="169"/>
      <c r="T774" s="169"/>
      <c r="U774" s="169"/>
      <c r="V774" s="131" t="s">
        <v>0</v>
      </c>
      <c r="W774" s="169"/>
      <c r="X774" s="169"/>
      <c r="Y774" s="53"/>
      <c r="Z774" s="110"/>
      <c r="AA774" s="110"/>
      <c r="AB774" s="110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</row>
    <row r="775" spans="1:45" hidden="1">
      <c r="A775" s="154" t="s">
        <v>208</v>
      </c>
      <c r="B775" s="169"/>
      <c r="C775" s="227">
        <v>986.1395345211788</v>
      </c>
      <c r="D775" s="250">
        <v>0</v>
      </c>
      <c r="E775" s="232"/>
      <c r="F775" s="229">
        <f>ROUND(D775*$C775,0)</f>
        <v>0</v>
      </c>
      <c r="G775" s="250">
        <v>0</v>
      </c>
      <c r="H775" s="232"/>
      <c r="I775" s="229">
        <f>ROUND(G775*C775,0)</f>
        <v>0</v>
      </c>
      <c r="J775" s="250">
        <f>$J$721</f>
        <v>0</v>
      </c>
      <c r="K775" s="232"/>
      <c r="L775" s="229">
        <f>ROUND(J775*$C775,0)</f>
        <v>0</v>
      </c>
      <c r="M775" s="229"/>
      <c r="N775" s="250">
        <f>$J$721</f>
        <v>0</v>
      </c>
      <c r="O775" s="232"/>
      <c r="P775" s="229">
        <f>ROUND(N775*$C775,0)</f>
        <v>0</v>
      </c>
      <c r="Q775" s="229"/>
      <c r="R775" s="250" t="str">
        <f>$R$721</f>
        <v xml:space="preserve"> </v>
      </c>
      <c r="S775" s="232"/>
      <c r="T775" s="229">
        <f>ROUND(R775*$C775,0)</f>
        <v>0</v>
      </c>
      <c r="U775" s="229"/>
      <c r="V775" s="250" t="str">
        <f>$V$721</f>
        <v xml:space="preserve"> </v>
      </c>
      <c r="W775" s="232"/>
      <c r="X775" s="229">
        <f>ROUND(V775*$C775,0)</f>
        <v>0</v>
      </c>
      <c r="Y775" s="53"/>
      <c r="Z775" s="110"/>
      <c r="AA775" s="110"/>
      <c r="AB775" s="110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</row>
    <row r="776" spans="1:45" hidden="1">
      <c r="A776" s="154" t="s">
        <v>209</v>
      </c>
      <c r="B776" s="169"/>
      <c r="C776" s="227"/>
      <c r="D776" s="250"/>
      <c r="E776" s="232"/>
      <c r="F776" s="229"/>
      <c r="G776" s="250"/>
      <c r="H776" s="232"/>
      <c r="I776" s="229"/>
      <c r="J776" s="250"/>
      <c r="K776" s="232"/>
      <c r="L776" s="229"/>
      <c r="M776" s="229"/>
      <c r="N776" s="250"/>
      <c r="O776" s="232"/>
      <c r="P776" s="229"/>
      <c r="Q776" s="229"/>
      <c r="R776" s="250"/>
      <c r="S776" s="232"/>
      <c r="T776" s="229"/>
      <c r="U776" s="229"/>
      <c r="V776" s="250"/>
      <c r="W776" s="232"/>
      <c r="X776" s="229"/>
      <c r="Y776" s="53"/>
      <c r="Z776" s="110"/>
      <c r="AA776" s="110"/>
      <c r="AB776" s="110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</row>
    <row r="777" spans="1:45" hidden="1">
      <c r="A777" s="154" t="s">
        <v>210</v>
      </c>
      <c r="B777" s="169"/>
      <c r="C777" s="227">
        <v>3633.5207084889003</v>
      </c>
      <c r="D777" s="250">
        <v>0</v>
      </c>
      <c r="E777" s="232"/>
      <c r="F777" s="229">
        <f>ROUND(D777*$C777,0)</f>
        <v>0</v>
      </c>
      <c r="G777" s="250">
        <v>0</v>
      </c>
      <c r="H777" s="232"/>
      <c r="I777" s="229">
        <f t="shared" ref="I777:I779" si="197">ROUND(G777*C777,0)</f>
        <v>0</v>
      </c>
      <c r="J777" s="250">
        <f>$J$723</f>
        <v>0</v>
      </c>
      <c r="K777" s="232"/>
      <c r="L777" s="229">
        <f>ROUND(J777*$C777,0)</f>
        <v>0</v>
      </c>
      <c r="M777" s="229"/>
      <c r="N777" s="250">
        <f>$J$723</f>
        <v>0</v>
      </c>
      <c r="O777" s="232"/>
      <c r="P777" s="229">
        <f>ROUND(N777*$C777,0)</f>
        <v>0</v>
      </c>
      <c r="Q777" s="229"/>
      <c r="R777" s="250" t="str">
        <f>$R$723</f>
        <v xml:space="preserve"> </v>
      </c>
      <c r="S777" s="232"/>
      <c r="T777" s="229">
        <f>ROUND(R777*$C777,0)</f>
        <v>0</v>
      </c>
      <c r="U777" s="229"/>
      <c r="V777" s="250" t="str">
        <f>$V$723</f>
        <v xml:space="preserve"> </v>
      </c>
      <c r="W777" s="232"/>
      <c r="X777" s="229">
        <f>ROUND(V777*$C777,0)</f>
        <v>0</v>
      </c>
      <c r="Y777" s="53"/>
      <c r="Z777" s="110"/>
      <c r="AA777" s="110"/>
      <c r="AB777" s="110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</row>
    <row r="778" spans="1:45" hidden="1">
      <c r="A778" s="154" t="s">
        <v>211</v>
      </c>
      <c r="B778" s="169"/>
      <c r="C778" s="227">
        <v>410.813657710592</v>
      </c>
      <c r="D778" s="250">
        <v>357</v>
      </c>
      <c r="E778" s="232"/>
      <c r="F778" s="229">
        <f>ROUND(D778*$C778,0)</f>
        <v>146660</v>
      </c>
      <c r="G778" s="250">
        <v>357</v>
      </c>
      <c r="H778" s="232"/>
      <c r="I778" s="229">
        <f t="shared" si="197"/>
        <v>146660</v>
      </c>
      <c r="J778" s="250">
        <f>$J$724</f>
        <v>362</v>
      </c>
      <c r="K778" s="232"/>
      <c r="L778" s="229">
        <f>ROUND(J778*$C778,0)</f>
        <v>148715</v>
      </c>
      <c r="M778" s="229"/>
      <c r="N778" s="250">
        <f>$J$724</f>
        <v>362</v>
      </c>
      <c r="O778" s="232"/>
      <c r="P778" s="229">
        <f>ROUND(N778*$C778,0)</f>
        <v>148715</v>
      </c>
      <c r="Q778" s="229"/>
      <c r="R778" s="250" t="str">
        <f>$R$724</f>
        <v xml:space="preserve"> </v>
      </c>
      <c r="S778" s="232"/>
      <c r="T778" s="229">
        <f>ROUND(R778*$C778,0)</f>
        <v>0</v>
      </c>
      <c r="U778" s="229"/>
      <c r="V778" s="250" t="str">
        <f>$V$724</f>
        <v xml:space="preserve"> </v>
      </c>
      <c r="W778" s="232"/>
      <c r="X778" s="229">
        <f>ROUND(V778*$C778,0)</f>
        <v>0</v>
      </c>
      <c r="Y778" s="53"/>
      <c r="Z778" s="110"/>
      <c r="AA778" s="110"/>
      <c r="AB778" s="110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</row>
    <row r="779" spans="1:45" hidden="1">
      <c r="A779" s="154" t="s">
        <v>212</v>
      </c>
      <c r="B779" s="169"/>
      <c r="C779" s="227">
        <v>12</v>
      </c>
      <c r="D779" s="250">
        <v>1457</v>
      </c>
      <c r="E779" s="232"/>
      <c r="F779" s="229">
        <f>ROUND(D779*$C779,0)</f>
        <v>17484</v>
      </c>
      <c r="G779" s="250">
        <v>1457</v>
      </c>
      <c r="H779" s="232"/>
      <c r="I779" s="229">
        <f t="shared" si="197"/>
        <v>17484</v>
      </c>
      <c r="J779" s="250">
        <f>$J$725</f>
        <v>1479</v>
      </c>
      <c r="K779" s="232"/>
      <c r="L779" s="229">
        <f>ROUND(J779*$C779,0)</f>
        <v>17748</v>
      </c>
      <c r="M779" s="229"/>
      <c r="N779" s="250">
        <f>$J$725</f>
        <v>1479</v>
      </c>
      <c r="O779" s="232"/>
      <c r="P779" s="229">
        <f>ROUND(N779*$C779,0)</f>
        <v>17748</v>
      </c>
      <c r="Q779" s="229"/>
      <c r="R779" s="250" t="str">
        <f>$R$725</f>
        <v xml:space="preserve"> </v>
      </c>
      <c r="S779" s="232"/>
      <c r="T779" s="229">
        <f>ROUND(R779*$C779,0)</f>
        <v>0</v>
      </c>
      <c r="U779" s="229"/>
      <c r="V779" s="250" t="str">
        <f>$V$725</f>
        <v xml:space="preserve"> </v>
      </c>
      <c r="W779" s="232"/>
      <c r="X779" s="229">
        <f>ROUND(V779*$C779,0)</f>
        <v>0</v>
      </c>
      <c r="Y779" s="53"/>
      <c r="Z779" s="110"/>
      <c r="AA779" s="110"/>
      <c r="AB779" s="110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</row>
    <row r="780" spans="1:45" hidden="1">
      <c r="A780" s="154" t="s">
        <v>109</v>
      </c>
      <c r="B780" s="169"/>
      <c r="C780" s="227">
        <f>SUM(C775:C779)</f>
        <v>5042.4739007206717</v>
      </c>
      <c r="D780" s="250"/>
      <c r="E780" s="232"/>
      <c r="F780" s="229"/>
      <c r="G780" s="250"/>
      <c r="H780" s="232"/>
      <c r="I780" s="229"/>
      <c r="J780" s="250"/>
      <c r="K780" s="232"/>
      <c r="L780" s="229"/>
      <c r="M780" s="229"/>
      <c r="N780" s="250"/>
      <c r="O780" s="232"/>
      <c r="P780" s="229"/>
      <c r="Q780" s="229"/>
      <c r="R780" s="250"/>
      <c r="S780" s="232"/>
      <c r="T780" s="229"/>
      <c r="U780" s="229"/>
      <c r="V780" s="250"/>
      <c r="W780" s="232"/>
      <c r="X780" s="229"/>
      <c r="Y780" s="53"/>
      <c r="Z780" s="110"/>
      <c r="AA780" s="110"/>
      <c r="AB780" s="110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</row>
    <row r="781" spans="1:45" hidden="1">
      <c r="A781" s="154" t="s">
        <v>213</v>
      </c>
      <c r="B781" s="169"/>
      <c r="C781" s="227">
        <v>37159.493333333157</v>
      </c>
      <c r="D781" s="250"/>
      <c r="E781" s="229"/>
      <c r="F781" s="229"/>
      <c r="G781" s="250"/>
      <c r="H781" s="229"/>
      <c r="I781" s="229"/>
      <c r="J781" s="250"/>
      <c r="K781" s="229"/>
      <c r="L781" s="229"/>
      <c r="M781" s="229"/>
      <c r="N781" s="250"/>
      <c r="O781" s="229"/>
      <c r="P781" s="229"/>
      <c r="Q781" s="229"/>
      <c r="R781" s="250"/>
      <c r="S781" s="229"/>
      <c r="T781" s="229"/>
      <c r="U781" s="229"/>
      <c r="V781" s="250"/>
      <c r="W781" s="229"/>
      <c r="X781" s="229"/>
      <c r="Y781" s="53"/>
      <c r="Z781" s="110"/>
      <c r="AA781" s="110"/>
      <c r="AB781" s="110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</row>
    <row r="782" spans="1:45" hidden="1">
      <c r="A782" s="154" t="s">
        <v>214</v>
      </c>
      <c r="B782" s="169"/>
      <c r="C782" s="227">
        <v>5567</v>
      </c>
      <c r="D782" s="250"/>
      <c r="E782" s="229"/>
      <c r="F782" s="229"/>
      <c r="G782" s="250"/>
      <c r="H782" s="229"/>
      <c r="I782" s="229"/>
      <c r="J782" s="250"/>
      <c r="K782" s="229"/>
      <c r="L782" s="229"/>
      <c r="M782" s="229"/>
      <c r="N782" s="250"/>
      <c r="O782" s="229"/>
      <c r="P782" s="229"/>
      <c r="Q782" s="229"/>
      <c r="R782" s="250"/>
      <c r="S782" s="229"/>
      <c r="T782" s="229"/>
      <c r="U782" s="229"/>
      <c r="V782" s="250"/>
      <c r="W782" s="229"/>
      <c r="X782" s="229"/>
      <c r="Y782" s="53"/>
      <c r="Z782" s="110"/>
      <c r="AA782" s="110"/>
      <c r="AB782" s="110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</row>
    <row r="783" spans="1:45" hidden="1">
      <c r="A783" s="154" t="s">
        <v>215</v>
      </c>
      <c r="B783" s="169"/>
      <c r="C783" s="227"/>
      <c r="D783" s="250"/>
      <c r="E783" s="232"/>
      <c r="F783" s="229"/>
      <c r="G783" s="250"/>
      <c r="H783" s="232"/>
      <c r="I783" s="229"/>
      <c r="J783" s="250"/>
      <c r="K783" s="232"/>
      <c r="L783" s="229"/>
      <c r="M783" s="229"/>
      <c r="N783" s="250"/>
      <c r="O783" s="232"/>
      <c r="P783" s="229"/>
      <c r="Q783" s="229"/>
      <c r="R783" s="250"/>
      <c r="S783" s="232"/>
      <c r="T783" s="229"/>
      <c r="U783" s="229"/>
      <c r="V783" s="250"/>
      <c r="W783" s="232"/>
      <c r="X783" s="229"/>
      <c r="Y783" s="53"/>
      <c r="Z783" s="110"/>
      <c r="AA783" s="110"/>
      <c r="AB783" s="110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</row>
    <row r="784" spans="1:45" hidden="1">
      <c r="A784" s="154" t="s">
        <v>216</v>
      </c>
      <c r="B784" s="169"/>
      <c r="C784" s="227">
        <v>2927.8802098625206</v>
      </c>
      <c r="D784" s="250">
        <v>23.87</v>
      </c>
      <c r="E784" s="232"/>
      <c r="F784" s="229">
        <f>ROUND(D784*$C784,0)</f>
        <v>69889</v>
      </c>
      <c r="G784" s="250">
        <v>25.265901957370488</v>
      </c>
      <c r="H784" s="232"/>
      <c r="I784" s="229">
        <f>ROUND(G784*C784,0)</f>
        <v>73976</v>
      </c>
      <c r="J784" s="250">
        <f>$J$730</f>
        <v>25.642315429533081</v>
      </c>
      <c r="K784" s="232"/>
      <c r="L784" s="229">
        <f>ROUND(J784*$C784,0)</f>
        <v>75078</v>
      </c>
      <c r="M784" s="229"/>
      <c r="N784" s="250">
        <f>$N$730</f>
        <v>25.642315429533081</v>
      </c>
      <c r="O784" s="232"/>
      <c r="P784" s="229">
        <f>ROUND(N784*$C784,0)</f>
        <v>75078</v>
      </c>
      <c r="Q784" s="229"/>
      <c r="R784" s="250" t="str">
        <f>$R$730</f>
        <v xml:space="preserve"> </v>
      </c>
      <c r="S784" s="232"/>
      <c r="T784" s="229">
        <f>ROUND(R784*$C784,0)</f>
        <v>0</v>
      </c>
      <c r="U784" s="229"/>
      <c r="V784" s="250" t="str">
        <f>$V$730</f>
        <v xml:space="preserve"> </v>
      </c>
      <c r="W784" s="232"/>
      <c r="X784" s="229">
        <f>ROUND(V784*$C784,0)</f>
        <v>0</v>
      </c>
      <c r="Y784" s="53"/>
      <c r="Z784" s="110"/>
      <c r="AA784" s="110"/>
      <c r="AB784" s="110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</row>
    <row r="785" spans="1:47" hidden="1">
      <c r="A785" s="154" t="s">
        <v>217</v>
      </c>
      <c r="B785" s="169"/>
      <c r="C785" s="227"/>
      <c r="D785" s="250"/>
      <c r="E785" s="232"/>
      <c r="F785" s="229"/>
      <c r="G785" s="250"/>
      <c r="H785" s="232"/>
      <c r="I785" s="229"/>
      <c r="J785" s="250"/>
      <c r="K785" s="232"/>
      <c r="L785" s="229"/>
      <c r="M785" s="229"/>
      <c r="N785" s="250"/>
      <c r="O785" s="232"/>
      <c r="P785" s="229"/>
      <c r="Q785" s="229"/>
      <c r="R785" s="250"/>
      <c r="S785" s="232"/>
      <c r="T785" s="229"/>
      <c r="U785" s="229"/>
      <c r="V785" s="250"/>
      <c r="W785" s="232"/>
      <c r="X785" s="229"/>
      <c r="Y785" s="53"/>
      <c r="Z785" s="110"/>
      <c r="AA785" s="110"/>
      <c r="AB785" s="110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</row>
    <row r="786" spans="1:47" hidden="1">
      <c r="A786" s="154" t="s">
        <v>210</v>
      </c>
      <c r="B786" s="169"/>
      <c r="C786" s="227">
        <v>50218.019750688989</v>
      </c>
      <c r="D786" s="250">
        <v>23.79</v>
      </c>
      <c r="E786" s="232"/>
      <c r="F786" s="229">
        <f>ROUND(D786*$C786,0)</f>
        <v>1194687</v>
      </c>
      <c r="G786" s="250">
        <v>25.171223609796559</v>
      </c>
      <c r="H786" s="232"/>
      <c r="I786" s="229">
        <f t="shared" ref="I786:I790" si="198">ROUND(G786*C786,0)</f>
        <v>1264049</v>
      </c>
      <c r="J786" s="250">
        <f>$J$732</f>
        <v>25.536226556199608</v>
      </c>
      <c r="K786" s="232"/>
      <c r="L786" s="229">
        <f>ROUND(J786*$C786,0)</f>
        <v>1282379</v>
      </c>
      <c r="M786" s="229"/>
      <c r="N786" s="250">
        <f>$N$732</f>
        <v>25.536226556199608</v>
      </c>
      <c r="O786" s="232"/>
      <c r="P786" s="229">
        <f>ROUND(N786*$C786,0)</f>
        <v>1282379</v>
      </c>
      <c r="Q786" s="229"/>
      <c r="R786" s="250" t="str">
        <f>$R$732</f>
        <v xml:space="preserve"> </v>
      </c>
      <c r="S786" s="232"/>
      <c r="T786" s="229">
        <f>ROUND(R786*$C786,0)</f>
        <v>0</v>
      </c>
      <c r="U786" s="229"/>
      <c r="V786" s="250" t="str">
        <f>$V$732</f>
        <v xml:space="preserve"> </v>
      </c>
      <c r="W786" s="232"/>
      <c r="X786" s="229">
        <f>ROUND(V786*$C786,0)</f>
        <v>0</v>
      </c>
      <c r="Y786" s="53"/>
      <c r="Z786" s="110"/>
      <c r="AA786" s="110"/>
      <c r="AB786" s="110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</row>
    <row r="787" spans="1:47" hidden="1">
      <c r="A787" s="154" t="s">
        <v>211</v>
      </c>
      <c r="B787" s="169"/>
      <c r="C787" s="227">
        <v>39269.471947631697</v>
      </c>
      <c r="D787" s="250">
        <v>16.559999999999999</v>
      </c>
      <c r="E787" s="232"/>
      <c r="F787" s="229">
        <f>ROUND(D787*$C787,0)</f>
        <v>650302</v>
      </c>
      <c r="G787" s="250">
        <v>17.5284179478029</v>
      </c>
      <c r="H787" s="232"/>
      <c r="I787" s="229">
        <f t="shared" si="198"/>
        <v>688332</v>
      </c>
      <c r="J787" s="250">
        <f>$J$733</f>
        <v>17.789557750861658</v>
      </c>
      <c r="K787" s="232"/>
      <c r="L787" s="229">
        <f>ROUND(J787*$C787,0)</f>
        <v>698587</v>
      </c>
      <c r="M787" s="229"/>
      <c r="N787" s="250">
        <f>$N$733</f>
        <v>17.789557750861658</v>
      </c>
      <c r="O787" s="232"/>
      <c r="P787" s="229">
        <f>ROUND(N787*$C787,0)</f>
        <v>698587</v>
      </c>
      <c r="Q787" s="229"/>
      <c r="R787" s="250" t="str">
        <f>$R$733</f>
        <v xml:space="preserve"> </v>
      </c>
      <c r="S787" s="232"/>
      <c r="T787" s="229">
        <f>ROUND(R787*$C787,0)</f>
        <v>0</v>
      </c>
      <c r="U787" s="229"/>
      <c r="V787" s="250" t="str">
        <f>$V$733</f>
        <v xml:space="preserve"> </v>
      </c>
      <c r="W787" s="232"/>
      <c r="X787" s="229">
        <f>ROUND(V787*$C787,0)</f>
        <v>0</v>
      </c>
      <c r="Y787" s="53"/>
      <c r="Z787" s="110"/>
      <c r="AA787" s="110"/>
      <c r="AB787" s="110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</row>
    <row r="788" spans="1:47" hidden="1">
      <c r="A788" s="154" t="s">
        <v>212</v>
      </c>
      <c r="B788" s="169"/>
      <c r="C788" s="227">
        <v>4943</v>
      </c>
      <c r="D788" s="250">
        <v>12.96</v>
      </c>
      <c r="E788" s="232"/>
      <c r="F788" s="229">
        <f>ROUND(D788*$C788,0)</f>
        <v>64061</v>
      </c>
      <c r="G788" s="250">
        <v>13.717892306976186</v>
      </c>
      <c r="H788" s="232"/>
      <c r="I788" s="229">
        <f t="shared" si="198"/>
        <v>67808</v>
      </c>
      <c r="J788" s="250">
        <f>$J$734</f>
        <v>13.922262587630865</v>
      </c>
      <c r="K788" s="232"/>
      <c r="L788" s="229">
        <f>ROUND(J788*$C788,0)</f>
        <v>68818</v>
      </c>
      <c r="M788" s="229"/>
      <c r="N788" s="250">
        <f>$N$734</f>
        <v>13.922262587630865</v>
      </c>
      <c r="O788" s="232"/>
      <c r="P788" s="229">
        <f>ROUND(N788*$C788,0)</f>
        <v>68818</v>
      </c>
      <c r="Q788" s="229"/>
      <c r="R788" s="250" t="str">
        <f>$R$734</f>
        <v xml:space="preserve"> </v>
      </c>
      <c r="S788" s="232"/>
      <c r="T788" s="229">
        <f>ROUND(R788*$C788,0)</f>
        <v>0</v>
      </c>
      <c r="U788" s="229"/>
      <c r="V788" s="250" t="str">
        <f>$V$734</f>
        <v xml:space="preserve"> </v>
      </c>
      <c r="W788" s="232"/>
      <c r="X788" s="229">
        <f>ROUND(V788*$C788,0)</f>
        <v>0</v>
      </c>
      <c r="Y788" s="53"/>
      <c r="Z788" s="110"/>
      <c r="AA788" s="110"/>
      <c r="AB788" s="110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</row>
    <row r="789" spans="1:47" hidden="1">
      <c r="A789" s="154" t="s">
        <v>218</v>
      </c>
      <c r="B789" s="169"/>
      <c r="C789" s="227">
        <v>555.50384435445301</v>
      </c>
      <c r="D789" s="250">
        <v>71.61</v>
      </c>
      <c r="E789" s="232"/>
      <c r="F789" s="229">
        <f>ROUND(D789*$C789,0)</f>
        <v>39780</v>
      </c>
      <c r="G789" s="250">
        <v>75.797705872111464</v>
      </c>
      <c r="H789" s="232"/>
      <c r="I789" s="229">
        <f t="shared" si="198"/>
        <v>42106</v>
      </c>
      <c r="J789" s="250">
        <f>$J$735</f>
        <v>76.92694628859924</v>
      </c>
      <c r="K789" s="232"/>
      <c r="L789" s="229">
        <f>ROUND(J789*$C789,0)</f>
        <v>42733</v>
      </c>
      <c r="M789" s="229"/>
      <c r="N789" s="250">
        <f>$N$735</f>
        <v>76.92694628859924</v>
      </c>
      <c r="O789" s="232"/>
      <c r="P789" s="229">
        <f>ROUND(N789*$C789,0)</f>
        <v>42733</v>
      </c>
      <c r="Q789" s="229"/>
      <c r="R789" s="250" t="str">
        <f>$R$735</f>
        <v xml:space="preserve"> </v>
      </c>
      <c r="S789" s="232"/>
      <c r="T789" s="229">
        <f>ROUND(R789*$C789,0)</f>
        <v>0</v>
      </c>
      <c r="U789" s="229"/>
      <c r="V789" s="250" t="str">
        <f>$V$735</f>
        <v xml:space="preserve"> </v>
      </c>
      <c r="W789" s="232"/>
      <c r="X789" s="229">
        <f>ROUND(V789*$C789,0)</f>
        <v>0</v>
      </c>
      <c r="Y789" s="53"/>
      <c r="Z789" s="110"/>
      <c r="AA789" s="110"/>
      <c r="AB789" s="110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</row>
    <row r="790" spans="1:47" hidden="1">
      <c r="A790" s="154" t="s">
        <v>219</v>
      </c>
      <c r="B790" s="169"/>
      <c r="C790" s="227">
        <v>986.11783988665604</v>
      </c>
      <c r="D790" s="250">
        <v>142.74</v>
      </c>
      <c r="E790" s="232"/>
      <c r="F790" s="229">
        <f>ROUND(D790*$C790,0)</f>
        <v>140758</v>
      </c>
      <c r="G790" s="250">
        <v>151.02734165877936</v>
      </c>
      <c r="H790" s="232"/>
      <c r="I790" s="229">
        <f t="shared" si="198"/>
        <v>148931</v>
      </c>
      <c r="J790" s="250">
        <f>$J$736</f>
        <v>153.21735933719765</v>
      </c>
      <c r="K790" s="232"/>
      <c r="L790" s="229">
        <f>ROUND(J790*$C790,0)</f>
        <v>151090</v>
      </c>
      <c r="M790" s="229"/>
      <c r="N790" s="250">
        <f>$N$736</f>
        <v>153.21735933719765</v>
      </c>
      <c r="O790" s="232"/>
      <c r="P790" s="229">
        <f>ROUND(N790*$C790,0)</f>
        <v>151090</v>
      </c>
      <c r="Q790" s="229"/>
      <c r="R790" s="250" t="str">
        <f>$R$736</f>
        <v xml:space="preserve"> </v>
      </c>
      <c r="S790" s="232"/>
      <c r="T790" s="229">
        <f>ROUND(R790*$C790,0)</f>
        <v>0</v>
      </c>
      <c r="U790" s="229"/>
      <c r="V790" s="250" t="str">
        <f>$V$736</f>
        <v xml:space="preserve"> </v>
      </c>
      <c r="W790" s="232"/>
      <c r="X790" s="229">
        <f>ROUND(V790*$C790,0)</f>
        <v>0</v>
      </c>
      <c r="Y790" s="53"/>
      <c r="Z790" s="110"/>
      <c r="AA790" s="110"/>
      <c r="AB790" s="110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</row>
    <row r="791" spans="1:47" hidden="1">
      <c r="A791" s="154" t="s">
        <v>220</v>
      </c>
      <c r="B791" s="169"/>
      <c r="C791" s="227"/>
      <c r="D791" s="250"/>
      <c r="E791" s="232"/>
      <c r="F791" s="229"/>
      <c r="G791" s="250"/>
      <c r="H791" s="232"/>
      <c r="I791" s="229"/>
      <c r="J791" s="250"/>
      <c r="K791" s="232"/>
      <c r="L791" s="229"/>
      <c r="M791" s="229"/>
      <c r="N791" s="250"/>
      <c r="O791" s="232"/>
      <c r="P791" s="229"/>
      <c r="Q791" s="229"/>
      <c r="R791" s="250"/>
      <c r="S791" s="232"/>
      <c r="T791" s="229"/>
      <c r="U791" s="229"/>
      <c r="V791" s="250"/>
      <c r="W791" s="232"/>
      <c r="X791" s="229"/>
      <c r="Y791" s="53"/>
      <c r="Z791" s="110"/>
      <c r="AA791" s="110"/>
      <c r="AB791" s="110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</row>
    <row r="792" spans="1:47" hidden="1">
      <c r="A792" s="154" t="s">
        <v>216</v>
      </c>
      <c r="B792" s="169"/>
      <c r="C792" s="227">
        <v>38.986619581829999</v>
      </c>
      <c r="D792" s="277">
        <v>-23.87</v>
      </c>
      <c r="E792" s="232"/>
      <c r="F792" s="229">
        <f>ROUND(D792*$C792,0)</f>
        <v>-931</v>
      </c>
      <c r="G792" s="277">
        <v>-25.265901957370488</v>
      </c>
      <c r="H792" s="232"/>
      <c r="I792" s="229">
        <f t="shared" ref="I792:I793" si="199">ROUND(G792*C792,0)</f>
        <v>-985</v>
      </c>
      <c r="J792" s="277">
        <f>-J784</f>
        <v>-25.642315429533081</v>
      </c>
      <c r="K792" s="232"/>
      <c r="L792" s="229">
        <f>ROUND(J792*$C792,0)</f>
        <v>-1000</v>
      </c>
      <c r="M792" s="229"/>
      <c r="N792" s="277">
        <f>-N784</f>
        <v>-25.642315429533081</v>
      </c>
      <c r="O792" s="232"/>
      <c r="P792" s="229">
        <f>ROUND(N792*$C792,0)</f>
        <v>-1000</v>
      </c>
      <c r="Q792" s="229"/>
      <c r="R792" s="277">
        <f>-R784</f>
        <v>0</v>
      </c>
      <c r="S792" s="232"/>
      <c r="T792" s="229">
        <f>ROUND(R792*$C792,0)</f>
        <v>0</v>
      </c>
      <c r="U792" s="229"/>
      <c r="V792" s="277">
        <f>-V784</f>
        <v>0</v>
      </c>
      <c r="W792" s="232"/>
      <c r="X792" s="229">
        <f>ROUND(V792*$C792,0)</f>
        <v>0</v>
      </c>
      <c r="Y792" s="53"/>
      <c r="Z792" s="110"/>
      <c r="AA792" s="110"/>
      <c r="AB792" s="110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</row>
    <row r="793" spans="1:47" hidden="1">
      <c r="A793" s="154" t="s">
        <v>221</v>
      </c>
      <c r="B793" s="169"/>
      <c r="C793" s="227">
        <v>305.04833412742897</v>
      </c>
      <c r="D793" s="277">
        <v>-23.79</v>
      </c>
      <c r="E793" s="232"/>
      <c r="F793" s="229">
        <f>ROUND(D793*$C793,0)</f>
        <v>-7257</v>
      </c>
      <c r="G793" s="277">
        <v>-25.171223609796559</v>
      </c>
      <c r="H793" s="232"/>
      <c r="I793" s="229">
        <f t="shared" si="199"/>
        <v>-7678</v>
      </c>
      <c r="J793" s="277">
        <f>-J786</f>
        <v>-25.536226556199608</v>
      </c>
      <c r="K793" s="232"/>
      <c r="L793" s="229">
        <f>ROUND(J793*$C793,0)</f>
        <v>-7790</v>
      </c>
      <c r="M793" s="229"/>
      <c r="N793" s="277">
        <f>-N786</f>
        <v>-25.536226556199608</v>
      </c>
      <c r="O793" s="232"/>
      <c r="P793" s="229">
        <f>ROUND(N793*$C793,0)</f>
        <v>-7790</v>
      </c>
      <c r="Q793" s="229"/>
      <c r="R793" s="277">
        <f>-R786</f>
        <v>0</v>
      </c>
      <c r="S793" s="232"/>
      <c r="T793" s="229">
        <f>ROUND(R793*$C793,0)</f>
        <v>0</v>
      </c>
      <c r="U793" s="229"/>
      <c r="V793" s="277">
        <f>-V786</f>
        <v>0</v>
      </c>
      <c r="W793" s="232"/>
      <c r="X793" s="229">
        <f>ROUND(V793*$C793,0)</f>
        <v>0</v>
      </c>
      <c r="Y793" s="53"/>
      <c r="Z793" s="110"/>
      <c r="AA793" s="110"/>
      <c r="AB793" s="110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</row>
    <row r="794" spans="1:47" hidden="1">
      <c r="A794" s="231" t="s">
        <v>183</v>
      </c>
      <c r="B794" s="169"/>
      <c r="C794" s="334" t="s">
        <v>0</v>
      </c>
      <c r="D794" s="250"/>
      <c r="E794" s="229"/>
      <c r="F794" s="229"/>
      <c r="G794" s="250"/>
      <c r="H794" s="229"/>
      <c r="I794" s="229"/>
      <c r="J794" s="250"/>
      <c r="K794" s="229"/>
      <c r="L794" s="229"/>
      <c r="M794" s="229"/>
      <c r="N794" s="250"/>
      <c r="O794" s="229"/>
      <c r="P794" s="229"/>
      <c r="Q794" s="229"/>
      <c r="R794" s="250"/>
      <c r="S794" s="229"/>
      <c r="T794" s="229"/>
      <c r="U794" s="229"/>
      <c r="V794" s="250"/>
      <c r="W794" s="229"/>
      <c r="X794" s="229"/>
      <c r="Y794" s="53"/>
      <c r="Z794" s="110"/>
      <c r="AA794" s="110"/>
      <c r="AB794" s="110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</row>
    <row r="795" spans="1:47" hidden="1">
      <c r="A795" s="154" t="s">
        <v>222</v>
      </c>
      <c r="B795" s="169"/>
      <c r="C795" s="227">
        <v>143271776.55847031</v>
      </c>
      <c r="D795" s="335">
        <v>6.4390000000000001</v>
      </c>
      <c r="E795" s="229" t="s">
        <v>107</v>
      </c>
      <c r="F795" s="229">
        <f>ROUND(D795/100*$C795,0)</f>
        <v>9225270</v>
      </c>
      <c r="G795" s="335">
        <v>6.8159999999999998</v>
      </c>
      <c r="H795" s="229" t="s">
        <v>107</v>
      </c>
      <c r="I795" s="229">
        <f>ROUND(G795/100*C795,0)</f>
        <v>9765404</v>
      </c>
      <c r="J795" s="335">
        <f>$J$741</f>
        <v>6.9180000000000001</v>
      </c>
      <c r="K795" s="229" t="s">
        <v>107</v>
      </c>
      <c r="L795" s="229">
        <f>ROUND(J795/100*$C795,0)</f>
        <v>9911542</v>
      </c>
      <c r="M795" s="229"/>
      <c r="N795" s="335">
        <f>$N$741</f>
        <v>9.7256693119232948E-2</v>
      </c>
      <c r="O795" s="229" t="s">
        <v>107</v>
      </c>
      <c r="P795" s="229">
        <f>ROUND(N795/100*$C795,0)</f>
        <v>139341</v>
      </c>
      <c r="Q795" s="229"/>
      <c r="R795" s="335">
        <f>$R$741</f>
        <v>1.3449860146278823</v>
      </c>
      <c r="S795" s="229" t="s">
        <v>107</v>
      </c>
      <c r="T795" s="229">
        <f>ROUND(R795/100*$C795,0)</f>
        <v>1926985</v>
      </c>
      <c r="U795" s="229"/>
      <c r="V795" s="335">
        <f>$V$741</f>
        <v>5.4757786184457329</v>
      </c>
      <c r="W795" s="229" t="s">
        <v>107</v>
      </c>
      <c r="X795" s="229">
        <f>ROUND(V795/100*$C795,0)</f>
        <v>7845245</v>
      </c>
      <c r="Y795" s="53"/>
      <c r="Z795" s="110"/>
      <c r="AA795" s="110"/>
      <c r="AB795" s="110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</row>
    <row r="796" spans="1:47" hidden="1">
      <c r="A796" s="231" t="s">
        <v>152</v>
      </c>
      <c r="B796" s="169"/>
      <c r="C796" s="168">
        <v>52896</v>
      </c>
      <c r="D796" s="251">
        <v>56</v>
      </c>
      <c r="E796" s="231" t="s">
        <v>107</v>
      </c>
      <c r="F796" s="229">
        <f>ROUND(D796*$C796/100,0)</f>
        <v>29622</v>
      </c>
      <c r="G796" s="251">
        <v>56</v>
      </c>
      <c r="H796" s="231" t="s">
        <v>107</v>
      </c>
      <c r="I796" s="229">
        <f>ROUND(G796/100*C796,0)</f>
        <v>29622</v>
      </c>
      <c r="J796" s="251">
        <f>$J$742</f>
        <v>56</v>
      </c>
      <c r="K796" s="231" t="s">
        <v>107</v>
      </c>
      <c r="L796" s="229">
        <f>ROUND(J796*$C796/100,0)</f>
        <v>29622</v>
      </c>
      <c r="M796" s="229"/>
      <c r="N796" s="251" t="str">
        <f>$N$742</f>
        <v xml:space="preserve"> </v>
      </c>
      <c r="O796" s="231" t="s">
        <v>107</v>
      </c>
      <c r="P796" s="229">
        <f>ROUND(N796*$C796/100,0)</f>
        <v>0</v>
      </c>
      <c r="Q796" s="229"/>
      <c r="R796" s="251">
        <f>$R$742</f>
        <v>11</v>
      </c>
      <c r="S796" s="231" t="s">
        <v>107</v>
      </c>
      <c r="T796" s="229">
        <f>ROUND(R796*$C796/100,0)</f>
        <v>5819</v>
      </c>
      <c r="U796" s="229"/>
      <c r="V796" s="251">
        <f>$V$742</f>
        <v>45</v>
      </c>
      <c r="W796" s="231" t="s">
        <v>107</v>
      </c>
      <c r="X796" s="229">
        <f>ROUND(V796*$C796/100,0)</f>
        <v>23803</v>
      </c>
      <c r="Y796" s="53"/>
      <c r="Z796" s="110"/>
      <c r="AA796" s="110"/>
      <c r="AB796" s="110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</row>
    <row r="797" spans="1:47" s="141" customFormat="1" hidden="1">
      <c r="A797" s="140" t="s">
        <v>223</v>
      </c>
      <c r="C797" s="142">
        <f>C795</f>
        <v>143271776.55847031</v>
      </c>
      <c r="D797" s="138"/>
      <c r="E797" s="143"/>
      <c r="F797" s="144"/>
      <c r="G797" s="138"/>
      <c r="H797" s="143"/>
      <c r="I797" s="144"/>
      <c r="J797" s="145">
        <f>J743</f>
        <v>0</v>
      </c>
      <c r="K797" s="283" t="s">
        <v>107</v>
      </c>
      <c r="L797" s="283">
        <f>ROUND(J797*$C797/100,0)</f>
        <v>0</v>
      </c>
      <c r="M797" s="283"/>
      <c r="N797" s="145" t="str">
        <f>N743</f>
        <v xml:space="preserve"> </v>
      </c>
      <c r="O797" s="283" t="s">
        <v>107</v>
      </c>
      <c r="P797" s="283">
        <f>ROUND(N797*$C797/100,0)</f>
        <v>0</v>
      </c>
      <c r="Q797" s="283"/>
      <c r="R797" s="145" t="str">
        <f>R743</f>
        <v xml:space="preserve"> </v>
      </c>
      <c r="S797" s="283" t="s">
        <v>107</v>
      </c>
      <c r="T797" s="283">
        <f>ROUND(R797*$C797/100,0)</f>
        <v>0</v>
      </c>
      <c r="U797" s="283"/>
      <c r="V797" s="145">
        <f>V743</f>
        <v>0</v>
      </c>
      <c r="W797" s="283" t="s">
        <v>107</v>
      </c>
      <c r="X797" s="283">
        <f>ROUND(V797*$C797/100,0)</f>
        <v>0</v>
      </c>
      <c r="Z797" s="132"/>
      <c r="AC797" s="148"/>
      <c r="AD797" s="148"/>
      <c r="AI797" s="143"/>
      <c r="AJ797" s="143"/>
      <c r="AK797" s="143"/>
      <c r="AL797" s="143"/>
      <c r="AM797" s="143"/>
      <c r="AN797" s="143"/>
      <c r="AO797" s="143"/>
      <c r="AP797" s="143"/>
      <c r="AQ797" s="143"/>
      <c r="AR797" s="143"/>
      <c r="AS797" s="143"/>
      <c r="AU797" s="147"/>
    </row>
    <row r="798" spans="1:47" hidden="1">
      <c r="A798" s="284" t="s">
        <v>159</v>
      </c>
      <c r="B798" s="169"/>
      <c r="C798" s="227"/>
      <c r="D798" s="245">
        <v>-0.01</v>
      </c>
      <c r="E798" s="131"/>
      <c r="F798" s="229"/>
      <c r="G798" s="245">
        <v>-0.01</v>
      </c>
      <c r="H798" s="169"/>
      <c r="I798" s="229"/>
      <c r="J798" s="245">
        <v>-0.01</v>
      </c>
      <c r="K798" s="169"/>
      <c r="L798" s="229"/>
      <c r="M798" s="229"/>
      <c r="N798" s="245">
        <v>-0.01</v>
      </c>
      <c r="O798" s="169"/>
      <c r="P798" s="229"/>
      <c r="Q798" s="229"/>
      <c r="R798" s="245">
        <v>-0.01</v>
      </c>
      <c r="S798" s="169"/>
      <c r="T798" s="229"/>
      <c r="U798" s="229"/>
      <c r="V798" s="245">
        <v>-0.01</v>
      </c>
      <c r="W798" s="169"/>
      <c r="X798" s="229"/>
      <c r="Y798" s="53"/>
      <c r="Z798" s="110"/>
      <c r="AA798" s="110"/>
      <c r="AB798" s="110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</row>
    <row r="799" spans="1:47" hidden="1">
      <c r="A799" s="154" t="s">
        <v>143</v>
      </c>
      <c r="B799" s="169"/>
      <c r="C799" s="227">
        <v>0</v>
      </c>
      <c r="D799" s="273">
        <v>0</v>
      </c>
      <c r="E799" s="232"/>
      <c r="F799" s="229">
        <f>ROUND(D799*$C799*$D$745,0)</f>
        <v>0</v>
      </c>
      <c r="G799" s="273">
        <v>0</v>
      </c>
      <c r="H799" s="232"/>
      <c r="I799" s="229">
        <f>ROUND(G799*C799*$G$745,0)</f>
        <v>0</v>
      </c>
      <c r="J799" s="273">
        <f>J775</f>
        <v>0</v>
      </c>
      <c r="K799" s="232"/>
      <c r="L799" s="229">
        <f>ROUND(J799*$C799*$J$798,0)</f>
        <v>0</v>
      </c>
      <c r="M799" s="229"/>
      <c r="N799" s="273">
        <f>N775</f>
        <v>0</v>
      </c>
      <c r="O799" s="232"/>
      <c r="P799" s="229">
        <f>ROUND(N799*$C799*$J$798,0)</f>
        <v>0</v>
      </c>
      <c r="Q799" s="229"/>
      <c r="R799" s="273" t="str">
        <f>R775</f>
        <v xml:space="preserve"> </v>
      </c>
      <c r="S799" s="232"/>
      <c r="T799" s="229">
        <f>ROUND(R799*$C799*$J$798,0)</f>
        <v>0</v>
      </c>
      <c r="U799" s="229"/>
      <c r="V799" s="273" t="str">
        <f>V775</f>
        <v xml:space="preserve"> </v>
      </c>
      <c r="W799" s="232"/>
      <c r="X799" s="229">
        <f>ROUND(V799*$C799*$J$798,0)</f>
        <v>0</v>
      </c>
      <c r="Y799" s="53"/>
      <c r="Z799" s="110"/>
      <c r="AA799" s="110"/>
      <c r="AB799" s="110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</row>
    <row r="800" spans="1:47" hidden="1">
      <c r="A800" s="154" t="s">
        <v>144</v>
      </c>
      <c r="B800" s="169"/>
      <c r="C800" s="227"/>
      <c r="D800" s="273"/>
      <c r="E800" s="232"/>
      <c r="F800" s="229"/>
      <c r="G800" s="273"/>
      <c r="H800" s="232"/>
      <c r="I800" s="229"/>
      <c r="J800" s="273"/>
      <c r="K800" s="232"/>
      <c r="L800" s="229"/>
      <c r="M800" s="229"/>
      <c r="N800" s="273"/>
      <c r="O800" s="232"/>
      <c r="P800" s="229"/>
      <c r="Q800" s="229"/>
      <c r="R800" s="273"/>
      <c r="S800" s="232"/>
      <c r="T800" s="229"/>
      <c r="U800" s="229"/>
      <c r="V800" s="273"/>
      <c r="W800" s="232"/>
      <c r="X800" s="229"/>
      <c r="Y800" s="53"/>
      <c r="Z800" s="110"/>
      <c r="AA800" s="110"/>
      <c r="AB800" s="110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</row>
    <row r="801" spans="1:45" hidden="1">
      <c r="A801" s="154" t="s">
        <v>210</v>
      </c>
      <c r="B801" s="169"/>
      <c r="C801" s="227">
        <v>1.00272540556427</v>
      </c>
      <c r="D801" s="273">
        <v>0</v>
      </c>
      <c r="E801" s="232"/>
      <c r="F801" s="229">
        <f>ROUND(D801*$C801*$D$745,0)</f>
        <v>0</v>
      </c>
      <c r="G801" s="273">
        <v>0</v>
      </c>
      <c r="H801" s="232"/>
      <c r="I801" s="229">
        <f t="shared" ref="I801:I804" si="200">ROUND(G801*C801*$G$745,0)</f>
        <v>0</v>
      </c>
      <c r="J801" s="273">
        <f>J777</f>
        <v>0</v>
      </c>
      <c r="K801" s="232"/>
      <c r="L801" s="229">
        <f>ROUND(J801*$C801*$J$798,0)</f>
        <v>0</v>
      </c>
      <c r="M801" s="229"/>
      <c r="N801" s="273">
        <f>N777</f>
        <v>0</v>
      </c>
      <c r="O801" s="232"/>
      <c r="P801" s="229">
        <f>ROUND(N801*$C801*$J$798,0)</f>
        <v>0</v>
      </c>
      <c r="Q801" s="229"/>
      <c r="R801" s="273" t="str">
        <f>R777</f>
        <v xml:space="preserve"> </v>
      </c>
      <c r="S801" s="232"/>
      <c r="T801" s="229">
        <f>ROUND(R801*$C801*$J$798,0)</f>
        <v>0</v>
      </c>
      <c r="U801" s="229"/>
      <c r="V801" s="273" t="str">
        <f>V777</f>
        <v xml:space="preserve"> </v>
      </c>
      <c r="W801" s="232"/>
      <c r="X801" s="229">
        <f>ROUND(V801*$C801*$J$798,0)</f>
        <v>0</v>
      </c>
      <c r="Y801" s="53"/>
      <c r="Z801" s="110"/>
      <c r="AA801" s="110"/>
      <c r="AB801" s="110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</row>
    <row r="802" spans="1:45" hidden="1">
      <c r="A802" s="154" t="s">
        <v>211</v>
      </c>
      <c r="B802" s="169"/>
      <c r="C802" s="227">
        <v>0</v>
      </c>
      <c r="D802" s="273">
        <v>357</v>
      </c>
      <c r="E802" s="232"/>
      <c r="F802" s="229">
        <f>ROUND(D802*$C802*$D$745,0)</f>
        <v>0</v>
      </c>
      <c r="G802" s="273">
        <v>357</v>
      </c>
      <c r="H802" s="232"/>
      <c r="I802" s="229">
        <f t="shared" si="200"/>
        <v>0</v>
      </c>
      <c r="J802" s="273">
        <f>J778</f>
        <v>362</v>
      </c>
      <c r="K802" s="232"/>
      <c r="L802" s="229">
        <f>ROUND(J802*$C802*$J$798,0)</f>
        <v>0</v>
      </c>
      <c r="M802" s="229"/>
      <c r="N802" s="273">
        <f>N778</f>
        <v>362</v>
      </c>
      <c r="O802" s="232"/>
      <c r="P802" s="229">
        <f>ROUND(N802*$C802*$J$798,0)</f>
        <v>0</v>
      </c>
      <c r="Q802" s="229"/>
      <c r="R802" s="273" t="str">
        <f>R778</f>
        <v xml:space="preserve"> </v>
      </c>
      <c r="S802" s="232"/>
      <c r="T802" s="229">
        <f>ROUND(R802*$C802*$J$798,0)</f>
        <v>0</v>
      </c>
      <c r="U802" s="229"/>
      <c r="V802" s="273" t="str">
        <f>V778</f>
        <v xml:space="preserve"> </v>
      </c>
      <c r="W802" s="232"/>
      <c r="X802" s="229">
        <f>ROUND(V802*$C802*$J$798,0)</f>
        <v>0</v>
      </c>
      <c r="Y802" s="53"/>
      <c r="Z802" s="110"/>
      <c r="AA802" s="110"/>
      <c r="AB802" s="110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</row>
    <row r="803" spans="1:45" hidden="1">
      <c r="A803" s="154" t="s">
        <v>212</v>
      </c>
      <c r="B803" s="169"/>
      <c r="C803" s="227">
        <v>0</v>
      </c>
      <c r="D803" s="273">
        <v>1457</v>
      </c>
      <c r="E803" s="232"/>
      <c r="F803" s="229">
        <f>ROUND(D803*$C803*$D$745,0)</f>
        <v>0</v>
      </c>
      <c r="G803" s="273">
        <v>1457</v>
      </c>
      <c r="H803" s="232"/>
      <c r="I803" s="229">
        <f t="shared" si="200"/>
        <v>0</v>
      </c>
      <c r="J803" s="273">
        <f>J779</f>
        <v>1479</v>
      </c>
      <c r="K803" s="232"/>
      <c r="L803" s="229">
        <f>ROUND(J803*$C803*$J$798,0)</f>
        <v>0</v>
      </c>
      <c r="M803" s="229"/>
      <c r="N803" s="273">
        <f>N779</f>
        <v>1479</v>
      </c>
      <c r="O803" s="232"/>
      <c r="P803" s="229">
        <f>ROUND(N803*$C803*$J$798,0)</f>
        <v>0</v>
      </c>
      <c r="Q803" s="229"/>
      <c r="R803" s="273" t="str">
        <f>R779</f>
        <v xml:space="preserve"> </v>
      </c>
      <c r="S803" s="232"/>
      <c r="T803" s="229">
        <f>ROUND(R803*$C803*$J$798,0)</f>
        <v>0</v>
      </c>
      <c r="U803" s="229"/>
      <c r="V803" s="273" t="str">
        <f>V779</f>
        <v xml:space="preserve"> </v>
      </c>
      <c r="W803" s="232"/>
      <c r="X803" s="229">
        <f>ROUND(V803*$C803*$J$798,0)</f>
        <v>0</v>
      </c>
      <c r="Y803" s="53"/>
      <c r="Z803" s="110"/>
      <c r="AA803" s="110"/>
      <c r="AB803" s="110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</row>
    <row r="804" spans="1:45" hidden="1">
      <c r="A804" s="154" t="s">
        <v>143</v>
      </c>
      <c r="B804" s="169"/>
      <c r="C804" s="227">
        <v>0</v>
      </c>
      <c r="D804" s="273">
        <v>23.87</v>
      </c>
      <c r="E804" s="232"/>
      <c r="F804" s="229">
        <f>ROUND(D804*$C804*$D$745,0)</f>
        <v>0</v>
      </c>
      <c r="G804" s="273">
        <v>25.265901957370488</v>
      </c>
      <c r="H804" s="232"/>
      <c r="I804" s="229">
        <f t="shared" si="200"/>
        <v>0</v>
      </c>
      <c r="J804" s="273">
        <f>J784</f>
        <v>25.642315429533081</v>
      </c>
      <c r="K804" s="232"/>
      <c r="L804" s="229">
        <f>ROUND(J804*$C804*$J$798,0)</f>
        <v>0</v>
      </c>
      <c r="M804" s="229"/>
      <c r="N804" s="273">
        <f>N784</f>
        <v>25.642315429533081</v>
      </c>
      <c r="O804" s="232"/>
      <c r="P804" s="229">
        <f>ROUND(N804*$C804*$J$798,0)</f>
        <v>0</v>
      </c>
      <c r="Q804" s="229"/>
      <c r="R804" s="273" t="str">
        <f>R784</f>
        <v xml:space="preserve"> </v>
      </c>
      <c r="S804" s="232"/>
      <c r="T804" s="229">
        <f>ROUND(R804*$C804*$J$798,0)</f>
        <v>0</v>
      </c>
      <c r="U804" s="229"/>
      <c r="V804" s="273" t="str">
        <f>V784</f>
        <v xml:space="preserve"> </v>
      </c>
      <c r="W804" s="232"/>
      <c r="X804" s="229">
        <f>ROUND(V804*$C804*$J$798,0)</f>
        <v>0</v>
      </c>
      <c r="Y804" s="53"/>
      <c r="Z804" s="110"/>
      <c r="AA804" s="110"/>
      <c r="AB804" s="110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</row>
    <row r="805" spans="1:45" hidden="1">
      <c r="A805" s="154" t="s">
        <v>144</v>
      </c>
      <c r="B805" s="169"/>
      <c r="C805" s="227"/>
      <c r="D805" s="273"/>
      <c r="E805" s="232"/>
      <c r="F805" s="229"/>
      <c r="G805" s="273"/>
      <c r="H805" s="232"/>
      <c r="I805" s="229"/>
      <c r="J805" s="273"/>
      <c r="K805" s="232"/>
      <c r="L805" s="229"/>
      <c r="M805" s="229"/>
      <c r="N805" s="273"/>
      <c r="O805" s="232"/>
      <c r="P805" s="229"/>
      <c r="Q805" s="229"/>
      <c r="R805" s="273"/>
      <c r="S805" s="232"/>
      <c r="T805" s="229"/>
      <c r="U805" s="229"/>
      <c r="V805" s="273"/>
      <c r="W805" s="232"/>
      <c r="X805" s="229"/>
      <c r="Y805" s="53"/>
      <c r="Z805" s="110"/>
      <c r="AA805" s="110"/>
      <c r="AB805" s="110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</row>
    <row r="806" spans="1:45" hidden="1">
      <c r="A806" s="154" t="s">
        <v>210</v>
      </c>
      <c r="B806" s="169"/>
      <c r="C806" s="227">
        <v>30.440941572089098</v>
      </c>
      <c r="D806" s="273">
        <v>23.79</v>
      </c>
      <c r="E806" s="232"/>
      <c r="F806" s="229">
        <f>ROUND(D806*$C806*$D$745,0)</f>
        <v>-7</v>
      </c>
      <c r="G806" s="273">
        <v>25.171223609796559</v>
      </c>
      <c r="H806" s="232"/>
      <c r="I806" s="229">
        <f t="shared" ref="I806:I810" si="201">ROUND(G806*C806*$G$745,0)</f>
        <v>-8</v>
      </c>
      <c r="J806" s="273">
        <f>J786</f>
        <v>25.536226556199608</v>
      </c>
      <c r="K806" s="232"/>
      <c r="L806" s="229">
        <f>ROUND(J806*$C806*$J$798,0)</f>
        <v>-8</v>
      </c>
      <c r="M806" s="229"/>
      <c r="N806" s="273">
        <f>N786</f>
        <v>25.536226556199608</v>
      </c>
      <c r="O806" s="232"/>
      <c r="P806" s="229">
        <f>ROUND(N806*$C806*$J$798,0)</f>
        <v>-8</v>
      </c>
      <c r="Q806" s="229"/>
      <c r="R806" s="273" t="str">
        <f>R786</f>
        <v xml:space="preserve"> </v>
      </c>
      <c r="S806" s="232"/>
      <c r="T806" s="229">
        <f>ROUND(R806*$C806*$J$798,0)</f>
        <v>0</v>
      </c>
      <c r="U806" s="229"/>
      <c r="V806" s="273" t="str">
        <f>V786</f>
        <v xml:space="preserve"> </v>
      </c>
      <c r="W806" s="232"/>
      <c r="X806" s="229">
        <f>ROUND(V806*$C806*$J$798,0)</f>
        <v>0</v>
      </c>
      <c r="Y806" s="53"/>
      <c r="Z806" s="110"/>
      <c r="AA806" s="110"/>
      <c r="AB806" s="110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</row>
    <row r="807" spans="1:45" hidden="1">
      <c r="A807" s="154" t="s">
        <v>211</v>
      </c>
      <c r="B807" s="169"/>
      <c r="C807" s="227">
        <v>0</v>
      </c>
      <c r="D807" s="273">
        <v>16.559999999999999</v>
      </c>
      <c r="E807" s="232"/>
      <c r="F807" s="229">
        <f>ROUND(D807*$C807*$D$745,0)</f>
        <v>0</v>
      </c>
      <c r="G807" s="273">
        <v>17.5284179478029</v>
      </c>
      <c r="H807" s="232"/>
      <c r="I807" s="229">
        <f t="shared" si="201"/>
        <v>0</v>
      </c>
      <c r="J807" s="273">
        <f>J787</f>
        <v>17.789557750861658</v>
      </c>
      <c r="K807" s="232"/>
      <c r="L807" s="229">
        <f>ROUND(J807*$C807*$J$798,0)</f>
        <v>0</v>
      </c>
      <c r="M807" s="229"/>
      <c r="N807" s="273">
        <f>N787</f>
        <v>17.789557750861658</v>
      </c>
      <c r="O807" s="232"/>
      <c r="P807" s="229">
        <f>ROUND(N807*$C807*$J$798,0)</f>
        <v>0</v>
      </c>
      <c r="Q807" s="229"/>
      <c r="R807" s="273" t="str">
        <f>R787</f>
        <v xml:space="preserve"> </v>
      </c>
      <c r="S807" s="232"/>
      <c r="T807" s="229">
        <f>ROUND(R807*$C807*$J$798,0)</f>
        <v>0</v>
      </c>
      <c r="U807" s="229"/>
      <c r="V807" s="273" t="str">
        <f>V787</f>
        <v xml:space="preserve"> </v>
      </c>
      <c r="W807" s="232"/>
      <c r="X807" s="229">
        <f>ROUND(V807*$C807*$J$798,0)</f>
        <v>0</v>
      </c>
      <c r="Y807" s="53"/>
      <c r="Z807" s="110"/>
      <c r="AA807" s="110"/>
      <c r="AB807" s="110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</row>
    <row r="808" spans="1:45" hidden="1">
      <c r="A808" s="154" t="s">
        <v>212</v>
      </c>
      <c r="B808" s="169"/>
      <c r="C808" s="227">
        <v>0</v>
      </c>
      <c r="D808" s="273">
        <v>12.96</v>
      </c>
      <c r="E808" s="232"/>
      <c r="F808" s="229">
        <f>ROUND(D808*$C808*$D$745,0)</f>
        <v>0</v>
      </c>
      <c r="G808" s="273">
        <v>13.717892306976186</v>
      </c>
      <c r="H808" s="232"/>
      <c r="I808" s="229">
        <f t="shared" si="201"/>
        <v>0</v>
      </c>
      <c r="J808" s="273">
        <f>J788</f>
        <v>13.922262587630865</v>
      </c>
      <c r="K808" s="232"/>
      <c r="L808" s="229">
        <f t="shared" ref="L808:L813" si="202">ROUND(J808*$C808*$J$798,0)</f>
        <v>0</v>
      </c>
      <c r="M808" s="229"/>
      <c r="N808" s="273">
        <f>N788</f>
        <v>13.922262587630865</v>
      </c>
      <c r="O808" s="232"/>
      <c r="P808" s="229">
        <f t="shared" ref="P808:P810" si="203">ROUND(N808*$C808*$J$798,0)</f>
        <v>0</v>
      </c>
      <c r="Q808" s="229"/>
      <c r="R808" s="273" t="str">
        <f>R788</f>
        <v xml:space="preserve"> </v>
      </c>
      <c r="S808" s="232"/>
      <c r="T808" s="229">
        <f t="shared" ref="T808:T810" si="204">ROUND(R808*$C808*$J$798,0)</f>
        <v>0</v>
      </c>
      <c r="U808" s="229"/>
      <c r="V808" s="273" t="str">
        <f>V788</f>
        <v xml:space="preserve"> </v>
      </c>
      <c r="W808" s="232"/>
      <c r="X808" s="229">
        <f t="shared" ref="X808:X810" si="205">ROUND(V808*$C808*$J$798,0)</f>
        <v>0</v>
      </c>
      <c r="Y808" s="53"/>
      <c r="Z808" s="110"/>
      <c r="AA808" s="110"/>
      <c r="AB808" s="110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</row>
    <row r="809" spans="1:45" hidden="1">
      <c r="A809" s="154" t="s">
        <v>225</v>
      </c>
      <c r="B809" s="169"/>
      <c r="C809" s="227">
        <v>0</v>
      </c>
      <c r="D809" s="277">
        <v>71.61</v>
      </c>
      <c r="E809" s="232"/>
      <c r="F809" s="229">
        <f>ROUND(D809*$C809*$D$745,0)</f>
        <v>0</v>
      </c>
      <c r="G809" s="277">
        <v>75.797705872111464</v>
      </c>
      <c r="H809" s="232"/>
      <c r="I809" s="229">
        <f t="shared" si="201"/>
        <v>0</v>
      </c>
      <c r="J809" s="277">
        <f>J789</f>
        <v>76.92694628859924</v>
      </c>
      <c r="K809" s="232"/>
      <c r="L809" s="229">
        <f t="shared" si="202"/>
        <v>0</v>
      </c>
      <c r="M809" s="229"/>
      <c r="N809" s="277">
        <f>N789</f>
        <v>76.92694628859924</v>
      </c>
      <c r="O809" s="232"/>
      <c r="P809" s="229">
        <f t="shared" si="203"/>
        <v>0</v>
      </c>
      <c r="Q809" s="229"/>
      <c r="R809" s="277" t="str">
        <f>R789</f>
        <v xml:space="preserve"> </v>
      </c>
      <c r="S809" s="232"/>
      <c r="T809" s="229">
        <f t="shared" si="204"/>
        <v>0</v>
      </c>
      <c r="U809" s="229"/>
      <c r="V809" s="277" t="str">
        <f>V789</f>
        <v xml:space="preserve"> </v>
      </c>
      <c r="W809" s="232"/>
      <c r="X809" s="229">
        <f t="shared" si="205"/>
        <v>0</v>
      </c>
      <c r="Y809" s="53"/>
      <c r="Z809" s="110"/>
      <c r="AA809" s="110"/>
      <c r="AB809" s="110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</row>
    <row r="810" spans="1:45" hidden="1">
      <c r="A810" s="154" t="s">
        <v>226</v>
      </c>
      <c r="B810" s="169"/>
      <c r="C810" s="227">
        <v>0</v>
      </c>
      <c r="D810" s="277">
        <v>142.74</v>
      </c>
      <c r="E810" s="232"/>
      <c r="F810" s="229">
        <f>ROUND(D810*$C810*$D$745,0)</f>
        <v>0</v>
      </c>
      <c r="G810" s="277">
        <v>151.02734165877936</v>
      </c>
      <c r="H810" s="232"/>
      <c r="I810" s="229">
        <f t="shared" si="201"/>
        <v>0</v>
      </c>
      <c r="J810" s="277">
        <f>J790</f>
        <v>153.21735933719765</v>
      </c>
      <c r="K810" s="232"/>
      <c r="L810" s="229">
        <f t="shared" si="202"/>
        <v>0</v>
      </c>
      <c r="M810" s="229"/>
      <c r="N810" s="277">
        <f>N790</f>
        <v>153.21735933719765</v>
      </c>
      <c r="O810" s="232"/>
      <c r="P810" s="229">
        <f t="shared" si="203"/>
        <v>0</v>
      </c>
      <c r="Q810" s="229"/>
      <c r="R810" s="277" t="str">
        <f>R790</f>
        <v xml:space="preserve"> </v>
      </c>
      <c r="S810" s="232"/>
      <c r="T810" s="229">
        <f t="shared" si="204"/>
        <v>0</v>
      </c>
      <c r="U810" s="229"/>
      <c r="V810" s="277" t="str">
        <f>V790</f>
        <v xml:space="preserve"> </v>
      </c>
      <c r="W810" s="232"/>
      <c r="X810" s="229">
        <f t="shared" si="205"/>
        <v>0</v>
      </c>
      <c r="Y810" s="53"/>
      <c r="Z810" s="110"/>
      <c r="AA810" s="110"/>
      <c r="AB810" s="110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</row>
    <row r="811" spans="1:45" hidden="1">
      <c r="A811" s="154" t="s">
        <v>220</v>
      </c>
      <c r="B811" s="169"/>
      <c r="C811" s="227"/>
      <c r="D811" s="250"/>
      <c r="E811" s="232"/>
      <c r="F811" s="229"/>
      <c r="G811" s="250"/>
      <c r="H811" s="232"/>
      <c r="I811" s="229"/>
      <c r="J811" s="250"/>
      <c r="K811" s="232"/>
      <c r="L811" s="229"/>
      <c r="M811" s="229"/>
      <c r="N811" s="250"/>
      <c r="O811" s="232"/>
      <c r="P811" s="229"/>
      <c r="Q811" s="229"/>
      <c r="R811" s="250"/>
      <c r="S811" s="232"/>
      <c r="T811" s="229"/>
      <c r="U811" s="229"/>
      <c r="V811" s="250"/>
      <c r="W811" s="232"/>
      <c r="X811" s="229"/>
      <c r="Y811" s="53"/>
      <c r="Z811" s="110"/>
      <c r="AA811" s="110"/>
      <c r="AB811" s="110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</row>
    <row r="812" spans="1:45" hidden="1">
      <c r="A812" s="154" t="s">
        <v>216</v>
      </c>
      <c r="B812" s="169"/>
      <c r="C812" s="227">
        <v>0</v>
      </c>
      <c r="D812" s="277">
        <v>-23.87</v>
      </c>
      <c r="E812" s="232"/>
      <c r="F812" s="229">
        <f>ROUND(D812*$C812*$D$745,0)</f>
        <v>0</v>
      </c>
      <c r="G812" s="277">
        <v>-25.265901957370488</v>
      </c>
      <c r="H812" s="232"/>
      <c r="I812" s="229">
        <f t="shared" ref="I812:I813" si="206">ROUND(G812*C812*$G$745,0)</f>
        <v>0</v>
      </c>
      <c r="J812" s="277">
        <f>J792</f>
        <v>-25.642315429533081</v>
      </c>
      <c r="K812" s="232"/>
      <c r="L812" s="229">
        <f t="shared" si="202"/>
        <v>0</v>
      </c>
      <c r="M812" s="229"/>
      <c r="N812" s="277">
        <f>N792</f>
        <v>-25.642315429533081</v>
      </c>
      <c r="O812" s="232"/>
      <c r="P812" s="229">
        <f t="shared" ref="P812:P813" si="207">ROUND(N812*$C812*$J$798,0)</f>
        <v>0</v>
      </c>
      <c r="Q812" s="229"/>
      <c r="R812" s="277">
        <f>R792</f>
        <v>0</v>
      </c>
      <c r="S812" s="232"/>
      <c r="T812" s="229">
        <f t="shared" ref="T812:T813" si="208">ROUND(R812*$C812*$J$798,0)</f>
        <v>0</v>
      </c>
      <c r="U812" s="229"/>
      <c r="V812" s="277">
        <f>V792</f>
        <v>0</v>
      </c>
      <c r="W812" s="232"/>
      <c r="X812" s="229">
        <f t="shared" ref="X812:X813" si="209">ROUND(V812*$C812*$J$798,0)</f>
        <v>0</v>
      </c>
      <c r="Y812" s="53"/>
      <c r="Z812" s="110"/>
      <c r="AA812" s="110"/>
      <c r="AB812" s="110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</row>
    <row r="813" spans="1:45" hidden="1">
      <c r="A813" s="154" t="s">
        <v>221</v>
      </c>
      <c r="B813" s="169"/>
      <c r="C813" s="227">
        <v>0</v>
      </c>
      <c r="D813" s="277">
        <v>-23.79</v>
      </c>
      <c r="E813" s="232"/>
      <c r="F813" s="229">
        <f>ROUND(D813*$C813*$D$745,0)</f>
        <v>0</v>
      </c>
      <c r="G813" s="277">
        <v>-25.171223609796559</v>
      </c>
      <c r="H813" s="232"/>
      <c r="I813" s="229">
        <f t="shared" si="206"/>
        <v>0</v>
      </c>
      <c r="J813" s="277">
        <f>J793</f>
        <v>-25.536226556199608</v>
      </c>
      <c r="K813" s="232"/>
      <c r="L813" s="229">
        <f t="shared" si="202"/>
        <v>0</v>
      </c>
      <c r="M813" s="229"/>
      <c r="N813" s="277">
        <f>N793</f>
        <v>-25.536226556199608</v>
      </c>
      <c r="O813" s="232"/>
      <c r="P813" s="229">
        <f t="shared" si="207"/>
        <v>0</v>
      </c>
      <c r="Q813" s="229"/>
      <c r="R813" s="277">
        <f>R793</f>
        <v>0</v>
      </c>
      <c r="S813" s="232"/>
      <c r="T813" s="229">
        <f t="shared" si="208"/>
        <v>0</v>
      </c>
      <c r="U813" s="229"/>
      <c r="V813" s="277">
        <f>V793</f>
        <v>0</v>
      </c>
      <c r="W813" s="232"/>
      <c r="X813" s="229">
        <f t="shared" si="209"/>
        <v>0</v>
      </c>
      <c r="Y813" s="53"/>
      <c r="Z813" s="110"/>
      <c r="AA813" s="110"/>
      <c r="AB813" s="110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</row>
    <row r="814" spans="1:45" hidden="1">
      <c r="A814" s="231" t="s">
        <v>183</v>
      </c>
      <c r="B814" s="169"/>
      <c r="C814" s="227"/>
      <c r="D814" s="273"/>
      <c r="E814" s="229"/>
      <c r="F814" s="229"/>
      <c r="G814" s="273"/>
      <c r="H814" s="229"/>
      <c r="I814" s="229"/>
      <c r="J814" s="273"/>
      <c r="K814" s="229"/>
      <c r="L814" s="229"/>
      <c r="M814" s="229"/>
      <c r="N814" s="273"/>
      <c r="O814" s="229"/>
      <c r="P814" s="229"/>
      <c r="Q814" s="229"/>
      <c r="R814" s="273"/>
      <c r="S814" s="229"/>
      <c r="T814" s="229"/>
      <c r="U814" s="229"/>
      <c r="V814" s="273"/>
      <c r="W814" s="229"/>
      <c r="X814" s="229"/>
      <c r="Y814" s="53"/>
      <c r="Z814" s="110"/>
      <c r="AA814" s="110"/>
      <c r="AB814" s="110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</row>
    <row r="815" spans="1:45" hidden="1">
      <c r="A815" s="154" t="s">
        <v>222</v>
      </c>
      <c r="B815" s="169"/>
      <c r="C815" s="227">
        <v>32140</v>
      </c>
      <c r="D815" s="329">
        <v>6.4390000000000001</v>
      </c>
      <c r="E815" s="229" t="s">
        <v>107</v>
      </c>
      <c r="F815" s="229">
        <f>ROUND(D815/100*$C815*$D$745,0)</f>
        <v>-21</v>
      </c>
      <c r="G815" s="329">
        <v>6.8159999999999998</v>
      </c>
      <c r="H815" s="229" t="s">
        <v>107</v>
      </c>
      <c r="I815" s="229">
        <f>ROUND(G815*C815/100*G798,0)</f>
        <v>-22</v>
      </c>
      <c r="J815" s="329">
        <f>J795</f>
        <v>6.9180000000000001</v>
      </c>
      <c r="K815" s="229" t="s">
        <v>107</v>
      </c>
      <c r="L815" s="229">
        <f>ROUND(J815/100*$C815*$J$798,0)</f>
        <v>-22</v>
      </c>
      <c r="M815" s="229"/>
      <c r="N815" s="329">
        <f>N795</f>
        <v>9.7256693119232948E-2</v>
      </c>
      <c r="O815" s="229" t="s">
        <v>107</v>
      </c>
      <c r="P815" s="229">
        <f>ROUND(N815/100*$C815*$J$798,0)</f>
        <v>0</v>
      </c>
      <c r="Q815" s="229"/>
      <c r="R815" s="329">
        <f>R795</f>
        <v>1.3449860146278823</v>
      </c>
      <c r="S815" s="229" t="s">
        <v>107</v>
      </c>
      <c r="T815" s="229">
        <f>ROUND(R815/100*$C815*$J$798,0)</f>
        <v>-4</v>
      </c>
      <c r="U815" s="229"/>
      <c r="V815" s="329">
        <f>V795</f>
        <v>5.4757786184457329</v>
      </c>
      <c r="W815" s="229" t="s">
        <v>107</v>
      </c>
      <c r="X815" s="229">
        <f>ROUND(V815/100*$C815*$J$798,0)</f>
        <v>-18</v>
      </c>
      <c r="Y815" s="53"/>
      <c r="Z815" s="110"/>
      <c r="AA815" s="110"/>
      <c r="AB815" s="110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</row>
    <row r="816" spans="1:45" hidden="1">
      <c r="A816" s="231" t="s">
        <v>152</v>
      </c>
      <c r="B816" s="169"/>
      <c r="C816" s="227">
        <v>0</v>
      </c>
      <c r="D816" s="289">
        <v>56</v>
      </c>
      <c r="E816" s="229" t="s">
        <v>107</v>
      </c>
      <c r="F816" s="229">
        <f>ROUND(D816/100*$C816*$D$745,0)</f>
        <v>0</v>
      </c>
      <c r="G816" s="289">
        <v>56</v>
      </c>
      <c r="H816" s="231" t="s">
        <v>107</v>
      </c>
      <c r="I816" s="229">
        <f t="shared" ref="I816" si="210">ROUND(G816*C816,0)</f>
        <v>0</v>
      </c>
      <c r="J816" s="289">
        <f>J796</f>
        <v>56</v>
      </c>
      <c r="K816" s="231" t="s">
        <v>107</v>
      </c>
      <c r="L816" s="229">
        <f>ROUND(J816/100*$C816*$J$798,0)</f>
        <v>0</v>
      </c>
      <c r="M816" s="229"/>
      <c r="N816" s="289" t="str">
        <f>N796</f>
        <v xml:space="preserve"> </v>
      </c>
      <c r="O816" s="231" t="s">
        <v>107</v>
      </c>
      <c r="P816" s="229">
        <f>ROUND(N816/100*$C816*$J$798,0)</f>
        <v>0</v>
      </c>
      <c r="Q816" s="229"/>
      <c r="R816" s="289">
        <f>R796</f>
        <v>11</v>
      </c>
      <c r="S816" s="231" t="s">
        <v>107</v>
      </c>
      <c r="T816" s="229">
        <f>ROUND(R816/100*$C816*$J$798,0)</f>
        <v>0</v>
      </c>
      <c r="U816" s="229"/>
      <c r="V816" s="289">
        <f>V796</f>
        <v>45</v>
      </c>
      <c r="W816" s="231" t="s">
        <v>107</v>
      </c>
      <c r="X816" s="229">
        <f>ROUND(V816/100*$C816*$J$798,0)</f>
        <v>0</v>
      </c>
      <c r="Y816" s="53"/>
      <c r="Z816" s="110"/>
      <c r="AA816" s="110"/>
      <c r="AB816" s="110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</row>
    <row r="817" spans="1:47" hidden="1">
      <c r="A817" s="231" t="s">
        <v>201</v>
      </c>
      <c r="B817" s="169"/>
      <c r="C817" s="227">
        <v>12</v>
      </c>
      <c r="D817" s="193">
        <v>60</v>
      </c>
      <c r="E817" s="292" t="s">
        <v>0</v>
      </c>
      <c r="F817" s="229">
        <f>ROUND(D817*$C817,0)</f>
        <v>720</v>
      </c>
      <c r="G817" s="193">
        <v>60</v>
      </c>
      <c r="H817" s="169"/>
      <c r="I817" s="229">
        <f>ROUND(G817*$C817,0)</f>
        <v>720</v>
      </c>
      <c r="J817" s="193">
        <f>$J$764</f>
        <v>60</v>
      </c>
      <c r="K817" s="169"/>
      <c r="L817" s="229">
        <f>ROUND(J817*$C817,0)</f>
        <v>720</v>
      </c>
      <c r="M817" s="229"/>
      <c r="N817" s="193" t="str">
        <f>$N$764</f>
        <v xml:space="preserve"> </v>
      </c>
      <c r="O817" s="169"/>
      <c r="P817" s="229">
        <f>ROUND(N817*$C817,0)</f>
        <v>0</v>
      </c>
      <c r="Q817" s="229"/>
      <c r="R817" s="193">
        <f>$R$764</f>
        <v>11.831395044239748</v>
      </c>
      <c r="S817" s="169"/>
      <c r="T817" s="229">
        <f>ROUND(R817*$C817,0)</f>
        <v>142</v>
      </c>
      <c r="U817" s="229"/>
      <c r="V817" s="193">
        <f>$V$764</f>
        <v>48.168604955760237</v>
      </c>
      <c r="W817" s="169"/>
      <c r="X817" s="229">
        <f>ROUND(V817*$C817,0)</f>
        <v>578</v>
      </c>
      <c r="Y817" s="53"/>
      <c r="Z817" s="110"/>
      <c r="AA817" s="110"/>
      <c r="AB817" s="110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</row>
    <row r="818" spans="1:47" hidden="1">
      <c r="A818" s="231" t="s">
        <v>202</v>
      </c>
      <c r="B818" s="169"/>
      <c r="C818" s="227">
        <v>30.440941572089098</v>
      </c>
      <c r="D818" s="251">
        <v>-30</v>
      </c>
      <c r="E818" s="229" t="s">
        <v>107</v>
      </c>
      <c r="F818" s="229">
        <f>ROUND(D818*$C818,0)</f>
        <v>-913</v>
      </c>
      <c r="G818" s="251">
        <v>-30</v>
      </c>
      <c r="H818" s="229" t="s">
        <v>107</v>
      </c>
      <c r="I818" s="229">
        <f>ROUND(G818*$C818/100,0)</f>
        <v>-9</v>
      </c>
      <c r="J818" s="251">
        <f>$J$765</f>
        <v>-30</v>
      </c>
      <c r="K818" s="229" t="s">
        <v>107</v>
      </c>
      <c r="L818" s="229">
        <f>ROUND(J818*$C818/100,0)</f>
        <v>-9</v>
      </c>
      <c r="M818" s="229"/>
      <c r="N818" s="251">
        <f>$N$765</f>
        <v>-30</v>
      </c>
      <c r="O818" s="229" t="s">
        <v>107</v>
      </c>
      <c r="P818" s="229">
        <f>ROUND(N818*$C818/100,0)</f>
        <v>-9</v>
      </c>
      <c r="Q818" s="229"/>
      <c r="R818" s="251">
        <f>$R$765</f>
        <v>0</v>
      </c>
      <c r="S818" s="229" t="s">
        <v>107</v>
      </c>
      <c r="T818" s="229">
        <f>ROUND(R818*$C818/100,0)</f>
        <v>0</v>
      </c>
      <c r="U818" s="229"/>
      <c r="V818" s="251">
        <f>$V$765</f>
        <v>0</v>
      </c>
      <c r="W818" s="229" t="s">
        <v>107</v>
      </c>
      <c r="X818" s="229">
        <f>ROUND(V818*$C818/100,0)</f>
        <v>0</v>
      </c>
      <c r="Y818" s="53"/>
      <c r="Z818" s="110"/>
      <c r="AA818" s="110"/>
      <c r="AB818" s="110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</row>
    <row r="819" spans="1:47" s="141" customFormat="1" hidden="1">
      <c r="A819" s="140" t="s">
        <v>223</v>
      </c>
      <c r="C819" s="142">
        <f>C815</f>
        <v>32140</v>
      </c>
      <c r="D819" s="138"/>
      <c r="E819" s="143"/>
      <c r="F819" s="144"/>
      <c r="G819" s="138"/>
      <c r="H819" s="143"/>
      <c r="I819" s="144"/>
      <c r="J819" s="145">
        <f>J766</f>
        <v>0</v>
      </c>
      <c r="K819" s="283" t="s">
        <v>107</v>
      </c>
      <c r="L819" s="229">
        <f>ROUND(J819/100*$C819*$J$798,0)</f>
        <v>0</v>
      </c>
      <c r="M819" s="229"/>
      <c r="N819" s="145" t="str">
        <f>N766</f>
        <v xml:space="preserve"> </v>
      </c>
      <c r="O819" s="283" t="s">
        <v>107</v>
      </c>
      <c r="P819" s="229">
        <f>ROUND(N819/100*$C819*$J$798,0)</f>
        <v>0</v>
      </c>
      <c r="Q819" s="229"/>
      <c r="R819" s="145" t="str">
        <f>R766</f>
        <v xml:space="preserve"> </v>
      </c>
      <c r="S819" s="283" t="s">
        <v>107</v>
      </c>
      <c r="T819" s="229">
        <f>ROUND(R819/100*$C819*$J$798,0)</f>
        <v>0</v>
      </c>
      <c r="U819" s="229"/>
      <c r="V819" s="145">
        <f>V766</f>
        <v>0</v>
      </c>
      <c r="W819" s="283" t="s">
        <v>107</v>
      </c>
      <c r="X819" s="229">
        <f>ROUND(V819/100*$C819*$J$798,0)</f>
        <v>0</v>
      </c>
      <c r="Z819" s="132"/>
      <c r="AC819" s="148"/>
      <c r="AD819" s="148"/>
      <c r="AI819" s="143"/>
      <c r="AJ819" s="143"/>
      <c r="AK819" s="143"/>
      <c r="AL819" s="143"/>
      <c r="AM819" s="143"/>
      <c r="AN819" s="143"/>
      <c r="AO819" s="143"/>
      <c r="AP819" s="143"/>
      <c r="AQ819" s="143"/>
      <c r="AR819" s="143"/>
      <c r="AS819" s="143"/>
      <c r="AU819" s="147"/>
    </row>
    <row r="820" spans="1:47" hidden="1">
      <c r="A820" s="169" t="s">
        <v>133</v>
      </c>
      <c r="B820" s="169"/>
      <c r="C820" s="227">
        <f>SUM(C795:C795)</f>
        <v>143271776.55847031</v>
      </c>
      <c r="D820" s="237"/>
      <c r="E820" s="131"/>
      <c r="F820" s="131">
        <f>SUM(F775:F818)</f>
        <v>11570104</v>
      </c>
      <c r="G820" s="237"/>
      <c r="H820" s="231"/>
      <c r="I820" s="131">
        <f>SUM(I775:I818)</f>
        <v>12236390</v>
      </c>
      <c r="J820" s="237"/>
      <c r="K820" s="231"/>
      <c r="L820" s="131">
        <f>SUM(L775:L819)</f>
        <v>12418203</v>
      </c>
      <c r="M820" s="131"/>
      <c r="N820" s="237"/>
      <c r="O820" s="231"/>
      <c r="P820" s="131">
        <f>SUM(P775:P819)</f>
        <v>2615682</v>
      </c>
      <c r="Q820" s="131"/>
      <c r="R820" s="237"/>
      <c r="S820" s="231"/>
      <c r="T820" s="131">
        <f>SUM(T775:T819)</f>
        <v>1932942</v>
      </c>
      <c r="U820" s="131"/>
      <c r="V820" s="237"/>
      <c r="W820" s="231"/>
      <c r="X820" s="131">
        <f>SUM(X775:X819)</f>
        <v>7869608</v>
      </c>
      <c r="Y820" s="53"/>
      <c r="Z820" s="110"/>
      <c r="AA820" s="110"/>
      <c r="AB820" s="110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</row>
    <row r="821" spans="1:47" hidden="1">
      <c r="A821" s="169" t="s">
        <v>111</v>
      </c>
      <c r="B821" s="169"/>
      <c r="C821" s="275">
        <v>-204808.5383765107</v>
      </c>
      <c r="D821" s="154"/>
      <c r="E821" s="154"/>
      <c r="F821" s="152">
        <f>I821</f>
        <v>-31873.500853653604</v>
      </c>
      <c r="G821" s="154"/>
      <c r="H821" s="154"/>
      <c r="I821" s="152">
        <v>-31873.500853653604</v>
      </c>
      <c r="J821" s="154"/>
      <c r="K821" s="154"/>
      <c r="L821" s="152">
        <f>I821</f>
        <v>-31873.500853653604</v>
      </c>
      <c r="M821" s="153"/>
      <c r="N821" s="154"/>
      <c r="O821" s="154"/>
      <c r="P821" s="152">
        <f>P768/L768*L821</f>
        <v>-6705.5655109690106</v>
      </c>
      <c r="Q821" s="153"/>
      <c r="R821" s="154"/>
      <c r="S821" s="154"/>
      <c r="T821" s="152">
        <f>T768/L768*L821</f>
        <v>-4962.8630914530822</v>
      </c>
      <c r="U821" s="153"/>
      <c r="V821" s="154"/>
      <c r="W821" s="154"/>
      <c r="X821" s="152">
        <f>X768/L768*L821</f>
        <v>-20205.072251231511</v>
      </c>
      <c r="Y821" s="185"/>
      <c r="Z821" s="183"/>
      <c r="AA821" s="110"/>
      <c r="AB821" s="110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</row>
    <row r="822" spans="1:47" ht="16.5" hidden="1" thickBot="1">
      <c r="A822" s="169" t="s">
        <v>134</v>
      </c>
      <c r="B822" s="169"/>
      <c r="C822" s="293">
        <f>SUM(C820:C821)</f>
        <v>143066968.0200938</v>
      </c>
      <c r="D822" s="272"/>
      <c r="E822" s="256"/>
      <c r="F822" s="257">
        <f>F820+F821</f>
        <v>11538230.499146346</v>
      </c>
      <c r="G822" s="272"/>
      <c r="H822" s="258"/>
      <c r="I822" s="257">
        <f>I820+I821</f>
        <v>12204516.499146346</v>
      </c>
      <c r="J822" s="272"/>
      <c r="K822" s="258"/>
      <c r="L822" s="257">
        <f>L820+L821</f>
        <v>12386329.499146346</v>
      </c>
      <c r="M822" s="257"/>
      <c r="N822" s="272"/>
      <c r="O822" s="258"/>
      <c r="P822" s="257">
        <f>P820+P821</f>
        <v>2608976.4344890309</v>
      </c>
      <c r="Q822" s="257"/>
      <c r="R822" s="272"/>
      <c r="S822" s="258"/>
      <c r="T822" s="257">
        <f>T820+T821</f>
        <v>1927979.136908547</v>
      </c>
      <c r="U822" s="257"/>
      <c r="V822" s="272"/>
      <c r="W822" s="258"/>
      <c r="X822" s="257">
        <f>X820+X821</f>
        <v>7849402.9277487686</v>
      </c>
      <c r="Y822" s="186"/>
      <c r="Z822" s="187"/>
      <c r="AA822" s="110"/>
      <c r="AB822" s="110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</row>
    <row r="823" spans="1:47" hidden="1">
      <c r="A823" s="169"/>
      <c r="B823" s="169"/>
      <c r="C823" s="308"/>
      <c r="D823" s="276" t="s">
        <v>0</v>
      </c>
      <c r="E823" s="263"/>
      <c r="F823" s="230"/>
      <c r="G823" s="276" t="s">
        <v>0</v>
      </c>
      <c r="H823" s="264"/>
      <c r="I823" s="230"/>
      <c r="J823" s="332" t="s">
        <v>0</v>
      </c>
      <c r="K823" s="264"/>
      <c r="L823" s="151" t="s">
        <v>0</v>
      </c>
      <c r="M823" s="151"/>
      <c r="N823" s="332" t="s">
        <v>0</v>
      </c>
      <c r="O823" s="264"/>
      <c r="P823" s="151" t="s">
        <v>0</v>
      </c>
      <c r="Q823" s="151"/>
      <c r="R823" s="332" t="s">
        <v>0</v>
      </c>
      <c r="S823" s="264"/>
      <c r="T823" s="151" t="s">
        <v>0</v>
      </c>
      <c r="U823" s="151"/>
      <c r="V823" s="332" t="s">
        <v>0</v>
      </c>
      <c r="W823" s="264"/>
      <c r="X823" s="151" t="s">
        <v>0</v>
      </c>
      <c r="Y823" s="53"/>
      <c r="Z823" s="110"/>
      <c r="AA823" s="110"/>
      <c r="AB823" s="110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</row>
    <row r="824" spans="1:47" hidden="1">
      <c r="A824" s="188" t="s">
        <v>227</v>
      </c>
      <c r="B824" s="169"/>
      <c r="C824" s="189"/>
      <c r="D824" s="250"/>
      <c r="E824" s="131"/>
      <c r="F824" s="131"/>
      <c r="G824" s="250"/>
      <c r="H824" s="169"/>
      <c r="I824" s="131"/>
      <c r="J824" s="250"/>
      <c r="K824" s="169"/>
      <c r="L824" s="131"/>
      <c r="M824" s="131"/>
      <c r="N824" s="250"/>
      <c r="O824" s="169"/>
      <c r="P824" s="131"/>
      <c r="Q824" s="131"/>
      <c r="R824" s="250"/>
      <c r="S824" s="169"/>
      <c r="T824" s="131"/>
      <c r="U824" s="131"/>
      <c r="V824" s="250"/>
      <c r="W824" s="169"/>
      <c r="X824" s="131"/>
      <c r="Y824" s="53"/>
      <c r="Z824" s="110"/>
      <c r="AA824" s="110"/>
      <c r="AB824" s="110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</row>
    <row r="825" spans="1:47" hidden="1">
      <c r="A825" s="154" t="s">
        <v>228</v>
      </c>
      <c r="B825" s="169"/>
      <c r="C825" s="189"/>
      <c r="D825" s="250"/>
      <c r="E825" s="131"/>
      <c r="F825" s="131"/>
      <c r="G825" s="250"/>
      <c r="H825" s="169"/>
      <c r="I825" s="131"/>
      <c r="J825" s="250"/>
      <c r="K825" s="169"/>
      <c r="L825" s="131"/>
      <c r="M825" s="131"/>
      <c r="N825" s="250"/>
      <c r="O825" s="169"/>
      <c r="P825" s="131"/>
      <c r="Q825" s="131"/>
      <c r="R825" s="250"/>
      <c r="S825" s="169"/>
      <c r="T825" s="131"/>
      <c r="U825" s="131"/>
      <c r="V825" s="250"/>
      <c r="W825" s="169"/>
      <c r="X825" s="131"/>
      <c r="Y825" s="53"/>
      <c r="Z825" s="110"/>
      <c r="AA825" s="110"/>
      <c r="AB825" s="110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</row>
    <row r="826" spans="1:47" hidden="1">
      <c r="A826" s="231"/>
      <c r="B826" s="169"/>
      <c r="C826" s="189"/>
      <c r="D826" s="250"/>
      <c r="E826" s="131"/>
      <c r="F826" s="273"/>
      <c r="G826" s="250"/>
      <c r="H826" s="169"/>
      <c r="I826" s="273"/>
      <c r="J826" s="250"/>
      <c r="K826" s="169"/>
      <c r="L826" s="319"/>
      <c r="M826" s="319"/>
      <c r="N826" s="250"/>
      <c r="O826" s="169"/>
      <c r="P826" s="319"/>
      <c r="Q826" s="319"/>
      <c r="R826" s="250"/>
      <c r="S826" s="169"/>
      <c r="T826" s="319"/>
      <c r="U826" s="319"/>
      <c r="V826" s="250"/>
      <c r="W826" s="169"/>
      <c r="X826" s="319"/>
      <c r="Y826" s="53"/>
      <c r="Z826" s="110"/>
      <c r="AA826" s="110"/>
      <c r="AB826" s="110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</row>
    <row r="827" spans="1:47" hidden="1">
      <c r="A827" s="154" t="s">
        <v>207</v>
      </c>
      <c r="B827" s="169"/>
      <c r="C827" s="227"/>
      <c r="D827" s="131" t="s">
        <v>0</v>
      </c>
      <c r="E827" s="131"/>
      <c r="F827" s="169"/>
      <c r="G827" s="131" t="s">
        <v>0</v>
      </c>
      <c r="H827" s="169"/>
      <c r="I827" s="169"/>
      <c r="J827" s="131" t="s">
        <v>0</v>
      </c>
      <c r="K827" s="169"/>
      <c r="L827" s="169"/>
      <c r="M827" s="169"/>
      <c r="N827" s="131" t="s">
        <v>0</v>
      </c>
      <c r="O827" s="169"/>
      <c r="P827" s="169"/>
      <c r="Q827" s="169"/>
      <c r="R827" s="131" t="s">
        <v>0</v>
      </c>
      <c r="S827" s="169"/>
      <c r="T827" s="169"/>
      <c r="U827" s="169"/>
      <c r="V827" s="131" t="s">
        <v>0</v>
      </c>
      <c r="W827" s="169"/>
      <c r="X827" s="169"/>
      <c r="Y827" s="53"/>
      <c r="Z827" s="110"/>
      <c r="AA827" s="110"/>
      <c r="AB827" s="110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</row>
    <row r="828" spans="1:47" hidden="1">
      <c r="A828" s="154" t="s">
        <v>208</v>
      </c>
      <c r="B828" s="169"/>
      <c r="C828" s="227">
        <v>64.334199134199096</v>
      </c>
      <c r="D828" s="250">
        <v>0</v>
      </c>
      <c r="E828" s="232"/>
      <c r="F828" s="229">
        <f>ROUND(D828*$C828,0)</f>
        <v>0</v>
      </c>
      <c r="G828" s="250">
        <v>0</v>
      </c>
      <c r="H828" s="232"/>
      <c r="I828" s="229">
        <f>ROUND(G828*C828,0)</f>
        <v>0</v>
      </c>
      <c r="J828" s="250">
        <f>$J$721</f>
        <v>0</v>
      </c>
      <c r="K828" s="232"/>
      <c r="L828" s="229">
        <f>ROUND(J828*$C828,0)</f>
        <v>0</v>
      </c>
      <c r="M828" s="229"/>
      <c r="N828" s="250">
        <f>$N$721</f>
        <v>0</v>
      </c>
      <c r="O828" s="232"/>
      <c r="P828" s="229">
        <f>ROUND(N828*$C828,0)</f>
        <v>0</v>
      </c>
      <c r="Q828" s="229"/>
      <c r="R828" s="250" t="str">
        <f>$R$721</f>
        <v xml:space="preserve"> </v>
      </c>
      <c r="S828" s="232"/>
      <c r="T828" s="229">
        <f>ROUND(R828*$C828,0)</f>
        <v>0</v>
      </c>
      <c r="U828" s="229"/>
      <c r="V828" s="250" t="str">
        <f>$V$721</f>
        <v xml:space="preserve"> </v>
      </c>
      <c r="W828" s="232"/>
      <c r="X828" s="229">
        <f>ROUND(V828*$C828,0)</f>
        <v>0</v>
      </c>
      <c r="Y828" s="53"/>
      <c r="Z828" s="110"/>
      <c r="AA828" s="110"/>
      <c r="AB828" s="110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</row>
    <row r="829" spans="1:47" hidden="1">
      <c r="A829" s="154" t="s">
        <v>209</v>
      </c>
      <c r="B829" s="169"/>
      <c r="C829" s="227"/>
      <c r="D829" s="250"/>
      <c r="E829" s="232"/>
      <c r="F829" s="229"/>
      <c r="G829" s="250"/>
      <c r="H829" s="232"/>
      <c r="I829" s="229"/>
      <c r="J829" s="250"/>
      <c r="K829" s="232"/>
      <c r="L829" s="229"/>
      <c r="M829" s="229"/>
      <c r="N829" s="250"/>
      <c r="O829" s="232"/>
      <c r="P829" s="229"/>
      <c r="Q829" s="229"/>
      <c r="R829" s="250"/>
      <c r="S829" s="232"/>
      <c r="T829" s="229"/>
      <c r="U829" s="229"/>
      <c r="V829" s="250"/>
      <c r="W829" s="232"/>
      <c r="X829" s="229"/>
      <c r="Y829" s="53"/>
      <c r="Z829" s="110"/>
      <c r="AA829" s="110"/>
      <c r="AB829" s="110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</row>
    <row r="830" spans="1:47" hidden="1">
      <c r="A830" s="154" t="s">
        <v>210</v>
      </c>
      <c r="B830" s="169"/>
      <c r="C830" s="227">
        <v>128.32599131287699</v>
      </c>
      <c r="D830" s="250">
        <v>0</v>
      </c>
      <c r="E830" s="232"/>
      <c r="F830" s="229">
        <f>ROUND(D830*$C830,0)</f>
        <v>0</v>
      </c>
      <c r="G830" s="250">
        <v>0</v>
      </c>
      <c r="H830" s="232"/>
      <c r="I830" s="229">
        <f t="shared" ref="I830:I832" si="211">ROUND(G830*C830,0)</f>
        <v>0</v>
      </c>
      <c r="J830" s="250">
        <f>$J$723</f>
        <v>0</v>
      </c>
      <c r="K830" s="232"/>
      <c r="L830" s="229">
        <f>ROUND(J830*$C830,0)</f>
        <v>0</v>
      </c>
      <c r="M830" s="229"/>
      <c r="N830" s="250">
        <f>$N$723</f>
        <v>0</v>
      </c>
      <c r="O830" s="232"/>
      <c r="P830" s="229">
        <f>ROUND(N830*$C830,0)</f>
        <v>0</v>
      </c>
      <c r="Q830" s="229"/>
      <c r="R830" s="250" t="str">
        <f>$R$723</f>
        <v xml:space="preserve"> </v>
      </c>
      <c r="S830" s="232"/>
      <c r="T830" s="229">
        <f>ROUND(R830*$C830,0)</f>
        <v>0</v>
      </c>
      <c r="U830" s="229"/>
      <c r="V830" s="250" t="str">
        <f>$V$723</f>
        <v xml:space="preserve"> </v>
      </c>
      <c r="W830" s="232"/>
      <c r="X830" s="229">
        <f>ROUND(V830*$C830,0)</f>
        <v>0</v>
      </c>
      <c r="Y830" s="53"/>
      <c r="Z830" s="110"/>
      <c r="AA830" s="110"/>
      <c r="AB830" s="110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</row>
    <row r="831" spans="1:47" hidden="1">
      <c r="A831" s="154" t="s">
        <v>211</v>
      </c>
      <c r="B831" s="169"/>
      <c r="C831" s="227">
        <v>10.8958908081687</v>
      </c>
      <c r="D831" s="250">
        <v>357</v>
      </c>
      <c r="E831" s="232"/>
      <c r="F831" s="229">
        <f>ROUND(D831*$C831,0)</f>
        <v>3890</v>
      </c>
      <c r="G831" s="250">
        <v>357</v>
      </c>
      <c r="H831" s="232"/>
      <c r="I831" s="229">
        <f t="shared" si="211"/>
        <v>3890</v>
      </c>
      <c r="J831" s="250">
        <f>$J$724</f>
        <v>362</v>
      </c>
      <c r="K831" s="232"/>
      <c r="L831" s="229">
        <f>ROUND(J831*$C831,0)</f>
        <v>3944</v>
      </c>
      <c r="M831" s="229"/>
      <c r="N831" s="250">
        <f>$N$724</f>
        <v>362</v>
      </c>
      <c r="O831" s="232"/>
      <c r="P831" s="229">
        <f>ROUND(N831*$C831,0)</f>
        <v>3944</v>
      </c>
      <c r="Q831" s="229"/>
      <c r="R831" s="250" t="str">
        <f>$R$724</f>
        <v xml:space="preserve"> </v>
      </c>
      <c r="S831" s="232"/>
      <c r="T831" s="229">
        <f>ROUND(R831*$C831,0)</f>
        <v>0</v>
      </c>
      <c r="U831" s="229"/>
      <c r="V831" s="250" t="str">
        <f>$V$724</f>
        <v xml:space="preserve"> </v>
      </c>
      <c r="W831" s="232"/>
      <c r="X831" s="229">
        <f>ROUND(V831*$C831,0)</f>
        <v>0</v>
      </c>
      <c r="Y831" s="53"/>
      <c r="Z831" s="110"/>
      <c r="AA831" s="110"/>
      <c r="AB831" s="110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</row>
    <row r="832" spans="1:47" hidden="1">
      <c r="A832" s="154" t="s">
        <v>212</v>
      </c>
      <c r="B832" s="169"/>
      <c r="C832" s="227">
        <v>1</v>
      </c>
      <c r="D832" s="250">
        <v>1457</v>
      </c>
      <c r="E832" s="232"/>
      <c r="F832" s="229">
        <f>ROUND(D832*$C832,0)</f>
        <v>1457</v>
      </c>
      <c r="G832" s="250">
        <v>1457</v>
      </c>
      <c r="H832" s="232"/>
      <c r="I832" s="229">
        <f t="shared" si="211"/>
        <v>1457</v>
      </c>
      <c r="J832" s="250">
        <f>$J$725</f>
        <v>1479</v>
      </c>
      <c r="K832" s="232"/>
      <c r="L832" s="229">
        <f>ROUND(J832*$C832,0)</f>
        <v>1479</v>
      </c>
      <c r="M832" s="229"/>
      <c r="N832" s="250">
        <f>$N$725</f>
        <v>1479</v>
      </c>
      <c r="O832" s="232"/>
      <c r="P832" s="229">
        <f>ROUND(N832*$C832,0)</f>
        <v>1479</v>
      </c>
      <c r="Q832" s="229"/>
      <c r="R832" s="250" t="str">
        <f>$R$725</f>
        <v xml:space="preserve"> </v>
      </c>
      <c r="S832" s="232"/>
      <c r="T832" s="229">
        <f>ROUND(R832*$C832,0)</f>
        <v>0</v>
      </c>
      <c r="U832" s="229"/>
      <c r="V832" s="250" t="str">
        <f>$V$725</f>
        <v xml:space="preserve"> </v>
      </c>
      <c r="W832" s="232"/>
      <c r="X832" s="229">
        <f>ROUND(V832*$C832,0)</f>
        <v>0</v>
      </c>
      <c r="Y832" s="53"/>
      <c r="Z832" s="110"/>
      <c r="AA832" s="110"/>
      <c r="AB832" s="110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</row>
    <row r="833" spans="1:45" hidden="1">
      <c r="A833" s="154" t="s">
        <v>109</v>
      </c>
      <c r="B833" s="169"/>
      <c r="C833" s="227">
        <f>SUM(C828:C832)</f>
        <v>204.55608125524481</v>
      </c>
      <c r="D833" s="250"/>
      <c r="E833" s="232"/>
      <c r="F833" s="229"/>
      <c r="G833" s="250"/>
      <c r="H833" s="232"/>
      <c r="I833" s="229"/>
      <c r="J833" s="250"/>
      <c r="K833" s="232"/>
      <c r="L833" s="229"/>
      <c r="M833" s="229"/>
      <c r="N833" s="250"/>
      <c r="O833" s="232"/>
      <c r="P833" s="229"/>
      <c r="Q833" s="229"/>
      <c r="R833" s="250"/>
      <c r="S833" s="232"/>
      <c r="T833" s="229"/>
      <c r="U833" s="229"/>
      <c r="V833" s="250"/>
      <c r="W833" s="232"/>
      <c r="X833" s="229"/>
      <c r="Y833" s="53"/>
      <c r="Z833" s="110"/>
      <c r="AA833" s="110"/>
      <c r="AB833" s="110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</row>
    <row r="834" spans="1:45" hidden="1">
      <c r="A834" s="154" t="s">
        <v>213</v>
      </c>
      <c r="B834" s="169"/>
      <c r="C834" s="227">
        <v>1557.2500000000005</v>
      </c>
      <c r="D834" s="250"/>
      <c r="E834" s="229"/>
      <c r="F834" s="229"/>
      <c r="G834" s="250"/>
      <c r="H834" s="229"/>
      <c r="I834" s="229"/>
      <c r="J834" s="250"/>
      <c r="K834" s="229"/>
      <c r="L834" s="229"/>
      <c r="M834" s="229"/>
      <c r="N834" s="250"/>
      <c r="O834" s="229"/>
      <c r="P834" s="229"/>
      <c r="Q834" s="229"/>
      <c r="R834" s="250"/>
      <c r="S834" s="229"/>
      <c r="T834" s="229"/>
      <c r="U834" s="229"/>
      <c r="V834" s="250"/>
      <c r="W834" s="229"/>
      <c r="X834" s="229"/>
      <c r="Y834" s="53"/>
      <c r="Z834" s="110"/>
      <c r="AA834" s="110"/>
      <c r="AB834" s="110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</row>
    <row r="835" spans="1:45" hidden="1">
      <c r="A835" s="154" t="s">
        <v>214</v>
      </c>
      <c r="B835" s="169"/>
      <c r="C835" s="227">
        <v>225</v>
      </c>
      <c r="D835" s="250"/>
      <c r="E835" s="229"/>
      <c r="F835" s="229"/>
      <c r="G835" s="250"/>
      <c r="H835" s="229"/>
      <c r="I835" s="229"/>
      <c r="J835" s="250"/>
      <c r="K835" s="229"/>
      <c r="L835" s="229"/>
      <c r="M835" s="229"/>
      <c r="N835" s="250"/>
      <c r="O835" s="229"/>
      <c r="P835" s="229"/>
      <c r="Q835" s="229"/>
      <c r="R835" s="250"/>
      <c r="S835" s="229"/>
      <c r="T835" s="229"/>
      <c r="U835" s="229"/>
      <c r="V835" s="250"/>
      <c r="W835" s="229"/>
      <c r="X835" s="229"/>
      <c r="Y835" s="53"/>
      <c r="Z835" s="110"/>
      <c r="AA835" s="110"/>
      <c r="AB835" s="110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</row>
    <row r="836" spans="1:45" hidden="1">
      <c r="A836" s="154" t="s">
        <v>215</v>
      </c>
      <c r="B836" s="169"/>
      <c r="C836" s="227"/>
      <c r="D836" s="250"/>
      <c r="E836" s="232"/>
      <c r="F836" s="229"/>
      <c r="G836" s="250"/>
      <c r="H836" s="232"/>
      <c r="I836" s="229"/>
      <c r="J836" s="250"/>
      <c r="K836" s="232"/>
      <c r="L836" s="229"/>
      <c r="M836" s="229"/>
      <c r="N836" s="250"/>
      <c r="O836" s="232"/>
      <c r="P836" s="229"/>
      <c r="Q836" s="229"/>
      <c r="R836" s="250"/>
      <c r="S836" s="232"/>
      <c r="T836" s="229"/>
      <c r="U836" s="229"/>
      <c r="V836" s="250"/>
      <c r="W836" s="232"/>
      <c r="X836" s="229"/>
      <c r="Y836" s="53"/>
      <c r="Z836" s="110"/>
      <c r="AA836" s="110"/>
      <c r="AB836" s="110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</row>
    <row r="837" spans="1:45" hidden="1">
      <c r="A837" s="154" t="s">
        <v>216</v>
      </c>
      <c r="B837" s="169"/>
      <c r="C837" s="227">
        <v>224.61625471302901</v>
      </c>
      <c r="D837" s="250">
        <v>23.87</v>
      </c>
      <c r="E837" s="232"/>
      <c r="F837" s="229">
        <f>ROUND(D837*$C837,0)</f>
        <v>5362</v>
      </c>
      <c r="G837" s="250">
        <v>25.265901957370488</v>
      </c>
      <c r="H837" s="232"/>
      <c r="I837" s="229">
        <f>ROUND(G837*C837,0)</f>
        <v>5675</v>
      </c>
      <c r="J837" s="250">
        <f>$J$730</f>
        <v>25.642315429533081</v>
      </c>
      <c r="K837" s="232"/>
      <c r="L837" s="229">
        <f>ROUND(J837*$C837,0)</f>
        <v>5760</v>
      </c>
      <c r="M837" s="229"/>
      <c r="N837" s="250">
        <f>$N$730</f>
        <v>25.642315429533081</v>
      </c>
      <c r="O837" s="232"/>
      <c r="P837" s="229">
        <f>ROUND(N837*$C837,0)</f>
        <v>5760</v>
      </c>
      <c r="Q837" s="229"/>
      <c r="R837" s="250" t="str">
        <f>$R$730</f>
        <v xml:space="preserve"> </v>
      </c>
      <c r="S837" s="232"/>
      <c r="T837" s="229">
        <f>ROUND(R837*$C837,0)</f>
        <v>0</v>
      </c>
      <c r="U837" s="229"/>
      <c r="V837" s="250" t="str">
        <f>$V$730</f>
        <v xml:space="preserve"> </v>
      </c>
      <c r="W837" s="232"/>
      <c r="X837" s="229">
        <f>ROUND(V837*$C837,0)</f>
        <v>0</v>
      </c>
      <c r="Y837" s="53"/>
      <c r="Z837" s="110"/>
      <c r="AA837" s="110"/>
      <c r="AB837" s="110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</row>
    <row r="838" spans="1:45" hidden="1">
      <c r="A838" s="154" t="s">
        <v>217</v>
      </c>
      <c r="B838" s="169"/>
      <c r="C838" s="227"/>
      <c r="D838" s="250"/>
      <c r="E838" s="232"/>
      <c r="F838" s="229"/>
      <c r="G838" s="250"/>
      <c r="H838" s="232"/>
      <c r="I838" s="229"/>
      <c r="J838" s="250"/>
      <c r="K838" s="232"/>
      <c r="L838" s="229"/>
      <c r="M838" s="229"/>
      <c r="N838" s="250"/>
      <c r="O838" s="232"/>
      <c r="P838" s="229"/>
      <c r="Q838" s="229"/>
      <c r="R838" s="250"/>
      <c r="S838" s="232"/>
      <c r="T838" s="229"/>
      <c r="U838" s="229"/>
      <c r="V838" s="250"/>
      <c r="W838" s="232"/>
      <c r="X838" s="229"/>
      <c r="Y838" s="53"/>
      <c r="Z838" s="110"/>
      <c r="AA838" s="110"/>
      <c r="AB838" s="110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</row>
    <row r="839" spans="1:45" hidden="1">
      <c r="A839" s="154" t="s">
        <v>210</v>
      </c>
      <c r="B839" s="169"/>
      <c r="C839" s="227">
        <v>1774.8768390079899</v>
      </c>
      <c r="D839" s="250">
        <v>23.79</v>
      </c>
      <c r="E839" s="232"/>
      <c r="F839" s="229">
        <f>ROUND(D839*$C839,0)</f>
        <v>42224</v>
      </c>
      <c r="G839" s="250">
        <v>25.171223609796559</v>
      </c>
      <c r="H839" s="232"/>
      <c r="I839" s="229">
        <f t="shared" ref="I839:I843" si="212">ROUND(G839*C839,0)</f>
        <v>44676</v>
      </c>
      <c r="J839" s="250">
        <f>$J$732</f>
        <v>25.536226556199608</v>
      </c>
      <c r="K839" s="232"/>
      <c r="L839" s="229">
        <f>ROUND(J839*$C839,0)</f>
        <v>45324</v>
      </c>
      <c r="M839" s="229"/>
      <c r="N839" s="250">
        <f>$N$732</f>
        <v>25.536226556199608</v>
      </c>
      <c r="O839" s="232"/>
      <c r="P839" s="229">
        <f>ROUND(N839*$C839,0)</f>
        <v>45324</v>
      </c>
      <c r="Q839" s="229"/>
      <c r="R839" s="250" t="str">
        <f>$R$732</f>
        <v xml:space="preserve"> </v>
      </c>
      <c r="S839" s="232"/>
      <c r="T839" s="229">
        <f>ROUND(R839*$C839,0)</f>
        <v>0</v>
      </c>
      <c r="U839" s="229"/>
      <c r="V839" s="250" t="str">
        <f>$V$732</f>
        <v xml:space="preserve"> </v>
      </c>
      <c r="W839" s="232"/>
      <c r="X839" s="229">
        <f>ROUND(V839*$C839,0)</f>
        <v>0</v>
      </c>
      <c r="Y839" s="53"/>
      <c r="Z839" s="110"/>
      <c r="AA839" s="110"/>
      <c r="AB839" s="110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</row>
    <row r="840" spans="1:45" hidden="1">
      <c r="A840" s="154" t="s">
        <v>211</v>
      </c>
      <c r="B840" s="169"/>
      <c r="C840" s="227">
        <v>1229.89051820554</v>
      </c>
      <c r="D840" s="250">
        <v>16.559999999999999</v>
      </c>
      <c r="E840" s="232"/>
      <c r="F840" s="229">
        <f>ROUND(D840*$C840,0)</f>
        <v>20367</v>
      </c>
      <c r="G840" s="250">
        <v>17.5284179478029</v>
      </c>
      <c r="H840" s="232"/>
      <c r="I840" s="229">
        <f t="shared" si="212"/>
        <v>21558</v>
      </c>
      <c r="J840" s="250">
        <f>$J$733</f>
        <v>17.789557750861658</v>
      </c>
      <c r="K840" s="232"/>
      <c r="L840" s="229">
        <f>ROUND(J840*$C840,0)</f>
        <v>21879</v>
      </c>
      <c r="M840" s="229"/>
      <c r="N840" s="250">
        <f>$N$733</f>
        <v>17.789557750861658</v>
      </c>
      <c r="O840" s="232"/>
      <c r="P840" s="229">
        <f>ROUND(N840*$C840,0)</f>
        <v>21879</v>
      </c>
      <c r="Q840" s="229"/>
      <c r="R840" s="250" t="str">
        <f>$R$733</f>
        <v xml:space="preserve"> </v>
      </c>
      <c r="S840" s="232"/>
      <c r="T840" s="229">
        <f>ROUND(R840*$C840,0)</f>
        <v>0</v>
      </c>
      <c r="U840" s="229"/>
      <c r="V840" s="250" t="str">
        <f>$V$733</f>
        <v xml:space="preserve"> </v>
      </c>
      <c r="W840" s="232"/>
      <c r="X840" s="229">
        <f>ROUND(V840*$C840,0)</f>
        <v>0</v>
      </c>
      <c r="Y840" s="53"/>
      <c r="Z840" s="110"/>
      <c r="AA840" s="110"/>
      <c r="AB840" s="110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</row>
    <row r="841" spans="1:45" hidden="1">
      <c r="A841" s="154" t="s">
        <v>212</v>
      </c>
      <c r="B841" s="169"/>
      <c r="C841" s="227">
        <v>333</v>
      </c>
      <c r="D841" s="250">
        <v>12.96</v>
      </c>
      <c r="E841" s="232"/>
      <c r="F841" s="229">
        <f>ROUND(D841*$C841,0)</f>
        <v>4316</v>
      </c>
      <c r="G841" s="250">
        <v>13.717892306976186</v>
      </c>
      <c r="H841" s="232"/>
      <c r="I841" s="229">
        <f t="shared" si="212"/>
        <v>4568</v>
      </c>
      <c r="J841" s="250">
        <f>$J$734</f>
        <v>13.922262587630865</v>
      </c>
      <c r="K841" s="232"/>
      <c r="L841" s="229">
        <f>ROUND(J841*$C841,0)</f>
        <v>4636</v>
      </c>
      <c r="M841" s="229"/>
      <c r="N841" s="250">
        <f>$N$734</f>
        <v>13.922262587630865</v>
      </c>
      <c r="O841" s="232"/>
      <c r="P841" s="229">
        <f>ROUND(N841*$C841,0)</f>
        <v>4636</v>
      </c>
      <c r="Q841" s="229"/>
      <c r="R841" s="250" t="str">
        <f>$R$734</f>
        <v xml:space="preserve"> </v>
      </c>
      <c r="S841" s="232"/>
      <c r="T841" s="229">
        <f>ROUND(R841*$C841,0)</f>
        <v>0</v>
      </c>
      <c r="U841" s="229"/>
      <c r="V841" s="250" t="str">
        <f>$V$734</f>
        <v xml:space="preserve"> </v>
      </c>
      <c r="W841" s="232"/>
      <c r="X841" s="229">
        <f>ROUND(V841*$C841,0)</f>
        <v>0</v>
      </c>
      <c r="Y841" s="53"/>
      <c r="Z841" s="110"/>
      <c r="AA841" s="110"/>
      <c r="AB841" s="110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</row>
    <row r="842" spans="1:45" hidden="1">
      <c r="A842" s="154" t="s">
        <v>218</v>
      </c>
      <c r="B842" s="169"/>
      <c r="C842" s="227">
        <v>35.073956151375498</v>
      </c>
      <c r="D842" s="250">
        <v>71.61</v>
      </c>
      <c r="E842" s="232"/>
      <c r="F842" s="229">
        <f>ROUND(D842*$C842,0)</f>
        <v>2512</v>
      </c>
      <c r="G842" s="250">
        <v>75.797705872111464</v>
      </c>
      <c r="H842" s="232"/>
      <c r="I842" s="229">
        <f t="shared" si="212"/>
        <v>2659</v>
      </c>
      <c r="J842" s="250">
        <f>$J$735</f>
        <v>76.92694628859924</v>
      </c>
      <c r="K842" s="232"/>
      <c r="L842" s="229">
        <f>ROUND(J842*$C842,0)</f>
        <v>2698</v>
      </c>
      <c r="M842" s="229"/>
      <c r="N842" s="250">
        <f>$N$735</f>
        <v>76.92694628859924</v>
      </c>
      <c r="O842" s="232"/>
      <c r="P842" s="229">
        <f>ROUND(N842*$C842,0)</f>
        <v>2698</v>
      </c>
      <c r="Q842" s="229"/>
      <c r="R842" s="250" t="str">
        <f>$R$735</f>
        <v xml:space="preserve"> </v>
      </c>
      <c r="S842" s="232"/>
      <c r="T842" s="229">
        <f>ROUND(R842*$C842,0)</f>
        <v>0</v>
      </c>
      <c r="U842" s="229"/>
      <c r="V842" s="250" t="str">
        <f>$V$735</f>
        <v xml:space="preserve"> </v>
      </c>
      <c r="W842" s="232"/>
      <c r="X842" s="229">
        <f>ROUND(V842*$C842,0)</f>
        <v>0</v>
      </c>
      <c r="Y842" s="53"/>
      <c r="Z842" s="110"/>
      <c r="AA842" s="110"/>
      <c r="AB842" s="110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</row>
    <row r="843" spans="1:45" hidden="1">
      <c r="A843" s="154" t="s">
        <v>219</v>
      </c>
      <c r="B843" s="169"/>
      <c r="C843" s="227">
        <v>31.972554294521501</v>
      </c>
      <c r="D843" s="250">
        <v>142.74</v>
      </c>
      <c r="E843" s="232"/>
      <c r="F843" s="229">
        <f>ROUND(D843*$C843,0)</f>
        <v>4564</v>
      </c>
      <c r="G843" s="250">
        <v>151.02734165877936</v>
      </c>
      <c r="H843" s="232"/>
      <c r="I843" s="229">
        <f t="shared" si="212"/>
        <v>4829</v>
      </c>
      <c r="J843" s="250">
        <f>$J$736</f>
        <v>153.21735933719765</v>
      </c>
      <c r="K843" s="232"/>
      <c r="L843" s="229">
        <f>ROUND(J843*$C843,0)</f>
        <v>4899</v>
      </c>
      <c r="M843" s="229"/>
      <c r="N843" s="250">
        <f>$N$736</f>
        <v>153.21735933719765</v>
      </c>
      <c r="O843" s="232"/>
      <c r="P843" s="229">
        <f>ROUND(N843*$C843,0)</f>
        <v>4899</v>
      </c>
      <c r="Q843" s="229"/>
      <c r="R843" s="250" t="str">
        <f>$R$736</f>
        <v xml:space="preserve"> </v>
      </c>
      <c r="S843" s="232"/>
      <c r="T843" s="229">
        <f>ROUND(R843*$C843,0)</f>
        <v>0</v>
      </c>
      <c r="U843" s="229"/>
      <c r="V843" s="250" t="str">
        <f>$V$736</f>
        <v xml:space="preserve"> </v>
      </c>
      <c r="W843" s="232"/>
      <c r="X843" s="229">
        <f>ROUND(V843*$C843,0)</f>
        <v>0</v>
      </c>
      <c r="Y843" s="53"/>
      <c r="Z843" s="110"/>
      <c r="AA843" s="110"/>
      <c r="AB843" s="110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</row>
    <row r="844" spans="1:45" hidden="1">
      <c r="A844" s="154" t="s">
        <v>220</v>
      </c>
      <c r="B844" s="169"/>
      <c r="C844" s="227"/>
      <c r="D844" s="250"/>
      <c r="E844" s="232"/>
      <c r="F844" s="229"/>
      <c r="G844" s="250"/>
      <c r="H844" s="232"/>
      <c r="I844" s="229"/>
      <c r="J844" s="250"/>
      <c r="K844" s="232"/>
      <c r="L844" s="229"/>
      <c r="M844" s="229"/>
      <c r="N844" s="250"/>
      <c r="O844" s="232"/>
      <c r="P844" s="229"/>
      <c r="Q844" s="229"/>
      <c r="R844" s="250"/>
      <c r="S844" s="232"/>
      <c r="T844" s="229"/>
      <c r="U844" s="229"/>
      <c r="V844" s="250"/>
      <c r="W844" s="232"/>
      <c r="X844" s="229"/>
      <c r="Y844" s="53"/>
      <c r="Z844" s="110"/>
      <c r="AA844" s="110"/>
      <c r="AB844" s="110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</row>
    <row r="845" spans="1:45" hidden="1">
      <c r="A845" s="154" t="s">
        <v>216</v>
      </c>
      <c r="B845" s="169"/>
      <c r="C845" s="227">
        <v>2.3150397989107701</v>
      </c>
      <c r="D845" s="277">
        <v>-23.87</v>
      </c>
      <c r="E845" s="232"/>
      <c r="F845" s="229">
        <f>ROUND(D845*$C845,0)</f>
        <v>-55</v>
      </c>
      <c r="G845" s="277">
        <v>-25.265901957370488</v>
      </c>
      <c r="H845" s="232"/>
      <c r="I845" s="229">
        <f t="shared" ref="I845:I846" si="213">ROUND(G845*C845,0)</f>
        <v>-58</v>
      </c>
      <c r="J845" s="277">
        <f>-J837</f>
        <v>-25.642315429533081</v>
      </c>
      <c r="K845" s="232"/>
      <c r="L845" s="229">
        <f>ROUND(J845*$C845,0)</f>
        <v>-59</v>
      </c>
      <c r="M845" s="229"/>
      <c r="N845" s="277">
        <f>-N837</f>
        <v>-25.642315429533081</v>
      </c>
      <c r="O845" s="232"/>
      <c r="P845" s="229">
        <f>ROUND(N845*$C845,0)</f>
        <v>-59</v>
      </c>
      <c r="Q845" s="229"/>
      <c r="R845" s="277">
        <f>-R837</f>
        <v>0</v>
      </c>
      <c r="S845" s="232"/>
      <c r="T845" s="229">
        <f>ROUND(R845*$C845,0)</f>
        <v>0</v>
      </c>
      <c r="U845" s="229"/>
      <c r="V845" s="277">
        <f>-V837</f>
        <v>0</v>
      </c>
      <c r="W845" s="232"/>
      <c r="X845" s="229">
        <f>ROUND(V845*$C845,0)</f>
        <v>0</v>
      </c>
      <c r="Y845" s="53"/>
      <c r="Z845" s="110"/>
      <c r="AA845" s="110"/>
      <c r="AB845" s="110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</row>
    <row r="846" spans="1:45" hidden="1">
      <c r="A846" s="154" t="s">
        <v>221</v>
      </c>
      <c r="B846" s="169"/>
      <c r="C846" s="227">
        <v>5.9588062211013</v>
      </c>
      <c r="D846" s="277">
        <v>-23.79</v>
      </c>
      <c r="E846" s="232"/>
      <c r="F846" s="229">
        <f>ROUND(D846*$C846,0)</f>
        <v>-142</v>
      </c>
      <c r="G846" s="277">
        <v>-25.171223609796559</v>
      </c>
      <c r="H846" s="232"/>
      <c r="I846" s="229">
        <f t="shared" si="213"/>
        <v>-150</v>
      </c>
      <c r="J846" s="277">
        <f>-J839</f>
        <v>-25.536226556199608</v>
      </c>
      <c r="K846" s="232"/>
      <c r="L846" s="229">
        <f>ROUND(J846*$C846,0)</f>
        <v>-152</v>
      </c>
      <c r="M846" s="229"/>
      <c r="N846" s="277">
        <f>-N839</f>
        <v>-25.536226556199608</v>
      </c>
      <c r="O846" s="232"/>
      <c r="P846" s="229">
        <f>ROUND(N846*$C846,0)</f>
        <v>-152</v>
      </c>
      <c r="Q846" s="229"/>
      <c r="R846" s="277">
        <f>-R839</f>
        <v>0</v>
      </c>
      <c r="S846" s="232"/>
      <c r="T846" s="229">
        <f>ROUND(R846*$C846,0)</f>
        <v>0</v>
      </c>
      <c r="U846" s="229"/>
      <c r="V846" s="277">
        <f>-V839</f>
        <v>0</v>
      </c>
      <c r="W846" s="232"/>
      <c r="X846" s="229">
        <f>ROUND(V846*$C846,0)</f>
        <v>0</v>
      </c>
      <c r="Y846" s="53"/>
      <c r="Z846" s="110"/>
      <c r="AA846" s="110"/>
      <c r="AB846" s="110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</row>
    <row r="847" spans="1:45" hidden="1">
      <c r="A847" s="231" t="s">
        <v>183</v>
      </c>
      <c r="B847" s="169"/>
      <c r="C847" s="227"/>
      <c r="D847" s="250"/>
      <c r="E847" s="229"/>
      <c r="F847" s="229"/>
      <c r="G847" s="250"/>
      <c r="H847" s="229"/>
      <c r="I847" s="229"/>
      <c r="J847" s="250"/>
      <c r="K847" s="229"/>
      <c r="L847" s="229"/>
      <c r="M847" s="229"/>
      <c r="N847" s="250"/>
      <c r="O847" s="229"/>
      <c r="P847" s="229"/>
      <c r="Q847" s="229"/>
      <c r="R847" s="250"/>
      <c r="S847" s="229"/>
      <c r="T847" s="229"/>
      <c r="U847" s="229"/>
      <c r="V847" s="250"/>
      <c r="W847" s="229"/>
      <c r="X847" s="229"/>
      <c r="Y847" s="53"/>
      <c r="Z847" s="110"/>
      <c r="AA847" s="110"/>
      <c r="AB847" s="110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</row>
    <row r="848" spans="1:45" hidden="1">
      <c r="A848" s="154" t="s">
        <v>222</v>
      </c>
      <c r="B848" s="169"/>
      <c r="C848" s="227">
        <v>5473590</v>
      </c>
      <c r="D848" s="335">
        <v>6.4390000000000001</v>
      </c>
      <c r="E848" s="229" t="s">
        <v>107</v>
      </c>
      <c r="F848" s="229">
        <f>ROUND(D848/100*$C848,0)</f>
        <v>352444</v>
      </c>
      <c r="G848" s="335">
        <v>6.8159999999999998</v>
      </c>
      <c r="H848" s="229" t="s">
        <v>107</v>
      </c>
      <c r="I848" s="229">
        <f>ROUND(G848/100*C848,0)</f>
        <v>373080</v>
      </c>
      <c r="J848" s="335">
        <f>$J$741</f>
        <v>6.9180000000000001</v>
      </c>
      <c r="K848" s="229" t="s">
        <v>107</v>
      </c>
      <c r="L848" s="229">
        <f>ROUND(J848/100*$C848,0)</f>
        <v>378663</v>
      </c>
      <c r="M848" s="229"/>
      <c r="N848" s="335">
        <f>$N$741</f>
        <v>9.7256693119232948E-2</v>
      </c>
      <c r="O848" s="229" t="s">
        <v>107</v>
      </c>
      <c r="P848" s="229">
        <f>ROUND(N848/100*$C848,0)</f>
        <v>5323</v>
      </c>
      <c r="Q848" s="229"/>
      <c r="R848" s="335">
        <f>$R$741</f>
        <v>1.3449860146278823</v>
      </c>
      <c r="S848" s="229" t="s">
        <v>107</v>
      </c>
      <c r="T848" s="229">
        <f>ROUND(R848/100*$C848,0)</f>
        <v>73619</v>
      </c>
      <c r="U848" s="229"/>
      <c r="V848" s="335">
        <f>$V$741</f>
        <v>5.4757786184457329</v>
      </c>
      <c r="W848" s="229" t="s">
        <v>107</v>
      </c>
      <c r="X848" s="229">
        <f>ROUND(V848/100*$C848,0)</f>
        <v>299722</v>
      </c>
      <c r="Y848" s="53"/>
      <c r="Z848" s="110"/>
      <c r="AA848" s="110"/>
      <c r="AB848" s="110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</row>
    <row r="849" spans="1:47" hidden="1">
      <c r="A849" s="231" t="s">
        <v>152</v>
      </c>
      <c r="B849" s="169"/>
      <c r="C849" s="227">
        <v>1277</v>
      </c>
      <c r="D849" s="251">
        <v>56</v>
      </c>
      <c r="E849" s="231" t="s">
        <v>107</v>
      </c>
      <c r="F849" s="229">
        <f>ROUND(D849*$C849/100,0)</f>
        <v>715</v>
      </c>
      <c r="G849" s="251">
        <v>56</v>
      </c>
      <c r="H849" s="231" t="s">
        <v>107</v>
      </c>
      <c r="I849" s="229">
        <f>ROUND(G849*C849/100,0)</f>
        <v>715</v>
      </c>
      <c r="J849" s="251">
        <f>$J$742</f>
        <v>56</v>
      </c>
      <c r="K849" s="231" t="s">
        <v>107</v>
      </c>
      <c r="L849" s="229">
        <f>ROUND(J849*$C849/100,0)</f>
        <v>715</v>
      </c>
      <c r="M849" s="229"/>
      <c r="N849" s="251" t="str">
        <f>$N$742</f>
        <v xml:space="preserve"> </v>
      </c>
      <c r="O849" s="231" t="s">
        <v>107</v>
      </c>
      <c r="P849" s="229">
        <f>ROUND(N849*$C849/100,0)</f>
        <v>0</v>
      </c>
      <c r="Q849" s="229"/>
      <c r="R849" s="251">
        <f>$R$742</f>
        <v>11</v>
      </c>
      <c r="S849" s="231" t="s">
        <v>107</v>
      </c>
      <c r="T849" s="229">
        <f>ROUND(R849*$C849/100,0)</f>
        <v>140</v>
      </c>
      <c r="U849" s="229"/>
      <c r="V849" s="251">
        <f>$V$742</f>
        <v>45</v>
      </c>
      <c r="W849" s="231" t="s">
        <v>107</v>
      </c>
      <c r="X849" s="229">
        <f>ROUND(V849*$C849/100,0)</f>
        <v>575</v>
      </c>
      <c r="Y849" s="53"/>
      <c r="Z849" s="110"/>
      <c r="AA849" s="110"/>
      <c r="AB849" s="110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</row>
    <row r="850" spans="1:47" s="141" customFormat="1" hidden="1">
      <c r="A850" s="140" t="s">
        <v>223</v>
      </c>
      <c r="C850" s="142">
        <f>C848</f>
        <v>5473590</v>
      </c>
      <c r="D850" s="138"/>
      <c r="E850" s="143"/>
      <c r="F850" s="144"/>
      <c r="G850" s="138"/>
      <c r="H850" s="143"/>
      <c r="I850" s="144"/>
      <c r="J850" s="336">
        <f>J743</f>
        <v>0</v>
      </c>
      <c r="K850" s="283" t="s">
        <v>107</v>
      </c>
      <c r="L850" s="283">
        <f>ROUND(J850*$C850/100,0)</f>
        <v>0</v>
      </c>
      <c r="M850" s="283"/>
      <c r="N850" s="336" t="str">
        <f>N743</f>
        <v xml:space="preserve"> </v>
      </c>
      <c r="O850" s="283" t="s">
        <v>107</v>
      </c>
      <c r="P850" s="283">
        <f>ROUND(N850*$C850/100,0)</f>
        <v>0</v>
      </c>
      <c r="Q850" s="283"/>
      <c r="R850" s="336" t="str">
        <f>R743</f>
        <v xml:space="preserve"> </v>
      </c>
      <c r="S850" s="283" t="s">
        <v>107</v>
      </c>
      <c r="T850" s="283">
        <f>ROUND(R850*$C850/100,0)</f>
        <v>0</v>
      </c>
      <c r="U850" s="283"/>
      <c r="V850" s="336">
        <f>V743</f>
        <v>0</v>
      </c>
      <c r="W850" s="283" t="s">
        <v>107</v>
      </c>
      <c r="X850" s="283">
        <f>ROUND(V850*$C850/100,0)</f>
        <v>0</v>
      </c>
      <c r="Z850" s="132"/>
      <c r="AC850" s="148"/>
      <c r="AD850" s="148"/>
      <c r="AI850" s="143"/>
      <c r="AJ850" s="143"/>
      <c r="AK850" s="143"/>
      <c r="AL850" s="143"/>
      <c r="AM850" s="143"/>
      <c r="AN850" s="143"/>
      <c r="AO850" s="143"/>
      <c r="AP850" s="143"/>
      <c r="AQ850" s="143"/>
      <c r="AR850" s="143"/>
      <c r="AS850" s="143"/>
      <c r="AU850" s="147"/>
    </row>
    <row r="851" spans="1:47" hidden="1">
      <c r="A851" s="284" t="s">
        <v>159</v>
      </c>
      <c r="B851" s="169"/>
      <c r="C851" s="227"/>
      <c r="D851" s="245">
        <v>-0.01</v>
      </c>
      <c r="E851" s="131"/>
      <c r="F851" s="229"/>
      <c r="G851" s="245">
        <v>-0.01</v>
      </c>
      <c r="H851" s="169"/>
      <c r="I851" s="229"/>
      <c r="J851" s="245">
        <v>-0.01</v>
      </c>
      <c r="K851" s="169"/>
      <c r="L851" s="229"/>
      <c r="M851" s="229"/>
      <c r="N851" s="245">
        <v>-0.01</v>
      </c>
      <c r="O851" s="169"/>
      <c r="P851" s="229"/>
      <c r="Q851" s="229"/>
      <c r="R851" s="245">
        <v>-0.01</v>
      </c>
      <c r="S851" s="169"/>
      <c r="T851" s="229"/>
      <c r="U851" s="229"/>
      <c r="V851" s="245">
        <v>-0.01</v>
      </c>
      <c r="W851" s="169"/>
      <c r="X851" s="229"/>
      <c r="Y851" s="53"/>
      <c r="Z851" s="110"/>
      <c r="AA851" s="110"/>
      <c r="AB851" s="110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</row>
    <row r="852" spans="1:47" hidden="1">
      <c r="A852" s="154" t="s">
        <v>143</v>
      </c>
      <c r="B852" s="169"/>
      <c r="C852" s="227">
        <v>0</v>
      </c>
      <c r="D852" s="273">
        <v>0</v>
      </c>
      <c r="E852" s="232"/>
      <c r="F852" s="229">
        <f>ROUND(D852*$C852*$D$745,0)</f>
        <v>0</v>
      </c>
      <c r="G852" s="273">
        <v>0</v>
      </c>
      <c r="H852" s="232"/>
      <c r="I852" s="229">
        <f>ROUND(G852*C852,0)</f>
        <v>0</v>
      </c>
      <c r="J852" s="273">
        <f>J828</f>
        <v>0</v>
      </c>
      <c r="K852" s="232"/>
      <c r="L852" s="229">
        <f>ROUND(J852*$C852*$J$851,0)</f>
        <v>0</v>
      </c>
      <c r="M852" s="229"/>
      <c r="N852" s="273">
        <f>N828</f>
        <v>0</v>
      </c>
      <c r="O852" s="232"/>
      <c r="P852" s="229">
        <f>ROUND(N852*$C852*$J$851,0)</f>
        <v>0</v>
      </c>
      <c r="Q852" s="229"/>
      <c r="R852" s="273" t="str">
        <f>R828</f>
        <v xml:space="preserve"> </v>
      </c>
      <c r="S852" s="232"/>
      <c r="T852" s="229">
        <f>ROUND(R852*$C852*$J$851,0)</f>
        <v>0</v>
      </c>
      <c r="U852" s="229"/>
      <c r="V852" s="273" t="str">
        <f>V828</f>
        <v xml:space="preserve"> </v>
      </c>
      <c r="W852" s="232"/>
      <c r="X852" s="229">
        <f>ROUND(V852*$C852*$J$851,0)</f>
        <v>0</v>
      </c>
      <c r="Y852" s="53"/>
      <c r="Z852" s="110"/>
      <c r="AA852" s="110"/>
      <c r="AB852" s="110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</row>
    <row r="853" spans="1:47" hidden="1">
      <c r="A853" s="154" t="s">
        <v>144</v>
      </c>
      <c r="B853" s="169"/>
      <c r="C853" s="227"/>
      <c r="D853" s="273"/>
      <c r="E853" s="232"/>
      <c r="F853" s="229"/>
      <c r="G853" s="273"/>
      <c r="H853" s="232"/>
      <c r="I853" s="229"/>
      <c r="J853" s="273"/>
      <c r="K853" s="232"/>
      <c r="L853" s="229"/>
      <c r="M853" s="229"/>
      <c r="N853" s="273"/>
      <c r="O853" s="232"/>
      <c r="P853" s="229"/>
      <c r="Q853" s="229"/>
      <c r="R853" s="273"/>
      <c r="S853" s="232"/>
      <c r="T853" s="229"/>
      <c r="U853" s="229"/>
      <c r="V853" s="273"/>
      <c r="W853" s="232"/>
      <c r="X853" s="229"/>
      <c r="Y853" s="53"/>
      <c r="Z853" s="110"/>
      <c r="AA853" s="110"/>
      <c r="AB853" s="110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</row>
    <row r="854" spans="1:47" hidden="1">
      <c r="A854" s="154" t="s">
        <v>210</v>
      </c>
      <c r="B854" s="169"/>
      <c r="C854" s="227">
        <v>0</v>
      </c>
      <c r="D854" s="273">
        <v>0</v>
      </c>
      <c r="E854" s="232"/>
      <c r="F854" s="229">
        <f>ROUND(D854*$C854*$D$745,0)</f>
        <v>0</v>
      </c>
      <c r="G854" s="273">
        <v>0</v>
      </c>
      <c r="H854" s="232"/>
      <c r="I854" s="229">
        <f t="shared" ref="I854:I857" si="214">ROUND(G854*C854,0)</f>
        <v>0</v>
      </c>
      <c r="J854" s="273">
        <f>J830</f>
        <v>0</v>
      </c>
      <c r="K854" s="232"/>
      <c r="L854" s="229">
        <f t="shared" ref="L854:L857" si="215">ROUND(J854*$C854*$J$851,0)</f>
        <v>0</v>
      </c>
      <c r="M854" s="229"/>
      <c r="N854" s="273">
        <f>N830</f>
        <v>0</v>
      </c>
      <c r="O854" s="232"/>
      <c r="P854" s="229">
        <f t="shared" ref="P854:P857" si="216">ROUND(N854*$C854*$J$851,0)</f>
        <v>0</v>
      </c>
      <c r="Q854" s="229"/>
      <c r="R854" s="273" t="str">
        <f>R830</f>
        <v xml:space="preserve"> </v>
      </c>
      <c r="S854" s="232"/>
      <c r="T854" s="229">
        <f t="shared" ref="T854:T857" si="217">ROUND(R854*$C854*$J$851,0)</f>
        <v>0</v>
      </c>
      <c r="U854" s="229"/>
      <c r="V854" s="273" t="str">
        <f>V830</f>
        <v xml:space="preserve"> </v>
      </c>
      <c r="W854" s="232"/>
      <c r="X854" s="229">
        <f t="shared" ref="X854:X857" si="218">ROUND(V854*$C854*$J$851,0)</f>
        <v>0</v>
      </c>
      <c r="Y854" s="53"/>
      <c r="Z854" s="110"/>
      <c r="AA854" s="110"/>
      <c r="AB854" s="110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</row>
    <row r="855" spans="1:47" hidden="1">
      <c r="A855" s="154" t="s">
        <v>211</v>
      </c>
      <c r="B855" s="169"/>
      <c r="C855" s="227">
        <v>0</v>
      </c>
      <c r="D855" s="273">
        <v>357</v>
      </c>
      <c r="E855" s="232"/>
      <c r="F855" s="229">
        <f>ROUND(D855*$C855*$D$745,0)</f>
        <v>0</v>
      </c>
      <c r="G855" s="273">
        <v>357</v>
      </c>
      <c r="H855" s="232"/>
      <c r="I855" s="229">
        <f t="shared" si="214"/>
        <v>0</v>
      </c>
      <c r="J855" s="273">
        <f>J831</f>
        <v>362</v>
      </c>
      <c r="K855" s="232"/>
      <c r="L855" s="229">
        <f t="shared" si="215"/>
        <v>0</v>
      </c>
      <c r="M855" s="229"/>
      <c r="N855" s="273">
        <f>N831</f>
        <v>362</v>
      </c>
      <c r="O855" s="232"/>
      <c r="P855" s="229">
        <f t="shared" si="216"/>
        <v>0</v>
      </c>
      <c r="Q855" s="229"/>
      <c r="R855" s="273" t="str">
        <f>R831</f>
        <v xml:space="preserve"> </v>
      </c>
      <c r="S855" s="232"/>
      <c r="T855" s="229">
        <f t="shared" si="217"/>
        <v>0</v>
      </c>
      <c r="U855" s="229"/>
      <c r="V855" s="273" t="str">
        <f>V831</f>
        <v xml:space="preserve"> </v>
      </c>
      <c r="W855" s="232"/>
      <c r="X855" s="229">
        <f t="shared" si="218"/>
        <v>0</v>
      </c>
      <c r="Y855" s="53"/>
      <c r="Z855" s="110"/>
      <c r="AA855" s="110"/>
      <c r="AB855" s="110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</row>
    <row r="856" spans="1:47" hidden="1">
      <c r="A856" s="154" t="s">
        <v>212</v>
      </c>
      <c r="B856" s="169"/>
      <c r="C856" s="227">
        <v>0</v>
      </c>
      <c r="D856" s="273">
        <v>1457</v>
      </c>
      <c r="E856" s="232"/>
      <c r="F856" s="229">
        <f>ROUND(D856*$C856*$D$745,0)</f>
        <v>0</v>
      </c>
      <c r="G856" s="273">
        <v>1457</v>
      </c>
      <c r="H856" s="232"/>
      <c r="I856" s="229">
        <f t="shared" si="214"/>
        <v>0</v>
      </c>
      <c r="J856" s="273">
        <f>J832</f>
        <v>1479</v>
      </c>
      <c r="K856" s="232"/>
      <c r="L856" s="229">
        <f t="shared" si="215"/>
        <v>0</v>
      </c>
      <c r="M856" s="229"/>
      <c r="N856" s="273">
        <f>N832</f>
        <v>1479</v>
      </c>
      <c r="O856" s="232"/>
      <c r="P856" s="229">
        <f t="shared" si="216"/>
        <v>0</v>
      </c>
      <c r="Q856" s="229"/>
      <c r="R856" s="273" t="str">
        <f>R832</f>
        <v xml:space="preserve"> </v>
      </c>
      <c r="S856" s="232"/>
      <c r="T856" s="229">
        <f t="shared" si="217"/>
        <v>0</v>
      </c>
      <c r="U856" s="229"/>
      <c r="V856" s="273" t="str">
        <f>V832</f>
        <v xml:space="preserve"> </v>
      </c>
      <c r="W856" s="232"/>
      <c r="X856" s="229">
        <f t="shared" si="218"/>
        <v>0</v>
      </c>
      <c r="Y856" s="53"/>
      <c r="Z856" s="110"/>
      <c r="AA856" s="110"/>
      <c r="AB856" s="110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</row>
    <row r="857" spans="1:47" hidden="1">
      <c r="A857" s="154" t="s">
        <v>143</v>
      </c>
      <c r="B857" s="169"/>
      <c r="C857" s="227">
        <v>0</v>
      </c>
      <c r="D857" s="273">
        <v>23.87</v>
      </c>
      <c r="E857" s="232"/>
      <c r="F857" s="229">
        <f>ROUND(D857*$C857*$D$745,0)</f>
        <v>0</v>
      </c>
      <c r="G857" s="273">
        <v>25.265901957370488</v>
      </c>
      <c r="H857" s="232"/>
      <c r="I857" s="229">
        <f t="shared" si="214"/>
        <v>0</v>
      </c>
      <c r="J857" s="273">
        <f>J837</f>
        <v>25.642315429533081</v>
      </c>
      <c r="K857" s="232"/>
      <c r="L857" s="229">
        <f t="shared" si="215"/>
        <v>0</v>
      </c>
      <c r="M857" s="229"/>
      <c r="N857" s="273">
        <f>N837</f>
        <v>25.642315429533081</v>
      </c>
      <c r="O857" s="232"/>
      <c r="P857" s="229">
        <f t="shared" si="216"/>
        <v>0</v>
      </c>
      <c r="Q857" s="229"/>
      <c r="R857" s="273" t="str">
        <f>R837</f>
        <v xml:space="preserve"> </v>
      </c>
      <c r="S857" s="232"/>
      <c r="T857" s="229">
        <f t="shared" si="217"/>
        <v>0</v>
      </c>
      <c r="U857" s="229"/>
      <c r="V857" s="273" t="str">
        <f>V837</f>
        <v xml:space="preserve"> </v>
      </c>
      <c r="W857" s="232"/>
      <c r="X857" s="229">
        <f t="shared" si="218"/>
        <v>0</v>
      </c>
      <c r="Y857" s="53"/>
      <c r="Z857" s="110"/>
      <c r="AA857" s="110"/>
      <c r="AB857" s="110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</row>
    <row r="858" spans="1:47" hidden="1">
      <c r="A858" s="154" t="s">
        <v>144</v>
      </c>
      <c r="B858" s="169"/>
      <c r="C858" s="227"/>
      <c r="D858" s="273"/>
      <c r="E858" s="232"/>
      <c r="F858" s="229"/>
      <c r="G858" s="273"/>
      <c r="H858" s="232"/>
      <c r="I858" s="229"/>
      <c r="J858" s="273"/>
      <c r="K858" s="232"/>
      <c r="L858" s="229"/>
      <c r="M858" s="229"/>
      <c r="N858" s="273"/>
      <c r="O858" s="232"/>
      <c r="P858" s="229"/>
      <c r="Q858" s="229"/>
      <c r="R858" s="273"/>
      <c r="S858" s="232"/>
      <c r="T858" s="229"/>
      <c r="U858" s="229"/>
      <c r="V858" s="273"/>
      <c r="W858" s="232"/>
      <c r="X858" s="229"/>
      <c r="Y858" s="53"/>
      <c r="Z858" s="110"/>
      <c r="AA858" s="110"/>
      <c r="AB858" s="110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</row>
    <row r="859" spans="1:47" hidden="1">
      <c r="A859" s="154" t="s">
        <v>210</v>
      </c>
      <c r="B859" s="169"/>
      <c r="C859" s="227">
        <v>0</v>
      </c>
      <c r="D859" s="273">
        <v>23.79</v>
      </c>
      <c r="E859" s="232"/>
      <c r="F859" s="229">
        <f>ROUND(D859*$C859*$D$745,0)</f>
        <v>0</v>
      </c>
      <c r="G859" s="273">
        <v>25.171223609796559</v>
      </c>
      <c r="H859" s="232"/>
      <c r="I859" s="229">
        <f>ROUND(G859*$C859*$G$745,0)</f>
        <v>0</v>
      </c>
      <c r="J859" s="273">
        <f>J839</f>
        <v>25.536226556199608</v>
      </c>
      <c r="K859" s="232"/>
      <c r="L859" s="229">
        <f t="shared" ref="L859:L863" si="219">ROUND(J859*$C859*$J$851,0)</f>
        <v>0</v>
      </c>
      <c r="M859" s="229"/>
      <c r="N859" s="273">
        <f>N839</f>
        <v>25.536226556199608</v>
      </c>
      <c r="O859" s="232"/>
      <c r="P859" s="229">
        <f t="shared" ref="P859:P863" si="220">ROUND(N859*$C859*$J$851,0)</f>
        <v>0</v>
      </c>
      <c r="Q859" s="229"/>
      <c r="R859" s="273" t="str">
        <f>R839</f>
        <v xml:space="preserve"> </v>
      </c>
      <c r="S859" s="232"/>
      <c r="T859" s="229">
        <f t="shared" ref="T859:T863" si="221">ROUND(R859*$C859*$J$851,0)</f>
        <v>0</v>
      </c>
      <c r="U859" s="229"/>
      <c r="V859" s="273" t="str">
        <f>V839</f>
        <v xml:space="preserve"> </v>
      </c>
      <c r="W859" s="232"/>
      <c r="X859" s="229">
        <f t="shared" ref="X859:X863" si="222">ROUND(V859*$C859*$J$851,0)</f>
        <v>0</v>
      </c>
      <c r="Y859" s="53"/>
      <c r="Z859" s="110"/>
      <c r="AA859" s="110"/>
      <c r="AB859" s="110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</row>
    <row r="860" spans="1:47" hidden="1">
      <c r="A860" s="154" t="s">
        <v>211</v>
      </c>
      <c r="B860" s="169"/>
      <c r="C860" s="227">
        <v>0</v>
      </c>
      <c r="D860" s="273">
        <v>16.559999999999999</v>
      </c>
      <c r="E860" s="232"/>
      <c r="F860" s="229">
        <f>ROUND(D860*$C860*$D$745,0)</f>
        <v>0</v>
      </c>
      <c r="G860" s="273">
        <v>17.5284179478029</v>
      </c>
      <c r="H860" s="232"/>
      <c r="I860" s="229">
        <f t="shared" ref="I860:I863" si="223">ROUND(G860*$C860*$G$745,0)</f>
        <v>0</v>
      </c>
      <c r="J860" s="273">
        <f>J840</f>
        <v>17.789557750861658</v>
      </c>
      <c r="K860" s="232"/>
      <c r="L860" s="229">
        <f t="shared" si="219"/>
        <v>0</v>
      </c>
      <c r="M860" s="229"/>
      <c r="N860" s="273">
        <f>N840</f>
        <v>17.789557750861658</v>
      </c>
      <c r="O860" s="232"/>
      <c r="P860" s="229">
        <f t="shared" si="220"/>
        <v>0</v>
      </c>
      <c r="Q860" s="229"/>
      <c r="R860" s="273" t="str">
        <f>R840</f>
        <v xml:space="preserve"> </v>
      </c>
      <c r="S860" s="232"/>
      <c r="T860" s="229">
        <f t="shared" si="221"/>
        <v>0</v>
      </c>
      <c r="U860" s="229"/>
      <c r="V860" s="273" t="str">
        <f>V840</f>
        <v xml:space="preserve"> </v>
      </c>
      <c r="W860" s="232"/>
      <c r="X860" s="229">
        <f t="shared" si="222"/>
        <v>0</v>
      </c>
      <c r="Y860" s="53"/>
      <c r="Z860" s="110"/>
      <c r="AA860" s="110"/>
      <c r="AB860" s="110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</row>
    <row r="861" spans="1:47" hidden="1">
      <c r="A861" s="154" t="s">
        <v>212</v>
      </c>
      <c r="B861" s="169"/>
      <c r="C861" s="227">
        <v>0</v>
      </c>
      <c r="D861" s="273">
        <v>12.96</v>
      </c>
      <c r="E861" s="232"/>
      <c r="F861" s="229">
        <f>ROUND(D861*$C861*$D$745,0)</f>
        <v>0</v>
      </c>
      <c r="G861" s="273">
        <v>13.717892306976186</v>
      </c>
      <c r="H861" s="232"/>
      <c r="I861" s="229">
        <f t="shared" si="223"/>
        <v>0</v>
      </c>
      <c r="J861" s="273">
        <f>J841</f>
        <v>13.922262587630865</v>
      </c>
      <c r="K861" s="232"/>
      <c r="L861" s="229">
        <f t="shared" si="219"/>
        <v>0</v>
      </c>
      <c r="M861" s="229"/>
      <c r="N861" s="273">
        <f>N841</f>
        <v>13.922262587630865</v>
      </c>
      <c r="O861" s="232"/>
      <c r="P861" s="229">
        <f t="shared" si="220"/>
        <v>0</v>
      </c>
      <c r="Q861" s="229"/>
      <c r="R861" s="273" t="str">
        <f>R841</f>
        <v xml:space="preserve"> </v>
      </c>
      <c r="S861" s="232"/>
      <c r="T861" s="229">
        <f t="shared" si="221"/>
        <v>0</v>
      </c>
      <c r="U861" s="229"/>
      <c r="V861" s="273" t="str">
        <f>V841</f>
        <v xml:space="preserve"> </v>
      </c>
      <c r="W861" s="232"/>
      <c r="X861" s="229">
        <f t="shared" si="222"/>
        <v>0</v>
      </c>
      <c r="Y861" s="53"/>
      <c r="Z861" s="110"/>
      <c r="AA861" s="110"/>
      <c r="AB861" s="110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</row>
    <row r="862" spans="1:47" hidden="1">
      <c r="A862" s="154" t="s">
        <v>225</v>
      </c>
      <c r="B862" s="169"/>
      <c r="C862" s="227">
        <v>0</v>
      </c>
      <c r="D862" s="277">
        <v>71.61</v>
      </c>
      <c r="E862" s="232"/>
      <c r="F862" s="229">
        <f>ROUND(D862*$C862*$D$745,0)</f>
        <v>0</v>
      </c>
      <c r="G862" s="277">
        <v>75.797705872111464</v>
      </c>
      <c r="H862" s="232"/>
      <c r="I862" s="229">
        <f t="shared" si="223"/>
        <v>0</v>
      </c>
      <c r="J862" s="277">
        <f>J842</f>
        <v>76.92694628859924</v>
      </c>
      <c r="K862" s="232"/>
      <c r="L862" s="229">
        <f t="shared" si="219"/>
        <v>0</v>
      </c>
      <c r="M862" s="229"/>
      <c r="N862" s="277">
        <f>N842</f>
        <v>76.92694628859924</v>
      </c>
      <c r="O862" s="232"/>
      <c r="P862" s="229">
        <f t="shared" si="220"/>
        <v>0</v>
      </c>
      <c r="Q862" s="229"/>
      <c r="R862" s="277" t="str">
        <f>R842</f>
        <v xml:space="preserve"> </v>
      </c>
      <c r="S862" s="232"/>
      <c r="T862" s="229">
        <f t="shared" si="221"/>
        <v>0</v>
      </c>
      <c r="U862" s="229"/>
      <c r="V862" s="277" t="str">
        <f>V842</f>
        <v xml:space="preserve"> </v>
      </c>
      <c r="W862" s="232"/>
      <c r="X862" s="229">
        <f t="shared" si="222"/>
        <v>0</v>
      </c>
      <c r="Y862" s="53"/>
      <c r="Z862" s="110"/>
      <c r="AA862" s="110"/>
      <c r="AB862" s="110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</row>
    <row r="863" spans="1:47" hidden="1">
      <c r="A863" s="154" t="s">
        <v>226</v>
      </c>
      <c r="B863" s="169"/>
      <c r="C863" s="227">
        <v>0</v>
      </c>
      <c r="D863" s="277">
        <v>142.74</v>
      </c>
      <c r="E863" s="232"/>
      <c r="F863" s="229">
        <f>ROUND(D863*$C863*$D$745,0)</f>
        <v>0</v>
      </c>
      <c r="G863" s="277">
        <v>151.02734165877936</v>
      </c>
      <c r="H863" s="232"/>
      <c r="I863" s="229">
        <f t="shared" si="223"/>
        <v>0</v>
      </c>
      <c r="J863" s="277">
        <f>J843</f>
        <v>153.21735933719765</v>
      </c>
      <c r="K863" s="232"/>
      <c r="L863" s="229">
        <f t="shared" si="219"/>
        <v>0</v>
      </c>
      <c r="M863" s="229"/>
      <c r="N863" s="277">
        <f>N843</f>
        <v>153.21735933719765</v>
      </c>
      <c r="O863" s="232"/>
      <c r="P863" s="229">
        <f t="shared" si="220"/>
        <v>0</v>
      </c>
      <c r="Q863" s="229"/>
      <c r="R863" s="277" t="str">
        <f>R843</f>
        <v xml:space="preserve"> </v>
      </c>
      <c r="S863" s="232"/>
      <c r="T863" s="229">
        <f t="shared" si="221"/>
        <v>0</v>
      </c>
      <c r="U863" s="229"/>
      <c r="V863" s="277" t="str">
        <f>V843</f>
        <v xml:space="preserve"> </v>
      </c>
      <c r="W863" s="232"/>
      <c r="X863" s="229">
        <f t="shared" si="222"/>
        <v>0</v>
      </c>
      <c r="Y863" s="53"/>
      <c r="Z863" s="110"/>
      <c r="AA863" s="110"/>
      <c r="AB863" s="110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</row>
    <row r="864" spans="1:47" hidden="1">
      <c r="A864" s="154" t="s">
        <v>220</v>
      </c>
      <c r="B864" s="169"/>
      <c r="C864" s="227"/>
      <c r="D864" s="250"/>
      <c r="E864" s="232"/>
      <c r="F864" s="229"/>
      <c r="G864" s="250"/>
      <c r="H864" s="232"/>
      <c r="I864" s="229"/>
      <c r="J864" s="250"/>
      <c r="K864" s="232"/>
      <c r="L864" s="229"/>
      <c r="M864" s="229"/>
      <c r="N864" s="250"/>
      <c r="O864" s="232"/>
      <c r="P864" s="229"/>
      <c r="Q864" s="229"/>
      <c r="R864" s="250"/>
      <c r="S864" s="232"/>
      <c r="T864" s="229"/>
      <c r="U864" s="229"/>
      <c r="V864" s="250"/>
      <c r="W864" s="232"/>
      <c r="X864" s="229"/>
      <c r="Y864" s="53"/>
      <c r="Z864" s="110"/>
      <c r="AA864" s="110"/>
      <c r="AB864" s="110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</row>
    <row r="865" spans="1:47" hidden="1">
      <c r="A865" s="154" t="s">
        <v>216</v>
      </c>
      <c r="B865" s="169"/>
      <c r="C865" s="227">
        <v>0</v>
      </c>
      <c r="D865" s="277">
        <v>-23.87</v>
      </c>
      <c r="E865" s="232"/>
      <c r="F865" s="229">
        <f>ROUND(D865*$C865*$D$745,0)</f>
        <v>0</v>
      </c>
      <c r="G865" s="277">
        <v>-25.265901957370488</v>
      </c>
      <c r="H865" s="232"/>
      <c r="I865" s="229">
        <f t="shared" ref="I865:I866" si="224">ROUND(G865*$C865*$G$745,0)</f>
        <v>0</v>
      </c>
      <c r="J865" s="277">
        <f>J845</f>
        <v>-25.642315429533081</v>
      </c>
      <c r="K865" s="232"/>
      <c r="L865" s="229">
        <f t="shared" ref="L865:L866" si="225">ROUND(J865*$C865*$J$851,0)</f>
        <v>0</v>
      </c>
      <c r="M865" s="229"/>
      <c r="N865" s="277">
        <f>N845</f>
        <v>-25.642315429533081</v>
      </c>
      <c r="O865" s="232"/>
      <c r="P865" s="229">
        <f t="shared" ref="P865:P866" si="226">ROUND(N865*$C865*$J$851,0)</f>
        <v>0</v>
      </c>
      <c r="Q865" s="229"/>
      <c r="R865" s="277">
        <f>R845</f>
        <v>0</v>
      </c>
      <c r="S865" s="232"/>
      <c r="T865" s="229">
        <f t="shared" ref="T865:T866" si="227">ROUND(R865*$C865*$J$851,0)</f>
        <v>0</v>
      </c>
      <c r="U865" s="229"/>
      <c r="V865" s="277">
        <f>V845</f>
        <v>0</v>
      </c>
      <c r="W865" s="232"/>
      <c r="X865" s="229">
        <f t="shared" ref="X865:X866" si="228">ROUND(V865*$C865*$J$851,0)</f>
        <v>0</v>
      </c>
      <c r="Y865" s="53"/>
      <c r="Z865" s="110"/>
      <c r="AA865" s="110"/>
      <c r="AB865" s="110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</row>
    <row r="866" spans="1:47" hidden="1">
      <c r="A866" s="154" t="s">
        <v>221</v>
      </c>
      <c r="B866" s="169"/>
      <c r="C866" s="227">
        <v>0</v>
      </c>
      <c r="D866" s="277">
        <v>-23.79</v>
      </c>
      <c r="E866" s="232"/>
      <c r="F866" s="229">
        <f>ROUND(D866*$C866*$D$745,0)</f>
        <v>0</v>
      </c>
      <c r="G866" s="277">
        <v>-25.171223609796559</v>
      </c>
      <c r="H866" s="232"/>
      <c r="I866" s="229">
        <f t="shared" si="224"/>
        <v>0</v>
      </c>
      <c r="J866" s="277">
        <f>J846</f>
        <v>-25.536226556199608</v>
      </c>
      <c r="K866" s="232"/>
      <c r="L866" s="229">
        <f t="shared" si="225"/>
        <v>0</v>
      </c>
      <c r="M866" s="229"/>
      <c r="N866" s="277">
        <f>N846</f>
        <v>-25.536226556199608</v>
      </c>
      <c r="O866" s="232"/>
      <c r="P866" s="229">
        <f t="shared" si="226"/>
        <v>0</v>
      </c>
      <c r="Q866" s="229"/>
      <c r="R866" s="277">
        <f>R846</f>
        <v>0</v>
      </c>
      <c r="S866" s="232"/>
      <c r="T866" s="229">
        <f t="shared" si="227"/>
        <v>0</v>
      </c>
      <c r="U866" s="229"/>
      <c r="V866" s="277">
        <f>V846</f>
        <v>0</v>
      </c>
      <c r="W866" s="232"/>
      <c r="X866" s="229">
        <f t="shared" si="228"/>
        <v>0</v>
      </c>
      <c r="Y866" s="53"/>
      <c r="Z866" s="110"/>
      <c r="AA866" s="110"/>
      <c r="AB866" s="110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</row>
    <row r="867" spans="1:47" hidden="1">
      <c r="A867" s="231" t="s">
        <v>183</v>
      </c>
      <c r="B867" s="169"/>
      <c r="C867" s="227"/>
      <c r="D867" s="273"/>
      <c r="E867" s="229"/>
      <c r="F867" s="229"/>
      <c r="G867" s="273"/>
      <c r="H867" s="229"/>
      <c r="I867" s="229"/>
      <c r="J867" s="273"/>
      <c r="K867" s="229"/>
      <c r="L867" s="229"/>
      <c r="M867" s="229"/>
      <c r="N867" s="273"/>
      <c r="O867" s="229"/>
      <c r="P867" s="229"/>
      <c r="Q867" s="229"/>
      <c r="R867" s="273"/>
      <c r="S867" s="229"/>
      <c r="T867" s="229"/>
      <c r="U867" s="229"/>
      <c r="V867" s="273"/>
      <c r="W867" s="229"/>
      <c r="X867" s="229"/>
      <c r="Y867" s="53"/>
      <c r="Z867" s="110"/>
      <c r="AA867" s="110"/>
      <c r="AB867" s="110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</row>
    <row r="868" spans="1:47" hidden="1">
      <c r="A868" s="154" t="s">
        <v>222</v>
      </c>
      <c r="B868" s="169"/>
      <c r="C868" s="227">
        <v>0</v>
      </c>
      <c r="D868" s="329">
        <v>6.4390000000000001</v>
      </c>
      <c r="E868" s="229" t="s">
        <v>107</v>
      </c>
      <c r="F868" s="229">
        <f>ROUND(D868/100*$C868*$D$745,0)</f>
        <v>0</v>
      </c>
      <c r="G868" s="329">
        <v>6.8159999999999998</v>
      </c>
      <c r="H868" s="229" t="s">
        <v>107</v>
      </c>
      <c r="I868" s="229">
        <f>ROUND(G868/100*C868*$G$745,0)</f>
        <v>0</v>
      </c>
      <c r="J868" s="329">
        <f>J848</f>
        <v>6.9180000000000001</v>
      </c>
      <c r="K868" s="229" t="s">
        <v>107</v>
      </c>
      <c r="L868" s="229">
        <f>ROUND(J868/100*$C868*$J$851,0)</f>
        <v>0</v>
      </c>
      <c r="M868" s="229"/>
      <c r="N868" s="329">
        <f>N848</f>
        <v>9.7256693119232948E-2</v>
      </c>
      <c r="O868" s="229" t="s">
        <v>107</v>
      </c>
      <c r="P868" s="229">
        <f>ROUND(N868/100*$C868*$J$851,0)</f>
        <v>0</v>
      </c>
      <c r="Q868" s="229"/>
      <c r="R868" s="329">
        <f>R848</f>
        <v>1.3449860146278823</v>
      </c>
      <c r="S868" s="229" t="s">
        <v>107</v>
      </c>
      <c r="T868" s="229">
        <f>ROUND(R868/100*$C868*$J$851,0)</f>
        <v>0</v>
      </c>
      <c r="U868" s="229"/>
      <c r="V868" s="329">
        <f>V848</f>
        <v>5.4757786184457329</v>
      </c>
      <c r="W868" s="229" t="s">
        <v>107</v>
      </c>
      <c r="X868" s="229">
        <f>ROUND(V868/100*$C868*$J$851,0)</f>
        <v>0</v>
      </c>
      <c r="Y868" s="53"/>
      <c r="Z868" s="110"/>
      <c r="AA868" s="110"/>
      <c r="AB868" s="110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</row>
    <row r="869" spans="1:47" hidden="1">
      <c r="A869" s="231" t="s">
        <v>152</v>
      </c>
      <c r="B869" s="169"/>
      <c r="C869" s="227">
        <v>0</v>
      </c>
      <c r="D869" s="289">
        <v>56</v>
      </c>
      <c r="E869" s="229" t="s">
        <v>107</v>
      </c>
      <c r="F869" s="229">
        <f>ROUND(D869/100*$C869*$D$745,0)</f>
        <v>0</v>
      </c>
      <c r="G869" s="289">
        <v>56</v>
      </c>
      <c r="H869" s="231" t="s">
        <v>107</v>
      </c>
      <c r="I869" s="229">
        <f>ROUND(G869/100*C869*$G$745,0)</f>
        <v>0</v>
      </c>
      <c r="J869" s="289">
        <f>J849</f>
        <v>56</v>
      </c>
      <c r="K869" s="231" t="s">
        <v>107</v>
      </c>
      <c r="L869" s="229">
        <f>ROUND(J869/100*$C869*$J$851,0)</f>
        <v>0</v>
      </c>
      <c r="M869" s="229"/>
      <c r="N869" s="289" t="str">
        <f>N849</f>
        <v xml:space="preserve"> </v>
      </c>
      <c r="O869" s="231" t="s">
        <v>107</v>
      </c>
      <c r="P869" s="229">
        <f>ROUND(N869/100*$C869*$J$851,0)</f>
        <v>0</v>
      </c>
      <c r="Q869" s="229"/>
      <c r="R869" s="289">
        <f>R849</f>
        <v>11</v>
      </c>
      <c r="S869" s="231" t="s">
        <v>107</v>
      </c>
      <c r="T869" s="229">
        <f>ROUND(R869/100*$C869*$J$851,0)</f>
        <v>0</v>
      </c>
      <c r="U869" s="229"/>
      <c r="V869" s="289">
        <f>V849</f>
        <v>45</v>
      </c>
      <c r="W869" s="231" t="s">
        <v>107</v>
      </c>
      <c r="X869" s="229">
        <f>ROUND(V869/100*$C869*$J$851,0)</f>
        <v>0</v>
      </c>
      <c r="Y869" s="53"/>
      <c r="Z869" s="110"/>
      <c r="AA869" s="110"/>
      <c r="AB869" s="110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</row>
    <row r="870" spans="1:47" hidden="1">
      <c r="A870" s="231" t="s">
        <v>201</v>
      </c>
      <c r="B870" s="169"/>
      <c r="C870" s="227">
        <v>0</v>
      </c>
      <c r="D870" s="193">
        <v>60</v>
      </c>
      <c r="E870" s="292" t="s">
        <v>0</v>
      </c>
      <c r="F870" s="229">
        <f>ROUND(D870*$C870,0)</f>
        <v>0</v>
      </c>
      <c r="G870" s="193">
        <v>60</v>
      </c>
      <c r="H870" s="169"/>
      <c r="I870" s="229">
        <f>ROUND(G870*$C870,0)</f>
        <v>0</v>
      </c>
      <c r="J870" s="193">
        <f>$J$764</f>
        <v>60</v>
      </c>
      <c r="K870" s="169"/>
      <c r="L870" s="229">
        <f>ROUND(J870*$C870,0)</f>
        <v>0</v>
      </c>
      <c r="M870" s="229"/>
      <c r="N870" s="193" t="str">
        <f>$N$764</f>
        <v xml:space="preserve"> </v>
      </c>
      <c r="O870" s="169"/>
      <c r="P870" s="229">
        <f>ROUND(N870*$C870,0)</f>
        <v>0</v>
      </c>
      <c r="Q870" s="229"/>
      <c r="R870" s="193">
        <f>$R$764</f>
        <v>11.831395044239748</v>
      </c>
      <c r="S870" s="169"/>
      <c r="T870" s="229">
        <f>ROUND(R870*$C870,0)</f>
        <v>0</v>
      </c>
      <c r="U870" s="229"/>
      <c r="V870" s="193">
        <f>$V$764</f>
        <v>48.168604955760237</v>
      </c>
      <c r="W870" s="169"/>
      <c r="X870" s="229">
        <f>ROUND(V870*$C870,0)</f>
        <v>0</v>
      </c>
      <c r="Y870" s="53"/>
      <c r="Z870" s="270" t="s">
        <v>0</v>
      </c>
      <c r="AA870" s="110"/>
      <c r="AB870" s="110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</row>
    <row r="871" spans="1:47" hidden="1">
      <c r="A871" s="231" t="s">
        <v>202</v>
      </c>
      <c r="B871" s="169"/>
      <c r="C871" s="227">
        <v>0</v>
      </c>
      <c r="D871" s="251">
        <v>-30</v>
      </c>
      <c r="E871" s="229" t="s">
        <v>107</v>
      </c>
      <c r="F871" s="229">
        <f>ROUND(D871*$C871/100,0)</f>
        <v>0</v>
      </c>
      <c r="G871" s="251">
        <v>-30</v>
      </c>
      <c r="H871" s="229" t="s">
        <v>107</v>
      </c>
      <c r="I871" s="229">
        <f>ROUND(G871*$C871/100,0)</f>
        <v>0</v>
      </c>
      <c r="J871" s="251">
        <f>$J$765</f>
        <v>-30</v>
      </c>
      <c r="K871" s="229" t="s">
        <v>107</v>
      </c>
      <c r="L871" s="229">
        <f>ROUND(J871*$C871/100,0)</f>
        <v>0</v>
      </c>
      <c r="M871" s="229"/>
      <c r="N871" s="251">
        <f>$N$765</f>
        <v>-30</v>
      </c>
      <c r="O871" s="229" t="s">
        <v>107</v>
      </c>
      <c r="P871" s="229">
        <f>ROUND(N871*$C871/100,0)</f>
        <v>0</v>
      </c>
      <c r="Q871" s="229"/>
      <c r="R871" s="251">
        <f>$R$765</f>
        <v>0</v>
      </c>
      <c r="S871" s="229" t="s">
        <v>107</v>
      </c>
      <c r="T871" s="229">
        <f>ROUND(R871*$C871/100,0)</f>
        <v>0</v>
      </c>
      <c r="U871" s="229"/>
      <c r="V871" s="251">
        <f>$V$765</f>
        <v>0</v>
      </c>
      <c r="W871" s="229" t="s">
        <v>107</v>
      </c>
      <c r="X871" s="229">
        <f>ROUND(V871*$C871/100,0)</f>
        <v>0</v>
      </c>
      <c r="Y871" s="53"/>
      <c r="Z871" s="110"/>
      <c r="AA871" s="110"/>
      <c r="AB871" s="110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</row>
    <row r="872" spans="1:47" s="141" customFormat="1" hidden="1">
      <c r="A872" s="140" t="s">
        <v>223</v>
      </c>
      <c r="C872" s="142">
        <f>C868</f>
        <v>0</v>
      </c>
      <c r="D872" s="138"/>
      <c r="E872" s="143"/>
      <c r="F872" s="144"/>
      <c r="G872" s="138"/>
      <c r="H872" s="143"/>
      <c r="I872" s="144"/>
      <c r="J872" s="336">
        <f>J766</f>
        <v>0</v>
      </c>
      <c r="K872" s="283" t="s">
        <v>107</v>
      </c>
      <c r="L872" s="229">
        <f>ROUND(J872/100*$C872*$J$851,0)</f>
        <v>0</v>
      </c>
      <c r="M872" s="229"/>
      <c r="N872" s="336" t="str">
        <f>N766</f>
        <v xml:space="preserve"> </v>
      </c>
      <c r="O872" s="283" t="s">
        <v>107</v>
      </c>
      <c r="P872" s="229">
        <f>ROUND(N872/100*$C872*$J$851,0)</f>
        <v>0</v>
      </c>
      <c r="Q872" s="229"/>
      <c r="R872" s="336" t="str">
        <f>R766</f>
        <v xml:space="preserve"> </v>
      </c>
      <c r="S872" s="283" t="s">
        <v>107</v>
      </c>
      <c r="T872" s="229">
        <f>ROUND(R872/100*$C872*$J$851,0)</f>
        <v>0</v>
      </c>
      <c r="U872" s="229"/>
      <c r="V872" s="336">
        <f>V766</f>
        <v>0</v>
      </c>
      <c r="W872" s="283" t="s">
        <v>107</v>
      </c>
      <c r="X872" s="229">
        <f>ROUND(V872/100*$C872*$J$851,0)</f>
        <v>0</v>
      </c>
      <c r="Z872" s="132"/>
      <c r="AC872" s="148"/>
      <c r="AD872" s="148"/>
      <c r="AI872" s="143"/>
      <c r="AJ872" s="143"/>
      <c r="AK872" s="143"/>
      <c r="AL872" s="143"/>
      <c r="AM872" s="143"/>
      <c r="AN872" s="143"/>
      <c r="AO872" s="143"/>
      <c r="AP872" s="143"/>
      <c r="AQ872" s="143"/>
      <c r="AR872" s="143"/>
      <c r="AS872" s="143"/>
      <c r="AU872" s="147"/>
    </row>
    <row r="873" spans="1:47" hidden="1">
      <c r="A873" s="169" t="s">
        <v>133</v>
      </c>
      <c r="B873" s="169"/>
      <c r="C873" s="227">
        <f>SUM(C848:C848)</f>
        <v>5473590</v>
      </c>
      <c r="D873" s="237"/>
      <c r="E873" s="131"/>
      <c r="F873" s="131">
        <f>SUM(F828:F871)</f>
        <v>437654</v>
      </c>
      <c r="G873" s="237"/>
      <c r="H873" s="231"/>
      <c r="I873" s="131">
        <f>SUM(I828:I871)</f>
        <v>462899</v>
      </c>
      <c r="J873" s="237"/>
      <c r="K873" s="231"/>
      <c r="L873" s="131">
        <f>SUM(L828:L872)</f>
        <v>469786</v>
      </c>
      <c r="M873" s="131"/>
      <c r="N873" s="237"/>
      <c r="O873" s="231"/>
      <c r="P873" s="131">
        <f>SUM(P828:P872)</f>
        <v>95731</v>
      </c>
      <c r="Q873" s="131"/>
      <c r="R873" s="237"/>
      <c r="S873" s="231"/>
      <c r="T873" s="131">
        <f>SUM(T828:T872)</f>
        <v>73759</v>
      </c>
      <c r="U873" s="131"/>
      <c r="V873" s="237"/>
      <c r="W873" s="231"/>
      <c r="X873" s="131">
        <f>SUM(X828:X872)</f>
        <v>300297</v>
      </c>
      <c r="Y873" s="53"/>
      <c r="Z873" s="110"/>
      <c r="AA873" s="110"/>
      <c r="AB873" s="110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</row>
    <row r="874" spans="1:47" hidden="1">
      <c r="A874" s="169" t="s">
        <v>111</v>
      </c>
      <c r="B874" s="169"/>
      <c r="C874" s="275">
        <v>-7191.4616234892947</v>
      </c>
      <c r="D874" s="154"/>
      <c r="E874" s="154"/>
      <c r="F874" s="152">
        <f>I874</f>
        <v>-1126.4991463464028</v>
      </c>
      <c r="G874" s="154"/>
      <c r="H874" s="154"/>
      <c r="I874" s="152">
        <v>-1126.4991463464028</v>
      </c>
      <c r="J874" s="154"/>
      <c r="K874" s="154"/>
      <c r="L874" s="152">
        <f>I874</f>
        <v>-1126.4991463464028</v>
      </c>
      <c r="M874" s="153"/>
      <c r="N874" s="154"/>
      <c r="O874" s="154"/>
      <c r="P874" s="152">
        <f>P768/L768*L874</f>
        <v>-236.99354076477576</v>
      </c>
      <c r="Q874" s="153"/>
      <c r="R874" s="154"/>
      <c r="S874" s="154"/>
      <c r="T874" s="152">
        <f>T768/L768*L874</f>
        <v>-175.40153689503231</v>
      </c>
      <c r="U874" s="153"/>
      <c r="V874" s="154"/>
      <c r="W874" s="154"/>
      <c r="X874" s="152">
        <f>X768/L768*L874</f>
        <v>-714.1040686865947</v>
      </c>
      <c r="Y874" s="185"/>
      <c r="Z874" s="183"/>
      <c r="AA874" s="110"/>
      <c r="AB874" s="110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</row>
    <row r="875" spans="1:47" ht="16.5" hidden="1" thickBot="1">
      <c r="A875" s="169" t="s">
        <v>134</v>
      </c>
      <c r="B875" s="169"/>
      <c r="C875" s="293">
        <f>SUM(C873:C874)</f>
        <v>5466398.5383765111</v>
      </c>
      <c r="D875" s="272"/>
      <c r="E875" s="256"/>
      <c r="F875" s="257">
        <f>F873+F874</f>
        <v>436527.50085365359</v>
      </c>
      <c r="G875" s="272"/>
      <c r="H875" s="258"/>
      <c r="I875" s="257">
        <f>I873+I874</f>
        <v>461772.50085365359</v>
      </c>
      <c r="J875" s="272"/>
      <c r="K875" s="258"/>
      <c r="L875" s="257">
        <f>L873+L874</f>
        <v>468659.50085365359</v>
      </c>
      <c r="M875" s="257"/>
      <c r="N875" s="272"/>
      <c r="O875" s="258"/>
      <c r="P875" s="257">
        <f>P873+P874</f>
        <v>95494.006459235228</v>
      </c>
      <c r="Q875" s="257"/>
      <c r="R875" s="272"/>
      <c r="S875" s="258"/>
      <c r="T875" s="257">
        <f>T873+T874</f>
        <v>73583.598463104965</v>
      </c>
      <c r="U875" s="257"/>
      <c r="V875" s="272"/>
      <c r="W875" s="258"/>
      <c r="X875" s="257">
        <f>X873+X874</f>
        <v>299582.8959313134</v>
      </c>
      <c r="Y875" s="186"/>
      <c r="Z875" s="187"/>
      <c r="AA875" s="110"/>
      <c r="AB875" s="110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</row>
    <row r="876" spans="1:47" hidden="1">
      <c r="A876" s="169"/>
      <c r="B876" s="169"/>
      <c r="C876" s="308"/>
      <c r="D876" s="276"/>
      <c r="E876" s="263"/>
      <c r="F876" s="230"/>
      <c r="G876" s="276"/>
      <c r="H876" s="264"/>
      <c r="I876" s="230"/>
      <c r="J876" s="276"/>
      <c r="K876" s="264"/>
      <c r="L876" s="230"/>
      <c r="M876" s="230"/>
      <c r="N876" s="276"/>
      <c r="O876" s="264"/>
      <c r="P876" s="230"/>
      <c r="Q876" s="230"/>
      <c r="R876" s="276"/>
      <c r="S876" s="264"/>
      <c r="T876" s="230"/>
      <c r="U876" s="230"/>
      <c r="V876" s="276"/>
      <c r="W876" s="264"/>
      <c r="X876" s="230"/>
      <c r="Y876" s="337">
        <v>0.21038057732526627</v>
      </c>
      <c r="Z876" s="337">
        <v>0.15570498873782163</v>
      </c>
      <c r="AA876" s="337">
        <v>0.63391443393691227</v>
      </c>
      <c r="AB876" s="110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</row>
    <row r="877" spans="1:47" hidden="1">
      <c r="A877" s="169"/>
      <c r="B877" s="169"/>
      <c r="C877" s="308"/>
      <c r="D877" s="276"/>
      <c r="E877" s="263"/>
      <c r="F877" s="230"/>
      <c r="G877" s="276"/>
      <c r="H877" s="264"/>
      <c r="I877" s="230"/>
      <c r="J877" s="276"/>
      <c r="K877" s="264"/>
      <c r="L877" s="230"/>
      <c r="M877" s="230"/>
      <c r="N877" s="276"/>
      <c r="O877" s="264"/>
      <c r="P877" s="230"/>
      <c r="Q877" s="230"/>
      <c r="R877" s="276"/>
      <c r="S877" s="264"/>
      <c r="T877" s="230"/>
      <c r="U877" s="230"/>
      <c r="V877" s="276"/>
      <c r="W877" s="264"/>
      <c r="X877" s="230"/>
      <c r="Y877" s="186">
        <f>Y876*$L$769</f>
        <v>2704440.0073299473</v>
      </c>
      <c r="Z877" s="186">
        <f t="shared" ref="Z877:AA877" si="229">Z876*$L$769</f>
        <v>2001585.9174698209</v>
      </c>
      <c r="AA877" s="186">
        <f t="shared" si="229"/>
        <v>8148963.0752002336</v>
      </c>
      <c r="AB877" s="270" t="s">
        <v>165</v>
      </c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</row>
    <row r="878" spans="1:47" hidden="1">
      <c r="A878" s="199"/>
      <c r="B878" s="317"/>
      <c r="C878" s="199"/>
      <c r="D878" s="169"/>
      <c r="E878" s="189"/>
      <c r="F878" s="318"/>
      <c r="G878" s="169"/>
      <c r="H878" s="199"/>
      <c r="I878" s="318" t="s">
        <v>0</v>
      </c>
      <c r="J878" s="199"/>
      <c r="K878" s="199"/>
      <c r="L878" s="199"/>
      <c r="M878" s="199"/>
      <c r="N878" s="199"/>
      <c r="O878" s="199"/>
      <c r="P878" s="199"/>
      <c r="Q878" s="199"/>
      <c r="R878" s="199"/>
      <c r="S878" s="199"/>
      <c r="T878" s="199"/>
      <c r="U878" s="199"/>
      <c r="V878" s="199"/>
      <c r="W878" s="199"/>
      <c r="X878" s="199"/>
      <c r="Y878" s="53"/>
      <c r="Z878" s="110"/>
      <c r="AA878" s="110"/>
      <c r="AB878" s="110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</row>
    <row r="879" spans="1:47">
      <c r="A879" s="188" t="s">
        <v>229</v>
      </c>
      <c r="B879" s="169"/>
      <c r="C879" s="169"/>
      <c r="D879" s="131"/>
      <c r="E879" s="131"/>
      <c r="F879" s="169"/>
      <c r="G879" s="131"/>
      <c r="H879" s="169"/>
      <c r="I879" s="169"/>
      <c r="J879" s="131"/>
      <c r="K879" s="169"/>
      <c r="L879" s="169"/>
      <c r="M879" s="169"/>
      <c r="N879" s="131"/>
      <c r="O879" s="169"/>
      <c r="P879" s="169"/>
      <c r="Q879" s="169"/>
      <c r="R879" s="131"/>
      <c r="S879" s="169"/>
      <c r="T879" s="169"/>
      <c r="U879" s="169"/>
      <c r="V879" s="131"/>
      <c r="W879" s="169"/>
      <c r="X879" s="169"/>
      <c r="Y879" s="53"/>
      <c r="Z879" s="110"/>
      <c r="AA879" s="110"/>
      <c r="AB879" s="110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</row>
    <row r="880" spans="1:47">
      <c r="A880" s="327" t="s">
        <v>230</v>
      </c>
      <c r="B880" s="169"/>
      <c r="C880" s="169"/>
      <c r="D880" s="131"/>
      <c r="E880" s="131"/>
      <c r="F880" s="169"/>
      <c r="G880" s="131"/>
      <c r="H880" s="169"/>
      <c r="I880" s="169"/>
      <c r="J880" s="131"/>
      <c r="K880" s="169"/>
      <c r="L880" s="169"/>
      <c r="M880" s="169"/>
      <c r="N880" s="131"/>
      <c r="O880" s="169"/>
      <c r="P880" s="169"/>
      <c r="Q880" s="169"/>
      <c r="R880" s="131"/>
      <c r="S880" s="169"/>
      <c r="T880" s="169"/>
      <c r="U880" s="169"/>
      <c r="V880" s="131"/>
      <c r="W880" s="169"/>
      <c r="X880" s="169"/>
      <c r="Y880" s="53"/>
      <c r="Z880" s="110"/>
      <c r="AA880" s="110"/>
      <c r="AB880" s="110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</row>
    <row r="881" spans="1:47">
      <c r="A881" s="231"/>
      <c r="B881" s="169"/>
      <c r="C881" s="169"/>
      <c r="D881" s="131"/>
      <c r="E881" s="131"/>
      <c r="F881" s="169"/>
      <c r="G881" s="131"/>
      <c r="H881" s="169"/>
      <c r="I881" s="169"/>
      <c r="J881" s="131"/>
      <c r="K881" s="169"/>
      <c r="L881" s="169"/>
      <c r="M881" s="169"/>
      <c r="N881" s="131"/>
      <c r="O881" s="169"/>
      <c r="P881" s="169"/>
      <c r="Q881" s="169"/>
      <c r="R881" s="131"/>
      <c r="S881" s="169"/>
      <c r="T881" s="169"/>
      <c r="U881" s="169"/>
      <c r="V881" s="131"/>
      <c r="W881" s="169"/>
      <c r="X881" s="169"/>
      <c r="Y881" s="53"/>
      <c r="Z881" s="110"/>
      <c r="AA881" s="110"/>
      <c r="AB881" s="110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</row>
    <row r="882" spans="1:47">
      <c r="A882" s="231" t="s">
        <v>146</v>
      </c>
      <c r="B882" s="169"/>
      <c r="C882" s="227"/>
      <c r="D882" s="131"/>
      <c r="E882" s="131"/>
      <c r="F882" s="169"/>
      <c r="G882" s="131"/>
      <c r="H882" s="169"/>
      <c r="I882" s="169"/>
      <c r="J882" s="131"/>
      <c r="K882" s="169"/>
      <c r="L882" s="169"/>
      <c r="M882" s="169"/>
      <c r="N882" s="131"/>
      <c r="O882" s="169"/>
      <c r="P882" s="169"/>
      <c r="Q882" s="169"/>
      <c r="R882" s="131"/>
      <c r="S882" s="169"/>
      <c r="T882" s="169"/>
      <c r="U882" s="169"/>
      <c r="V882" s="131"/>
      <c r="W882" s="169"/>
      <c r="X882" s="169"/>
      <c r="Y882" s="53"/>
      <c r="Z882" s="110"/>
      <c r="AA882" s="110"/>
      <c r="AB882" s="110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</row>
    <row r="883" spans="1:47">
      <c r="A883" s="231" t="s">
        <v>231</v>
      </c>
      <c r="B883" s="169"/>
      <c r="C883" s="227">
        <v>12</v>
      </c>
      <c r="D883" s="273">
        <v>1386</v>
      </c>
      <c r="E883" s="250"/>
      <c r="F883" s="131">
        <f>ROUND(D883*$C883,0)</f>
        <v>16632</v>
      </c>
      <c r="G883" s="273">
        <v>1386</v>
      </c>
      <c r="H883" s="229"/>
      <c r="I883" s="131">
        <f>ROUND(G883*C883,0)</f>
        <v>16632</v>
      </c>
      <c r="J883" s="273">
        <f>J962</f>
        <v>1386</v>
      </c>
      <c r="K883" s="229"/>
      <c r="L883" s="131">
        <f>ROUND(J883*$C883,0)</f>
        <v>16632</v>
      </c>
      <c r="M883" s="131"/>
      <c r="N883" s="273">
        <f>N962</f>
        <v>1386</v>
      </c>
      <c r="O883" s="229"/>
      <c r="P883" s="131">
        <v>16632</v>
      </c>
      <c r="Q883" s="131"/>
      <c r="R883" s="273" t="str">
        <f>R962</f>
        <v xml:space="preserve"> </v>
      </c>
      <c r="S883" s="229"/>
      <c r="T883" s="131">
        <v>0</v>
      </c>
      <c r="U883" s="131"/>
      <c r="V883" s="273" t="str">
        <f>V962</f>
        <v xml:space="preserve"> </v>
      </c>
      <c r="W883" s="229"/>
      <c r="X883" s="131">
        <v>0</v>
      </c>
      <c r="Z883" s="6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</row>
    <row r="884" spans="1:47">
      <c r="A884" s="231" t="s">
        <v>232</v>
      </c>
      <c r="B884" s="169"/>
      <c r="C884" s="227">
        <v>0</v>
      </c>
      <c r="D884" s="273">
        <v>1675</v>
      </c>
      <c r="E884" s="250"/>
      <c r="F884" s="131">
        <f>ROUND(D884*$C884,0)</f>
        <v>0</v>
      </c>
      <c r="G884" s="273">
        <v>1675</v>
      </c>
      <c r="H884" s="232"/>
      <c r="I884" s="131">
        <f>ROUND(G884*C884,0)</f>
        <v>0</v>
      </c>
      <c r="J884" s="273">
        <f>J963</f>
        <v>1675</v>
      </c>
      <c r="K884" s="232"/>
      <c r="L884" s="131">
        <f>ROUND(J884*$C884,0)</f>
        <v>0</v>
      </c>
      <c r="M884" s="131"/>
      <c r="N884" s="273">
        <f>N963</f>
        <v>1675</v>
      </c>
      <c r="O884" s="232"/>
      <c r="P884" s="131">
        <v>0</v>
      </c>
      <c r="Q884" s="131"/>
      <c r="R884" s="273" t="str">
        <f>R963</f>
        <v xml:space="preserve"> </v>
      </c>
      <c r="S884" s="232"/>
      <c r="T884" s="131">
        <v>0</v>
      </c>
      <c r="U884" s="131"/>
      <c r="V884" s="273" t="str">
        <f>V963</f>
        <v xml:space="preserve"> </v>
      </c>
      <c r="W884" s="232"/>
      <c r="X884" s="131">
        <v>0</v>
      </c>
      <c r="Z884" s="6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</row>
    <row r="885" spans="1:47">
      <c r="A885" s="231" t="s">
        <v>147</v>
      </c>
      <c r="B885" s="169"/>
      <c r="C885" s="227">
        <f>SUM(C883:C884)</f>
        <v>12</v>
      </c>
      <c r="D885" s="273" t="s">
        <v>0</v>
      </c>
      <c r="E885" s="250"/>
      <c r="F885" s="131" t="s">
        <v>0</v>
      </c>
      <c r="G885" s="273" t="s">
        <v>0</v>
      </c>
      <c r="H885" s="229"/>
      <c r="I885" s="131" t="s">
        <v>0</v>
      </c>
      <c r="J885" s="273" t="str">
        <f>Z926</f>
        <v xml:space="preserve"> </v>
      </c>
      <c r="K885" s="229"/>
      <c r="L885" s="131" t="s">
        <v>0</v>
      </c>
      <c r="M885" s="131"/>
      <c r="N885" s="273">
        <f>AC926</f>
        <v>0</v>
      </c>
      <c r="O885" s="229"/>
      <c r="P885" s="131" t="s">
        <v>0</v>
      </c>
      <c r="Q885" s="131"/>
      <c r="R885" s="273">
        <f>AG926</f>
        <v>0</v>
      </c>
      <c r="S885" s="229"/>
      <c r="T885" s="131" t="s">
        <v>0</v>
      </c>
      <c r="U885" s="131"/>
      <c r="V885" s="273">
        <f>AK926</f>
        <v>0</v>
      </c>
      <c r="W885" s="229"/>
      <c r="X885" s="131" t="s">
        <v>0</v>
      </c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</row>
    <row r="886" spans="1:47">
      <c r="A886" s="231" t="s">
        <v>233</v>
      </c>
      <c r="B886" s="169"/>
      <c r="C886" s="227">
        <v>22168</v>
      </c>
      <c r="D886" s="273">
        <v>1.06</v>
      </c>
      <c r="E886" s="250"/>
      <c r="F886" s="131">
        <f>ROUND(D886*$C886,0)</f>
        <v>23498</v>
      </c>
      <c r="G886" s="273">
        <v>1.06</v>
      </c>
      <c r="H886" s="229"/>
      <c r="I886" s="131">
        <f t="shared" ref="I886:I888" si="230">ROUND(G886*C886,0)</f>
        <v>23498</v>
      </c>
      <c r="J886" s="273">
        <f>J965</f>
        <v>1.1000000000000001</v>
      </c>
      <c r="K886" s="229"/>
      <c r="L886" s="131">
        <f>ROUND(J886*$C886,0)</f>
        <v>24385</v>
      </c>
      <c r="M886" s="131"/>
      <c r="N886" s="273">
        <f>N965</f>
        <v>1.1000000000000001</v>
      </c>
      <c r="O886" s="229"/>
      <c r="P886" s="131">
        <v>24385</v>
      </c>
      <c r="Q886" s="131"/>
      <c r="R886" s="273" t="str">
        <f>R965</f>
        <v xml:space="preserve"> </v>
      </c>
      <c r="S886" s="229"/>
      <c r="T886" s="131">
        <v>0</v>
      </c>
      <c r="U886" s="131"/>
      <c r="V886" s="273" t="str">
        <f>V965</f>
        <v xml:space="preserve"> </v>
      </c>
      <c r="W886" s="229"/>
      <c r="X886" s="131">
        <v>0</v>
      </c>
      <c r="Z886" s="6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</row>
    <row r="887" spans="1:47">
      <c r="A887" s="231" t="s">
        <v>234</v>
      </c>
      <c r="B887" s="169"/>
      <c r="C887" s="227">
        <v>0</v>
      </c>
      <c r="D887" s="273">
        <v>0.96</v>
      </c>
      <c r="E887" s="250"/>
      <c r="F887" s="131">
        <f>ROUND(D887*$C887,0)</f>
        <v>0</v>
      </c>
      <c r="G887" s="273">
        <v>0.96</v>
      </c>
      <c r="H887" s="229"/>
      <c r="I887" s="131">
        <f t="shared" si="230"/>
        <v>0</v>
      </c>
      <c r="J887" s="273">
        <f>J966</f>
        <v>0.99</v>
      </c>
      <c r="K887" s="229"/>
      <c r="L887" s="131">
        <f>ROUND(J887*$C887,0)</f>
        <v>0</v>
      </c>
      <c r="M887" s="131"/>
      <c r="N887" s="273">
        <f>N966</f>
        <v>0.99</v>
      </c>
      <c r="O887" s="229"/>
      <c r="P887" s="131">
        <v>0</v>
      </c>
      <c r="Q887" s="131"/>
      <c r="R887" s="273" t="str">
        <f>R966</f>
        <v xml:space="preserve"> </v>
      </c>
      <c r="S887" s="229"/>
      <c r="T887" s="131">
        <v>0</v>
      </c>
      <c r="U887" s="131"/>
      <c r="V887" s="273" t="str">
        <f>V966</f>
        <v xml:space="preserve"> </v>
      </c>
      <c r="W887" s="229"/>
      <c r="X887" s="131">
        <v>0</v>
      </c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</row>
    <row r="888" spans="1:47">
      <c r="A888" s="154" t="s">
        <v>161</v>
      </c>
      <c r="B888" s="169"/>
      <c r="C888" s="227">
        <v>18457.411764705899</v>
      </c>
      <c r="D888" s="273">
        <v>7.12</v>
      </c>
      <c r="E888" s="250"/>
      <c r="F888" s="131">
        <f>ROUND(D888*$C888,0)</f>
        <v>131417</v>
      </c>
      <c r="G888" s="273">
        <v>7.55</v>
      </c>
      <c r="H888" s="229"/>
      <c r="I888" s="131">
        <f t="shared" si="230"/>
        <v>139353</v>
      </c>
      <c r="J888" s="273">
        <f>J967</f>
        <v>7.83</v>
      </c>
      <c r="K888" s="229"/>
      <c r="L888" s="131">
        <f>ROUND(J888*$C888,0)</f>
        <v>144522</v>
      </c>
      <c r="M888" s="131"/>
      <c r="N888" s="273">
        <f>N967</f>
        <v>0.95</v>
      </c>
      <c r="O888" s="229"/>
      <c r="P888" s="131">
        <v>17535</v>
      </c>
      <c r="Q888" s="131"/>
      <c r="R888" s="273">
        <f>R967</f>
        <v>1.36</v>
      </c>
      <c r="S888" s="229"/>
      <c r="T888" s="131">
        <v>25102</v>
      </c>
      <c r="U888" s="131"/>
      <c r="V888" s="273">
        <f>V967</f>
        <v>5.52</v>
      </c>
      <c r="W888" s="229"/>
      <c r="X888" s="131">
        <v>101885</v>
      </c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</row>
    <row r="889" spans="1:47">
      <c r="A889" s="231" t="s">
        <v>183</v>
      </c>
      <c r="B889" s="169"/>
      <c r="C889" s="227"/>
      <c r="D889" s="273"/>
      <c r="E889" s="250"/>
      <c r="F889" s="131"/>
      <c r="G889" s="273"/>
      <c r="H889" s="229"/>
      <c r="I889" s="131"/>
      <c r="J889" s="273"/>
      <c r="K889" s="229"/>
      <c r="L889" s="131"/>
      <c r="M889" s="131"/>
      <c r="N889" s="273"/>
      <c r="O889" s="229"/>
      <c r="P889" s="131"/>
      <c r="Q889" s="131"/>
      <c r="R889" s="273"/>
      <c r="S889" s="229"/>
      <c r="T889" s="131"/>
      <c r="U889" s="131"/>
      <c r="V889" s="273"/>
      <c r="W889" s="229"/>
      <c r="X889" s="131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</row>
    <row r="890" spans="1:47">
      <c r="A890" s="231" t="s">
        <v>222</v>
      </c>
      <c r="B890" s="169"/>
      <c r="C890" s="227">
        <v>2027000</v>
      </c>
      <c r="D890" s="338">
        <v>4.2460000000000004</v>
      </c>
      <c r="E890" s="229" t="s">
        <v>107</v>
      </c>
      <c r="F890" s="131">
        <f>ROUND(D890/100*$C890,0)</f>
        <v>86066</v>
      </c>
      <c r="G890" s="338">
        <v>4.5140000000000002</v>
      </c>
      <c r="H890" s="229" t="s">
        <v>107</v>
      </c>
      <c r="I890" s="131">
        <f>ROUND(G890/100*C890,0)</f>
        <v>91499</v>
      </c>
      <c r="J890" s="338">
        <f>J969</f>
        <v>4.6630000000000003</v>
      </c>
      <c r="K890" s="229" t="s">
        <v>107</v>
      </c>
      <c r="L890" s="131">
        <f>ROUND(J890/100*$C890,0)</f>
        <v>94519</v>
      </c>
      <c r="M890" s="131"/>
      <c r="N890" s="338" t="str">
        <f>N969</f>
        <v xml:space="preserve"> </v>
      </c>
      <c r="O890" s="229" t="s">
        <v>0</v>
      </c>
      <c r="P890" s="131">
        <v>0</v>
      </c>
      <c r="Q890" s="131"/>
      <c r="R890" s="338">
        <f>R969</f>
        <v>0.92400000000000004</v>
      </c>
      <c r="S890" s="229" t="s">
        <v>107</v>
      </c>
      <c r="T890" s="131">
        <v>18729</v>
      </c>
      <c r="U890" s="131"/>
      <c r="V890" s="338">
        <f>V969</f>
        <v>3.7389999999999999</v>
      </c>
      <c r="W890" s="229" t="s">
        <v>107</v>
      </c>
      <c r="X890" s="131">
        <v>75790</v>
      </c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</row>
    <row r="891" spans="1:47">
      <c r="A891" s="231" t="s">
        <v>152</v>
      </c>
      <c r="B891" s="169"/>
      <c r="C891" s="227">
        <v>9916</v>
      </c>
      <c r="D891" s="273">
        <v>0.55000000000000004</v>
      </c>
      <c r="E891" s="229"/>
      <c r="F891" s="131">
        <f>ROUND(D891*$C891,0)</f>
        <v>5454</v>
      </c>
      <c r="G891" s="273">
        <v>0.55000000000000004</v>
      </c>
      <c r="H891" s="229"/>
      <c r="I891" s="131">
        <f>ROUND(G891*C891,0)</f>
        <v>5454</v>
      </c>
      <c r="J891" s="273">
        <f>J970</f>
        <v>0.55000000000000004</v>
      </c>
      <c r="K891" s="229"/>
      <c r="L891" s="131">
        <f>ROUND(J891*$C891,0)</f>
        <v>5454</v>
      </c>
      <c r="M891" s="131"/>
      <c r="N891" s="273" t="str">
        <f>N970</f>
        <v xml:space="preserve"> </v>
      </c>
      <c r="O891" s="229"/>
      <c r="P891" s="131">
        <v>0</v>
      </c>
      <c r="Q891" s="131"/>
      <c r="R891" s="273">
        <f>R970</f>
        <v>0.11</v>
      </c>
      <c r="S891" s="229"/>
      <c r="T891" s="131">
        <v>1091</v>
      </c>
      <c r="U891" s="131"/>
      <c r="V891" s="273">
        <f>V970</f>
        <v>0.44</v>
      </c>
      <c r="W891" s="229"/>
      <c r="X891" s="131">
        <v>4363</v>
      </c>
      <c r="Y891" s="227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</row>
    <row r="892" spans="1:47">
      <c r="A892" s="154" t="s">
        <v>185</v>
      </c>
      <c r="B892" s="169"/>
      <c r="C892" s="227">
        <v>0</v>
      </c>
      <c r="D892" s="339">
        <v>5.9999999999999995E-4</v>
      </c>
      <c r="E892" s="229"/>
      <c r="F892" s="131">
        <f>ROUND(D892*$C892,0)</f>
        <v>0</v>
      </c>
      <c r="G892" s="339">
        <v>5.9999999999999995E-4</v>
      </c>
      <c r="H892" s="229"/>
      <c r="I892" s="131">
        <f>ROUND(G892*C892,0)</f>
        <v>0</v>
      </c>
      <c r="J892" s="339">
        <v>5.9999999999999995E-4</v>
      </c>
      <c r="K892" s="229"/>
      <c r="L892" s="131">
        <f>ROUND(J892*$C892,0)</f>
        <v>0</v>
      </c>
      <c r="M892" s="131"/>
      <c r="N892" s="339">
        <v>0</v>
      </c>
      <c r="O892" s="229"/>
      <c r="P892" s="131">
        <v>0</v>
      </c>
      <c r="Q892" s="131"/>
      <c r="R892" s="339">
        <f>R891/J891*J892</f>
        <v>1.1999999999999998E-4</v>
      </c>
      <c r="S892" s="229"/>
      <c r="T892" s="131">
        <v>0</v>
      </c>
      <c r="U892" s="131"/>
      <c r="V892" s="339">
        <f>V891/J891*J892</f>
        <v>4.799999999999999E-4</v>
      </c>
      <c r="W892" s="229"/>
      <c r="X892" s="131">
        <v>0</v>
      </c>
      <c r="Y892" s="227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</row>
    <row r="893" spans="1:47">
      <c r="A893" s="154" t="s">
        <v>192</v>
      </c>
      <c r="B893" s="169"/>
      <c r="C893" s="227">
        <v>5796</v>
      </c>
      <c r="D893" s="247">
        <v>3.56</v>
      </c>
      <c r="E893" s="229"/>
      <c r="F893" s="229">
        <f>ROUND(D893*$C893,0)</f>
        <v>20634</v>
      </c>
      <c r="G893" s="247">
        <v>3.7749999999999999</v>
      </c>
      <c r="H893" s="229"/>
      <c r="I893" s="229">
        <f>ROUND(G893*$C893,0)</f>
        <v>21880</v>
      </c>
      <c r="J893" s="247">
        <f>ROUND(J888/2,3)</f>
        <v>3.915</v>
      </c>
      <c r="K893" s="229"/>
      <c r="L893" s="229">
        <f>ROUND($C893*J893,0)</f>
        <v>22691</v>
      </c>
      <c r="M893" s="229"/>
      <c r="N893" s="247">
        <f>ROUND(N888/2,3)</f>
        <v>0.47499999999999998</v>
      </c>
      <c r="O893" s="229"/>
      <c r="P893" s="131">
        <v>2753</v>
      </c>
      <c r="Q893" s="229"/>
      <c r="R893" s="247">
        <f>ROUND(R888/2,3)</f>
        <v>0.68</v>
      </c>
      <c r="S893" s="229"/>
      <c r="T893" s="131">
        <v>3941</v>
      </c>
      <c r="U893" s="229"/>
      <c r="V893" s="247">
        <f>ROUND(V888/2,3)</f>
        <v>2.76</v>
      </c>
      <c r="W893" s="229"/>
      <c r="X893" s="131">
        <v>15997</v>
      </c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</row>
    <row r="894" spans="1:47">
      <c r="A894" s="154" t="s">
        <v>193</v>
      </c>
      <c r="B894" s="169"/>
      <c r="C894" s="227">
        <v>0</v>
      </c>
      <c r="D894" s="247">
        <v>28.48</v>
      </c>
      <c r="E894" s="229"/>
      <c r="F894" s="229">
        <f>ROUND(D894*$C894,0)</f>
        <v>0</v>
      </c>
      <c r="G894" s="247">
        <v>30.2</v>
      </c>
      <c r="H894" s="229"/>
      <c r="I894" s="229">
        <f>ROUND(G894*$C894,0)</f>
        <v>0</v>
      </c>
      <c r="J894" s="247">
        <f>J888*4</f>
        <v>31.32</v>
      </c>
      <c r="K894" s="229"/>
      <c r="L894" s="229">
        <f>ROUND($C894*J894,0)</f>
        <v>0</v>
      </c>
      <c r="M894" s="229"/>
      <c r="N894" s="247">
        <f>N888*4</f>
        <v>3.8</v>
      </c>
      <c r="O894" s="229"/>
      <c r="P894" s="131">
        <v>0</v>
      </c>
      <c r="Q894" s="229"/>
      <c r="R894" s="247">
        <f>R888*4</f>
        <v>5.44</v>
      </c>
      <c r="S894" s="229"/>
      <c r="T894" s="131">
        <v>0</v>
      </c>
      <c r="U894" s="229"/>
      <c r="V894" s="247">
        <f>V888*4</f>
        <v>22.08</v>
      </c>
      <c r="W894" s="229"/>
      <c r="X894" s="131">
        <v>0</v>
      </c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</row>
    <row r="895" spans="1:47">
      <c r="A895" s="111" t="s">
        <v>194</v>
      </c>
      <c r="B895" s="199"/>
      <c r="C895" s="227">
        <v>0</v>
      </c>
      <c r="D895" s="340">
        <v>16.984000000000002</v>
      </c>
      <c r="E895" s="229" t="s">
        <v>107</v>
      </c>
      <c r="F895" s="229">
        <f>ROUND($C895*D895/100,0)</f>
        <v>0</v>
      </c>
      <c r="G895" s="340">
        <v>18.056000000000001</v>
      </c>
      <c r="H895" s="229" t="s">
        <v>107</v>
      </c>
      <c r="I895" s="229">
        <f>ROUND($C895*G895/100,0)</f>
        <v>0</v>
      </c>
      <c r="J895" s="340">
        <f>(J890+J896)*4</f>
        <v>18.652000000000001</v>
      </c>
      <c r="K895" s="229" t="s">
        <v>107</v>
      </c>
      <c r="L895" s="229">
        <f>ROUND($C895*J895/100,0)</f>
        <v>0</v>
      </c>
      <c r="M895" s="229"/>
      <c r="N895" s="340" t="s">
        <v>0</v>
      </c>
      <c r="O895" s="229" t="s">
        <v>0</v>
      </c>
      <c r="P895" s="131">
        <v>0</v>
      </c>
      <c r="Q895" s="229"/>
      <c r="R895" s="340">
        <f>(R890+R896)*4</f>
        <v>3.6960000000000002</v>
      </c>
      <c r="S895" s="229" t="s">
        <v>107</v>
      </c>
      <c r="T895" s="131">
        <v>0</v>
      </c>
      <c r="U895" s="229"/>
      <c r="V895" s="340">
        <f>(V890+V896)*4</f>
        <v>14.956</v>
      </c>
      <c r="W895" s="229" t="s">
        <v>107</v>
      </c>
      <c r="X895" s="131">
        <v>0</v>
      </c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</row>
    <row r="896" spans="1:47" s="141" customFormat="1" hidden="1">
      <c r="A896" s="140" t="s">
        <v>223</v>
      </c>
      <c r="C896" s="142">
        <f>C890</f>
        <v>2027000</v>
      </c>
      <c r="D896" s="138"/>
      <c r="E896" s="143"/>
      <c r="F896" s="144"/>
      <c r="G896" s="138"/>
      <c r="H896" s="143"/>
      <c r="I896" s="144"/>
      <c r="J896" s="341">
        <f>J951</f>
        <v>0</v>
      </c>
      <c r="K896" s="283" t="s">
        <v>107</v>
      </c>
      <c r="L896" s="144">
        <f>ROUND(J896/100*$C896,0)</f>
        <v>0</v>
      </c>
      <c r="M896" s="144"/>
      <c r="N896" s="341" t="str">
        <f>N951</f>
        <v xml:space="preserve"> </v>
      </c>
      <c r="O896" s="283" t="s">
        <v>0</v>
      </c>
      <c r="P896" s="131">
        <v>0</v>
      </c>
      <c r="Q896" s="144"/>
      <c r="R896" s="341" t="str">
        <f>R951</f>
        <v xml:space="preserve"> </v>
      </c>
      <c r="S896" s="283" t="s">
        <v>0</v>
      </c>
      <c r="T896" s="131">
        <v>0</v>
      </c>
      <c r="U896" s="144"/>
      <c r="V896" s="341">
        <f>V951</f>
        <v>0</v>
      </c>
      <c r="W896" s="283" t="s">
        <v>107</v>
      </c>
      <c r="X896" s="131">
        <v>0</v>
      </c>
      <c r="Z896" s="132"/>
      <c r="AC896" s="148"/>
      <c r="AD896" s="148"/>
      <c r="AI896" s="143"/>
      <c r="AJ896" s="143"/>
      <c r="AK896" s="143"/>
      <c r="AL896" s="143"/>
      <c r="AM896" s="143"/>
      <c r="AN896" s="143"/>
      <c r="AO896" s="143"/>
      <c r="AP896" s="143"/>
      <c r="AQ896" s="143"/>
      <c r="AR896" s="143"/>
      <c r="AS896" s="143"/>
      <c r="AU896" s="147"/>
    </row>
    <row r="897" spans="1:48">
      <c r="A897" s="169" t="s">
        <v>133</v>
      </c>
      <c r="B897" s="169"/>
      <c r="C897" s="227">
        <f>C890+C895</f>
        <v>2027000</v>
      </c>
      <c r="D897" s="237"/>
      <c r="E897" s="131"/>
      <c r="F897" s="131">
        <f>SUM(F883:F895)</f>
        <v>283701</v>
      </c>
      <c r="G897" s="237"/>
      <c r="H897" s="169"/>
      <c r="I897" s="131">
        <f>SUM(I883:I895)</f>
        <v>298316</v>
      </c>
      <c r="J897" s="237"/>
      <c r="K897" s="169"/>
      <c r="L897" s="131">
        <f>SUM(L883:L896)</f>
        <v>308203</v>
      </c>
      <c r="M897" s="131"/>
      <c r="N897" s="237"/>
      <c r="O897" s="169"/>
      <c r="P897" s="131">
        <f>SUM(P883:P896)</f>
        <v>61305</v>
      </c>
      <c r="Q897" s="131"/>
      <c r="R897" s="237"/>
      <c r="S897" s="169"/>
      <c r="T897" s="131">
        <f>SUM(T883:T896)</f>
        <v>48863</v>
      </c>
      <c r="U897" s="131"/>
      <c r="V897" s="237"/>
      <c r="W897" s="169"/>
      <c r="X897" s="131">
        <f>SUM(X883:X896)</f>
        <v>198035</v>
      </c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</row>
    <row r="898" spans="1:48">
      <c r="A898" s="169" t="s">
        <v>111</v>
      </c>
      <c r="B898" s="169"/>
      <c r="C898" s="227">
        <v>-32467.553478183199</v>
      </c>
      <c r="D898" s="154"/>
      <c r="E898" s="154"/>
      <c r="F898" s="254">
        <f>I898</f>
        <v>-6187.9871972134688</v>
      </c>
      <c r="G898" s="154"/>
      <c r="H898" s="154"/>
      <c r="I898" s="254">
        <v>-6187.9871972134688</v>
      </c>
      <c r="J898" s="154"/>
      <c r="K898" s="154"/>
      <c r="L898" s="254">
        <f>I898</f>
        <v>-6187.9871972134688</v>
      </c>
      <c r="M898" s="230"/>
      <c r="N898" s="154"/>
      <c r="O898" s="154"/>
      <c r="P898" s="342">
        <f>$L$898*Y956/(Y956+$Z$956+$AA$956)</f>
        <v>-678.70208216607148</v>
      </c>
      <c r="Q898" s="153"/>
      <c r="R898" s="154"/>
      <c r="S898" s="154"/>
      <c r="T898" s="342">
        <f>$L$898*Z956/(Y956+$Z$956+$AA$956)</f>
        <v>-1091.9688477532522</v>
      </c>
      <c r="U898" s="153"/>
      <c r="V898" s="154"/>
      <c r="W898" s="154"/>
      <c r="X898" s="342">
        <f>$L$898*AA956/($Y$956+$Z$956+$AA$956)</f>
        <v>-4417.3162672941453</v>
      </c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</row>
    <row r="899" spans="1:48" ht="16.5" thickBot="1">
      <c r="A899" s="169" t="s">
        <v>134</v>
      </c>
      <c r="B899" s="169"/>
      <c r="C899" s="343">
        <f>SUM(C897)+C898</f>
        <v>1994532.4465218168</v>
      </c>
      <c r="D899" s="272"/>
      <c r="E899" s="256"/>
      <c r="F899" s="257">
        <f>F897+F898</f>
        <v>277513.01280278654</v>
      </c>
      <c r="G899" s="272"/>
      <c r="H899" s="258"/>
      <c r="I899" s="257">
        <f>I897+I898</f>
        <v>292128.01280278654</v>
      </c>
      <c r="J899" s="272"/>
      <c r="K899" s="258"/>
      <c r="L899" s="257">
        <f>L897+L898</f>
        <v>302015.01280278654</v>
      </c>
      <c r="M899" s="257"/>
      <c r="N899" s="272"/>
      <c r="O899" s="258"/>
      <c r="P899" s="257">
        <f>P897+P898</f>
        <v>60626.29791783393</v>
      </c>
      <c r="Q899" s="257"/>
      <c r="R899" s="272"/>
      <c r="S899" s="258"/>
      <c r="T899" s="257">
        <f>T897+T898</f>
        <v>47771.031152246745</v>
      </c>
      <c r="U899" s="257"/>
      <c r="V899" s="272"/>
      <c r="W899" s="258"/>
      <c r="X899" s="257">
        <f>X897+X898</f>
        <v>193617.68373270586</v>
      </c>
      <c r="Y899" s="159" t="s">
        <v>113</v>
      </c>
      <c r="Z899" s="160">
        <v>301890.87550517818</v>
      </c>
      <c r="AA899" s="161">
        <v>3.3419810064509205E-2</v>
      </c>
      <c r="AB899" s="162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</row>
    <row r="900" spans="1:48" ht="16.5" thickTop="1">
      <c r="A900" s="169"/>
      <c r="B900" s="169"/>
      <c r="C900" s="189"/>
      <c r="D900" s="250"/>
      <c r="E900" s="131"/>
      <c r="F900" s="131"/>
      <c r="G900" s="250"/>
      <c r="H900" s="169"/>
      <c r="I900" s="131"/>
      <c r="J900" s="250"/>
      <c r="K900" s="169"/>
      <c r="L900" s="273"/>
      <c r="M900" s="273"/>
      <c r="N900" s="250"/>
      <c r="O900" s="169"/>
      <c r="P900" s="273"/>
      <c r="Q900" s="273"/>
      <c r="R900" s="250"/>
      <c r="S900" s="169"/>
      <c r="T900" s="273"/>
      <c r="U900" s="273"/>
      <c r="V900" s="250"/>
      <c r="W900" s="169"/>
      <c r="X900" s="273"/>
      <c r="Y900" s="170" t="s">
        <v>115</v>
      </c>
      <c r="Z900" s="171">
        <f>Z899-L899</f>
        <v>-124.13729760836577</v>
      </c>
      <c r="AA900" s="266" t="s">
        <v>0</v>
      </c>
      <c r="AB900" s="97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</row>
    <row r="901" spans="1:48">
      <c r="A901" s="188" t="s">
        <v>235</v>
      </c>
      <c r="B901" s="169"/>
      <c r="C901" s="169"/>
      <c r="D901" s="131"/>
      <c r="E901" s="131"/>
      <c r="F901" s="169"/>
      <c r="G901" s="131"/>
      <c r="H901" s="169"/>
      <c r="I901" s="169"/>
      <c r="J901" s="131"/>
      <c r="K901" s="169"/>
      <c r="L901" s="169"/>
      <c r="M901" s="169"/>
      <c r="N901" s="131"/>
      <c r="O901" s="169"/>
      <c r="P901" s="169"/>
      <c r="Q901" s="169"/>
      <c r="R901" s="131"/>
      <c r="S901" s="169"/>
      <c r="T901" s="169"/>
      <c r="U901" s="169"/>
      <c r="V901" s="131"/>
      <c r="W901" s="169"/>
      <c r="X901" s="169"/>
      <c r="Y901" s="53"/>
      <c r="Z901" s="110"/>
      <c r="AA901" s="110"/>
      <c r="AB901" s="110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</row>
    <row r="902" spans="1:48">
      <c r="A902" s="154" t="s">
        <v>236</v>
      </c>
      <c r="B902" s="169"/>
      <c r="C902" s="169"/>
      <c r="D902" s="131"/>
      <c r="E902" s="131"/>
      <c r="F902" s="169"/>
      <c r="G902" s="131"/>
      <c r="H902" s="169"/>
      <c r="I902" s="169"/>
      <c r="J902" s="131"/>
      <c r="K902" s="169"/>
      <c r="L902" s="169"/>
      <c r="M902" s="169"/>
      <c r="N902" s="131"/>
      <c r="O902" s="169"/>
      <c r="P902" s="169"/>
      <c r="Q902" s="169"/>
      <c r="R902" s="131"/>
      <c r="S902" s="169"/>
      <c r="T902" s="169"/>
      <c r="U902" s="169"/>
      <c r="V902" s="131"/>
      <c r="W902" s="169"/>
      <c r="X902" s="169"/>
      <c r="Y902" s="53"/>
      <c r="Z902" s="110"/>
      <c r="AA902" s="110"/>
      <c r="AB902" s="110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</row>
    <row r="903" spans="1:48">
      <c r="A903" s="231"/>
      <c r="B903" s="169"/>
      <c r="C903" s="169"/>
      <c r="D903" s="131"/>
      <c r="E903" s="131"/>
      <c r="F903" s="169"/>
      <c r="G903" s="131"/>
      <c r="H903" s="169"/>
      <c r="I903" s="169"/>
      <c r="J903" s="131"/>
      <c r="K903" s="169"/>
      <c r="L903" s="169"/>
      <c r="M903" s="169"/>
      <c r="N903" s="131"/>
      <c r="O903" s="169"/>
      <c r="P903" s="169"/>
      <c r="Q903" s="169"/>
      <c r="R903" s="131"/>
      <c r="S903" s="169"/>
      <c r="T903" s="169"/>
      <c r="U903" s="169"/>
      <c r="V903" s="131"/>
      <c r="W903" s="169"/>
      <c r="X903" s="169"/>
      <c r="Y903" s="53"/>
      <c r="Z903" s="110"/>
      <c r="AA903" s="110"/>
      <c r="AB903" s="110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</row>
    <row r="904" spans="1:48">
      <c r="A904" s="231" t="s">
        <v>146</v>
      </c>
      <c r="B904" s="169"/>
      <c r="C904" s="227"/>
      <c r="D904" s="131"/>
      <c r="E904" s="131"/>
      <c r="F904" s="169"/>
      <c r="G904" s="131"/>
      <c r="H904" s="169"/>
      <c r="I904" s="169"/>
      <c r="J904" s="131"/>
      <c r="K904" s="169"/>
      <c r="L904" s="169"/>
      <c r="M904" s="169"/>
      <c r="N904" s="131"/>
      <c r="O904" s="169"/>
      <c r="P904" s="169"/>
      <c r="Q904" s="169"/>
      <c r="R904" s="131"/>
      <c r="S904" s="169"/>
      <c r="T904" s="169"/>
      <c r="U904" s="169"/>
      <c r="V904" s="131"/>
      <c r="W904" s="169"/>
      <c r="X904" s="169"/>
      <c r="Y904" s="53"/>
      <c r="Z904" s="110"/>
      <c r="AA904" s="110"/>
      <c r="AB904" s="110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</row>
    <row r="905" spans="1:48">
      <c r="A905" s="231" t="s">
        <v>231</v>
      </c>
      <c r="B905" s="169"/>
      <c r="C905" s="227">
        <f t="shared" ref="C905:C910" si="231">C924+C1093</f>
        <v>732.15151515151501</v>
      </c>
      <c r="D905" s="250"/>
      <c r="E905" s="250"/>
      <c r="F905" s="131">
        <f>F924+F1093</f>
        <v>1019061</v>
      </c>
      <c r="G905" s="250"/>
      <c r="H905" s="229"/>
      <c r="I905" s="131">
        <f>I924+I1093</f>
        <v>1019061</v>
      </c>
      <c r="J905" s="250"/>
      <c r="K905" s="229"/>
      <c r="L905" s="131">
        <f>L924+L1093</f>
        <v>1019061</v>
      </c>
      <c r="M905" s="131"/>
      <c r="N905" s="250"/>
      <c r="O905" s="229"/>
      <c r="P905" s="131">
        <f>P924+P1093</f>
        <v>1019061</v>
      </c>
      <c r="Q905" s="131"/>
      <c r="R905" s="250"/>
      <c r="S905" s="229"/>
      <c r="T905" s="131">
        <f>T924+T1093</f>
        <v>0</v>
      </c>
      <c r="U905" s="131"/>
      <c r="V905" s="250"/>
      <c r="W905" s="229"/>
      <c r="X905" s="131">
        <f>X924+X1093</f>
        <v>0</v>
      </c>
      <c r="Z905" s="63" t="s">
        <v>0</v>
      </c>
      <c r="AA905" s="111"/>
      <c r="AB905" s="111"/>
      <c r="AJ905" s="236"/>
      <c r="AK905" s="236"/>
      <c r="AQ905" s="53"/>
      <c r="AR905" s="53"/>
      <c r="AS905" s="53"/>
      <c r="AT905" s="53"/>
      <c r="AU905" s="53"/>
      <c r="AV905" s="53"/>
    </row>
    <row r="906" spans="1:48">
      <c r="A906" s="231" t="s">
        <v>232</v>
      </c>
      <c r="B906" s="169"/>
      <c r="C906" s="227">
        <f t="shared" si="231"/>
        <v>12</v>
      </c>
      <c r="D906" s="250"/>
      <c r="E906" s="250"/>
      <c r="F906" s="131">
        <f>F925+F1094</f>
        <v>30336</v>
      </c>
      <c r="G906" s="250"/>
      <c r="H906" s="232"/>
      <c r="I906" s="131">
        <f>I925+I1094</f>
        <v>30336</v>
      </c>
      <c r="J906" s="250"/>
      <c r="K906" s="232"/>
      <c r="L906" s="131">
        <f>L925+L1094</f>
        <v>30924</v>
      </c>
      <c r="M906" s="131"/>
      <c r="N906" s="250"/>
      <c r="O906" s="232"/>
      <c r="P906" s="131">
        <f>P925+P1094</f>
        <v>30924</v>
      </c>
      <c r="Q906" s="131"/>
      <c r="R906" s="250"/>
      <c r="S906" s="232"/>
      <c r="T906" s="131">
        <f>T925+T1094</f>
        <v>0</v>
      </c>
      <c r="U906" s="131"/>
      <c r="V906" s="250"/>
      <c r="W906" s="232"/>
      <c r="X906" s="131">
        <f>X925+X1094</f>
        <v>0</v>
      </c>
      <c r="Z906" s="63" t="s">
        <v>0</v>
      </c>
      <c r="AA906" s="111"/>
      <c r="AB906" s="111"/>
      <c r="AC906" s="198"/>
      <c r="AD906" s="198"/>
      <c r="AE906" s="198"/>
      <c r="AF906" s="198"/>
      <c r="AG906" s="198"/>
      <c r="AH906" s="198"/>
      <c r="AI906" s="93"/>
      <c r="AJ906" s="236"/>
      <c r="AK906" s="236"/>
      <c r="AQ906" s="53"/>
      <c r="AR906" s="53"/>
      <c r="AS906" s="53"/>
      <c r="AT906" s="53"/>
      <c r="AU906" s="53"/>
      <c r="AV906" s="53"/>
    </row>
    <row r="907" spans="1:48">
      <c r="A907" s="231" t="s">
        <v>147</v>
      </c>
      <c r="B907" s="169"/>
      <c r="C907" s="227">
        <f t="shared" si="231"/>
        <v>744.15151515151501</v>
      </c>
      <c r="D907" s="250"/>
      <c r="E907" s="250"/>
      <c r="F907" s="131"/>
      <c r="G907" s="250"/>
      <c r="H907" s="229"/>
      <c r="I907" s="131"/>
      <c r="J907" s="250"/>
      <c r="K907" s="229"/>
      <c r="L907" s="131"/>
      <c r="M907" s="131"/>
      <c r="N907" s="250"/>
      <c r="O907" s="229"/>
      <c r="P907" s="131"/>
      <c r="Q907" s="131"/>
      <c r="R907" s="250"/>
      <c r="S907" s="229"/>
      <c r="T907" s="131"/>
      <c r="U907" s="131"/>
      <c r="V907" s="250"/>
      <c r="W907" s="229"/>
      <c r="X907" s="131"/>
      <c r="Z907" s="228"/>
      <c r="AA907" s="111"/>
      <c r="AB907" s="111"/>
      <c r="AC907" s="198"/>
      <c r="AD907" s="198"/>
      <c r="AE907" s="198"/>
      <c r="AF907" s="198"/>
      <c r="AG907" s="198"/>
      <c r="AH907" s="198"/>
      <c r="AI907" s="93"/>
      <c r="AQ907" s="53"/>
      <c r="AR907" s="53"/>
      <c r="AS907" s="53"/>
      <c r="AT907" s="53"/>
      <c r="AU907" s="53"/>
      <c r="AV907" s="53"/>
    </row>
    <row r="908" spans="1:48">
      <c r="A908" s="231" t="s">
        <v>233</v>
      </c>
      <c r="B908" s="169"/>
      <c r="C908" s="227">
        <f t="shared" si="231"/>
        <v>1083307.8484848479</v>
      </c>
      <c r="D908" s="250"/>
      <c r="E908" s="250"/>
      <c r="F908" s="131">
        <f>F927+F1096</f>
        <v>1030814</v>
      </c>
      <c r="G908" s="250"/>
      <c r="H908" s="229"/>
      <c r="I908" s="131">
        <f>I927+I1096</f>
        <v>1030814</v>
      </c>
      <c r="J908" s="250"/>
      <c r="K908" s="229"/>
      <c r="L908" s="131">
        <f>L927+L1096</f>
        <v>1071930</v>
      </c>
      <c r="M908" s="131"/>
      <c r="N908" s="250"/>
      <c r="O908" s="229"/>
      <c r="P908" s="131">
        <f>P927+P1096</f>
        <v>1071930</v>
      </c>
      <c r="Q908" s="131"/>
      <c r="R908" s="250"/>
      <c r="S908" s="229"/>
      <c r="T908" s="131">
        <f>T927+T1096</f>
        <v>0</v>
      </c>
      <c r="U908" s="131"/>
      <c r="V908" s="250"/>
      <c r="W908" s="229"/>
      <c r="X908" s="131">
        <f>X927+X1096</f>
        <v>0</v>
      </c>
      <c r="Z908" s="63" t="s">
        <v>0</v>
      </c>
      <c r="AA908" s="111"/>
      <c r="AB908" s="111"/>
      <c r="AC908" s="198"/>
      <c r="AD908" s="198"/>
      <c r="AE908" s="198"/>
      <c r="AF908" s="198"/>
      <c r="AG908" s="198"/>
      <c r="AH908" s="198"/>
      <c r="AI908" s="93"/>
      <c r="AQ908" s="53"/>
      <c r="AR908" s="53"/>
      <c r="AS908" s="53"/>
      <c r="AT908" s="53"/>
      <c r="AU908" s="53"/>
      <c r="AV908" s="53"/>
    </row>
    <row r="909" spans="1:48">
      <c r="A909" s="231" t="s">
        <v>234</v>
      </c>
      <c r="B909" s="169"/>
      <c r="C909" s="227">
        <f t="shared" si="231"/>
        <v>693243</v>
      </c>
      <c r="D909" s="250"/>
      <c r="E909" s="250"/>
      <c r="F909" s="131">
        <f>F928+F1097</f>
        <v>159446</v>
      </c>
      <c r="G909" s="250"/>
      <c r="H909" s="229"/>
      <c r="I909" s="131">
        <f>I928+I1097</f>
        <v>159446</v>
      </c>
      <c r="J909" s="250"/>
      <c r="K909" s="229"/>
      <c r="L909" s="131">
        <f>L928+L1097</f>
        <v>166378</v>
      </c>
      <c r="M909" s="131"/>
      <c r="N909" s="250"/>
      <c r="O909" s="229"/>
      <c r="P909" s="131">
        <f>P928+P1097</f>
        <v>166378</v>
      </c>
      <c r="Q909" s="131"/>
      <c r="R909" s="250"/>
      <c r="S909" s="229"/>
      <c r="T909" s="131">
        <f>T928+T1097</f>
        <v>0</v>
      </c>
      <c r="U909" s="131"/>
      <c r="V909" s="250"/>
      <c r="W909" s="229"/>
      <c r="X909" s="131">
        <f>X928+X1097</f>
        <v>0</v>
      </c>
      <c r="Z909" s="63" t="s">
        <v>0</v>
      </c>
      <c r="AA909" s="111"/>
      <c r="AB909" s="111"/>
      <c r="AC909" s="198"/>
      <c r="AD909" s="198"/>
      <c r="AE909" s="198"/>
      <c r="AF909" s="198"/>
      <c r="AG909" s="198"/>
      <c r="AH909" s="198"/>
      <c r="AI909" s="93"/>
      <c r="AQ909" s="53"/>
      <c r="AR909" s="53"/>
      <c r="AS909" s="53"/>
      <c r="AT909" s="53"/>
      <c r="AU909" s="53"/>
      <c r="AV909" s="53"/>
    </row>
    <row r="910" spans="1:48">
      <c r="A910" s="154" t="s">
        <v>161</v>
      </c>
      <c r="B910" s="169"/>
      <c r="C910" s="227">
        <f t="shared" si="231"/>
        <v>1561051.3030303041</v>
      </c>
      <c r="D910" s="250"/>
      <c r="E910" s="250"/>
      <c r="F910" s="131">
        <f>F929+F1098</f>
        <v>10975647</v>
      </c>
      <c r="G910" s="250"/>
      <c r="H910" s="229"/>
      <c r="I910" s="131">
        <f>I929+I1098</f>
        <v>11622887</v>
      </c>
      <c r="J910" s="250"/>
      <c r="K910" s="229"/>
      <c r="L910" s="131">
        <f>L929+L1098</f>
        <v>12051384</v>
      </c>
      <c r="M910" s="131"/>
      <c r="N910" s="250"/>
      <c r="O910" s="229"/>
      <c r="P910" s="131">
        <f>P929+P1098</f>
        <v>1644636.1474816988</v>
      </c>
      <c r="Q910" s="131"/>
      <c r="R910" s="250"/>
      <c r="S910" s="229"/>
      <c r="T910" s="131">
        <f>T929+T1098</f>
        <v>2062165.8421781096</v>
      </c>
      <c r="U910" s="131"/>
      <c r="V910" s="250"/>
      <c r="W910" s="229"/>
      <c r="X910" s="131">
        <f>X929+X1098</f>
        <v>8344582.0103401924</v>
      </c>
      <c r="Z910" s="63" t="s">
        <v>0</v>
      </c>
      <c r="AA910" s="111"/>
      <c r="AB910" s="111"/>
      <c r="AC910" s="198"/>
      <c r="AD910" s="198"/>
      <c r="AE910" s="198"/>
      <c r="AF910" s="198"/>
      <c r="AG910" s="198"/>
      <c r="AH910" s="198"/>
      <c r="AI910" s="93"/>
      <c r="AQ910" s="53"/>
      <c r="AR910" s="53"/>
      <c r="AS910" s="53"/>
      <c r="AT910" s="53"/>
      <c r="AU910" s="53"/>
      <c r="AV910" s="53"/>
    </row>
    <row r="911" spans="1:48">
      <c r="A911" s="231" t="s">
        <v>183</v>
      </c>
      <c r="B911" s="169"/>
      <c r="C911" s="227"/>
      <c r="D911" s="250"/>
      <c r="E911" s="250"/>
      <c r="F911" s="131"/>
      <c r="G911" s="250"/>
      <c r="H911" s="229"/>
      <c r="I911" s="131"/>
      <c r="J911" s="250"/>
      <c r="K911" s="229"/>
      <c r="L911" s="131"/>
      <c r="M911" s="131"/>
      <c r="N911" s="250"/>
      <c r="O911" s="229"/>
      <c r="P911" s="131"/>
      <c r="Q911" s="131"/>
      <c r="R911" s="250"/>
      <c r="S911" s="229"/>
      <c r="T911" s="131"/>
      <c r="U911" s="131"/>
      <c r="V911" s="250"/>
      <c r="W911" s="229"/>
      <c r="X911" s="131"/>
      <c r="Z911" s="228"/>
      <c r="AL911" s="53"/>
      <c r="AM911" s="53"/>
      <c r="AN911" s="53"/>
      <c r="AO911" s="53"/>
      <c r="AP911" s="53"/>
      <c r="AQ911" s="53"/>
      <c r="AR911" s="53"/>
      <c r="AS911" s="53"/>
    </row>
    <row r="912" spans="1:48">
      <c r="A912" s="231" t="s">
        <v>222</v>
      </c>
      <c r="B912" s="169"/>
      <c r="C912" s="227">
        <f>C931+C1100</f>
        <v>846205772.82823956</v>
      </c>
      <c r="D912" s="344"/>
      <c r="E912" s="229"/>
      <c r="F912" s="131">
        <f>F931+F1100</f>
        <v>35623151</v>
      </c>
      <c r="G912" s="344"/>
      <c r="H912" s="229"/>
      <c r="I912" s="131">
        <f>I931+I1100</f>
        <v>37776458</v>
      </c>
      <c r="J912" s="345"/>
      <c r="K912" s="229"/>
      <c r="L912" s="131">
        <f>L931+L1100</f>
        <v>39002296</v>
      </c>
      <c r="M912" s="131"/>
      <c r="N912" s="345"/>
      <c r="O912" s="229"/>
      <c r="P912" s="131">
        <f>P931+P1100</f>
        <v>0</v>
      </c>
      <c r="Q912" s="131"/>
      <c r="R912" s="345"/>
      <c r="S912" s="229"/>
      <c r="T912" s="131">
        <f>T931+T1100</f>
        <v>7728091.341280085</v>
      </c>
      <c r="U912" s="131"/>
      <c r="V912" s="345"/>
      <c r="W912" s="229"/>
      <c r="X912" s="131">
        <f>X931+X1100</f>
        <v>31274204.658719912</v>
      </c>
      <c r="Z912" s="63" t="s">
        <v>0</v>
      </c>
      <c r="AL912" s="53"/>
      <c r="AM912" s="53"/>
      <c r="AN912" s="53"/>
      <c r="AO912" s="53"/>
      <c r="AP912" s="53"/>
      <c r="AQ912" s="53"/>
      <c r="AR912" s="53"/>
      <c r="AS912" s="53"/>
    </row>
    <row r="913" spans="1:47">
      <c r="A913" s="231" t="s">
        <v>152</v>
      </c>
      <c r="B913" s="169"/>
      <c r="C913" s="227">
        <f>C932+C1101</f>
        <v>365869.4545454543</v>
      </c>
      <c r="D913" s="250"/>
      <c r="E913" s="229"/>
      <c r="F913" s="131">
        <f>F932+F1101</f>
        <v>197389</v>
      </c>
      <c r="G913" s="250"/>
      <c r="H913" s="229"/>
      <c r="I913" s="131">
        <f>I932+I1101</f>
        <v>197389</v>
      </c>
      <c r="J913" s="250"/>
      <c r="K913" s="229"/>
      <c r="L913" s="131">
        <f>L932+L1101</f>
        <v>197389</v>
      </c>
      <c r="M913" s="131"/>
      <c r="N913" s="250"/>
      <c r="O913" s="229"/>
      <c r="P913" s="131">
        <f>P932+P1101</f>
        <v>0</v>
      </c>
      <c r="Q913" s="131"/>
      <c r="R913" s="250"/>
      <c r="S913" s="229"/>
      <c r="T913" s="131">
        <f>T932+T1101</f>
        <v>39112.477412477907</v>
      </c>
      <c r="U913" s="131"/>
      <c r="V913" s="250"/>
      <c r="W913" s="229"/>
      <c r="X913" s="131">
        <f>X932+X1101</f>
        <v>158276.52258752211</v>
      </c>
      <c r="Y913" s="228"/>
      <c r="Z913" s="63" t="s">
        <v>0</v>
      </c>
      <c r="AL913" s="53"/>
      <c r="AM913" s="53"/>
      <c r="AN913" s="53"/>
      <c r="AO913" s="53"/>
      <c r="AP913" s="53"/>
      <c r="AQ913" s="53"/>
      <c r="AR913" s="53"/>
      <c r="AS913" s="53"/>
    </row>
    <row r="914" spans="1:47" s="141" customFormat="1" hidden="1">
      <c r="A914" s="140" t="s">
        <v>223</v>
      </c>
      <c r="C914" s="239">
        <f>C934+C1117</f>
        <v>390931772.82823956</v>
      </c>
      <c r="D914" s="138"/>
      <c r="E914" s="143"/>
      <c r="F914" s="144"/>
      <c r="G914" s="138"/>
      <c r="H914" s="143"/>
      <c r="I914" s="144"/>
      <c r="J914" s="130"/>
      <c r="K914" s="143"/>
      <c r="L914" s="144">
        <f>L934+L1117</f>
        <v>27239804</v>
      </c>
      <c r="M914" s="144"/>
      <c r="N914" s="130"/>
      <c r="O914" s="143"/>
      <c r="P914" s="144">
        <f>P934+P1117</f>
        <v>2987677.7542333864</v>
      </c>
      <c r="Q914" s="144"/>
      <c r="R914" s="130"/>
      <c r="S914" s="143"/>
      <c r="T914" s="144">
        <f>T934+T1117</f>
        <v>4806897.0472820261</v>
      </c>
      <c r="U914" s="144"/>
      <c r="V914" s="130"/>
      <c r="W914" s="143"/>
      <c r="X914" s="144">
        <f>X934+X1117</f>
        <v>19445229.198484585</v>
      </c>
      <c r="Z914" s="132"/>
      <c r="AC914" s="148"/>
      <c r="AD914" s="148"/>
      <c r="AI914" s="143"/>
      <c r="AJ914" s="143"/>
      <c r="AK914" s="143"/>
      <c r="AL914" s="143"/>
      <c r="AM914" s="143"/>
      <c r="AN914" s="143"/>
      <c r="AO914" s="143"/>
      <c r="AP914" s="143"/>
      <c r="AQ914" s="143"/>
      <c r="AR914" s="143"/>
      <c r="AS914" s="143"/>
      <c r="AU914" s="147"/>
    </row>
    <row r="915" spans="1:47">
      <c r="A915" s="169" t="s">
        <v>133</v>
      </c>
      <c r="B915" s="169"/>
      <c r="C915" s="227">
        <f>C934+C1104</f>
        <v>846205772.82823956</v>
      </c>
      <c r="D915" s="232"/>
      <c r="E915" s="131"/>
      <c r="F915" s="131">
        <f>F934+F1104</f>
        <v>49035844</v>
      </c>
      <c r="G915" s="232"/>
      <c r="H915" s="169"/>
      <c r="I915" s="131">
        <f>I934+I1104</f>
        <v>51836391</v>
      </c>
      <c r="J915" s="131"/>
      <c r="K915" s="169"/>
      <c r="L915" s="131">
        <f>L934+L1104</f>
        <v>53539362</v>
      </c>
      <c r="M915" s="131"/>
      <c r="N915" s="131"/>
      <c r="O915" s="169"/>
      <c r="P915" s="131">
        <f>P934+P1104</f>
        <v>3932929.1474816985</v>
      </c>
      <c r="Q915" s="131"/>
      <c r="R915" s="131"/>
      <c r="S915" s="169"/>
      <c r="T915" s="131">
        <f>T934+T1104</f>
        <v>9829369.6608706731</v>
      </c>
      <c r="U915" s="131"/>
      <c r="V915" s="131"/>
      <c r="W915" s="169"/>
      <c r="X915" s="131">
        <f>X934+X1104</f>
        <v>39777063.191647626</v>
      </c>
      <c r="AL915" s="53"/>
      <c r="AM915" s="53"/>
      <c r="AN915" s="53"/>
      <c r="AO915" s="53"/>
      <c r="AP915" s="53"/>
      <c r="AQ915" s="53"/>
      <c r="AR915" s="53"/>
      <c r="AS915" s="53"/>
    </row>
    <row r="916" spans="1:47">
      <c r="A916" s="169" t="s">
        <v>111</v>
      </c>
      <c r="B916" s="169"/>
      <c r="C916" s="253">
        <f>C935+C1105</f>
        <v>-11321735.570943061</v>
      </c>
      <c r="D916" s="154"/>
      <c r="E916" s="154"/>
      <c r="F916" s="342">
        <f>I916</f>
        <v>-860116.38955672784</v>
      </c>
      <c r="G916" s="154"/>
      <c r="H916" s="154"/>
      <c r="I916" s="342">
        <f>I935+I1105</f>
        <v>-860116.38955672784</v>
      </c>
      <c r="J916" s="154"/>
      <c r="K916" s="154"/>
      <c r="L916" s="342">
        <f>L935+L1105</f>
        <v>-860116.38955672784</v>
      </c>
      <c r="M916" s="153"/>
      <c r="N916" s="154"/>
      <c r="O916" s="154"/>
      <c r="P916" s="342">
        <f>P935+P1105</f>
        <v>-55597.249040667724</v>
      </c>
      <c r="Q916" s="153"/>
      <c r="R916" s="154"/>
      <c r="S916" s="154"/>
      <c r="T916" s="342">
        <f>T935+T1105</f>
        <v>-159402.28236072976</v>
      </c>
      <c r="U916" s="153"/>
      <c r="V916" s="154"/>
      <c r="W916" s="154"/>
      <c r="X916" s="342">
        <f>X935+X1105</f>
        <v>-645116.85815533053</v>
      </c>
      <c r="AC916" s="174"/>
      <c r="AD916" s="174"/>
      <c r="AL916" s="53"/>
      <c r="AM916" s="53"/>
      <c r="AN916" s="53"/>
      <c r="AO916" s="53"/>
      <c r="AP916" s="53"/>
      <c r="AQ916" s="53"/>
      <c r="AR916" s="53"/>
      <c r="AS916" s="53"/>
    </row>
    <row r="917" spans="1:47" ht="16.5" thickBot="1">
      <c r="A917" s="169" t="s">
        <v>134</v>
      </c>
      <c r="B917" s="169"/>
      <c r="C917" s="346">
        <f>SUM(C915:C916)</f>
        <v>834884037.25729644</v>
      </c>
      <c r="D917" s="272"/>
      <c r="E917" s="256"/>
      <c r="F917" s="347">
        <f>F915+F916</f>
        <v>48175727.610443272</v>
      </c>
      <c r="G917" s="272"/>
      <c r="H917" s="258"/>
      <c r="I917" s="347">
        <f>I915+I916</f>
        <v>50976274.610443272</v>
      </c>
      <c r="J917" s="272"/>
      <c r="K917" s="258"/>
      <c r="L917" s="347">
        <f>L915+L916</f>
        <v>52679245.610443272</v>
      </c>
      <c r="M917" s="153"/>
      <c r="N917" s="272"/>
      <c r="O917" s="258"/>
      <c r="P917" s="347">
        <f>P915+P916</f>
        <v>3877331.8984410306</v>
      </c>
      <c r="Q917" s="153"/>
      <c r="R917" s="272"/>
      <c r="S917" s="258"/>
      <c r="T917" s="347">
        <f>T915+T916</f>
        <v>9669967.3785099424</v>
      </c>
      <c r="U917" s="153"/>
      <c r="V917" s="272"/>
      <c r="W917" s="258"/>
      <c r="X917" s="347">
        <f>X915+X916</f>
        <v>39131946.333492294</v>
      </c>
      <c r="Y917" s="159" t="s">
        <v>113</v>
      </c>
      <c r="Z917" s="160">
        <v>52981782.901225731</v>
      </c>
      <c r="AA917" s="161">
        <v>3.3419810064509205E-2</v>
      </c>
      <c r="AB917" s="162"/>
      <c r="AL917" s="53"/>
      <c r="AM917" s="53"/>
      <c r="AN917" s="53"/>
      <c r="AO917" s="53"/>
      <c r="AP917" s="53"/>
      <c r="AQ917" s="53"/>
      <c r="AR917" s="53"/>
      <c r="AS917" s="53"/>
    </row>
    <row r="918" spans="1:47" ht="16.5" thickTop="1">
      <c r="A918" s="169"/>
      <c r="B918" s="169"/>
      <c r="C918" s="189"/>
      <c r="D918" s="250" t="s">
        <v>0</v>
      </c>
      <c r="E918" s="131"/>
      <c r="F918" s="131"/>
      <c r="G918" s="250" t="s">
        <v>0</v>
      </c>
      <c r="H918" s="169"/>
      <c r="I918" s="131"/>
      <c r="J918" s="277" t="s">
        <v>0</v>
      </c>
      <c r="K918" s="169"/>
      <c r="L918" s="131" t="s">
        <v>0</v>
      </c>
      <c r="M918" s="131"/>
      <c r="N918" s="277" t="s">
        <v>0</v>
      </c>
      <c r="O918" s="169"/>
      <c r="P918" s="131" t="s">
        <v>0</v>
      </c>
      <c r="Q918" s="131"/>
      <c r="R918" s="277" t="s">
        <v>0</v>
      </c>
      <c r="S918" s="169"/>
      <c r="T918" s="131" t="s">
        <v>0</v>
      </c>
      <c r="U918" s="131"/>
      <c r="V918" s="277" t="s">
        <v>0</v>
      </c>
      <c r="W918" s="169"/>
      <c r="X918" s="131" t="s">
        <v>0</v>
      </c>
      <c r="Y918" s="170" t="s">
        <v>115</v>
      </c>
      <c r="Z918" s="171">
        <f>Z917-L917-L899</f>
        <v>522.27797967253719</v>
      </c>
      <c r="AA918" s="310" t="s">
        <v>0</v>
      </c>
      <c r="AB918" s="268"/>
      <c r="AL918" s="53"/>
      <c r="AM918" s="53"/>
      <c r="AN918" s="53"/>
      <c r="AO918" s="53"/>
      <c r="AP918" s="53"/>
      <c r="AQ918" s="53"/>
      <c r="AR918" s="53"/>
      <c r="AS918" s="53"/>
    </row>
    <row r="919" spans="1:47">
      <c r="A919" s="169"/>
      <c r="B919" s="169"/>
      <c r="C919" s="189"/>
      <c r="D919" s="250"/>
      <c r="E919" s="131"/>
      <c r="F919" s="131"/>
      <c r="G919" s="250"/>
      <c r="H919" s="169"/>
      <c r="I919" s="131" t="s">
        <v>0</v>
      </c>
      <c r="J919" s="250"/>
      <c r="K919" s="169"/>
      <c r="L919" s="273"/>
      <c r="M919" s="273"/>
      <c r="N919" s="250"/>
      <c r="O919" s="169"/>
      <c r="P919" s="273"/>
      <c r="Q919" s="273"/>
      <c r="R919" s="250"/>
      <c r="S919" s="169"/>
      <c r="T919" s="273"/>
      <c r="U919" s="273"/>
      <c r="V919" s="250"/>
      <c r="W919" s="169"/>
      <c r="X919" s="273"/>
      <c r="AA919" s="110"/>
      <c r="AB919" s="110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</row>
    <row r="920" spans="1:47">
      <c r="A920" s="188" t="s">
        <v>235</v>
      </c>
      <c r="B920" s="169"/>
      <c r="C920" s="169"/>
      <c r="D920" s="131"/>
      <c r="E920" s="131"/>
      <c r="F920" s="169"/>
      <c r="G920" s="131"/>
      <c r="H920" s="169"/>
      <c r="I920" s="169"/>
      <c r="J920" s="131"/>
      <c r="K920" s="169"/>
      <c r="L920" s="169"/>
      <c r="M920" s="169"/>
      <c r="N920" s="131"/>
      <c r="O920" s="169"/>
      <c r="P920" s="169"/>
      <c r="Q920" s="169"/>
      <c r="R920" s="131"/>
      <c r="S920" s="169"/>
      <c r="T920" s="169"/>
      <c r="U920" s="169"/>
      <c r="V920" s="131"/>
      <c r="W920" s="169"/>
      <c r="X920" s="169"/>
      <c r="Y920" s="166"/>
      <c r="Z920" s="110"/>
      <c r="AA920" s="110"/>
      <c r="AB920" s="110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</row>
    <row r="921" spans="1:47">
      <c r="A921" s="154" t="s">
        <v>237</v>
      </c>
      <c r="B921" s="169"/>
      <c r="C921" s="169"/>
      <c r="D921" s="131"/>
      <c r="E921" s="131"/>
      <c r="F921" s="169"/>
      <c r="G921" s="131"/>
      <c r="H921" s="169"/>
      <c r="I921" s="169"/>
      <c r="J921" s="131"/>
      <c r="K921" s="169"/>
      <c r="L921" s="169"/>
      <c r="M921" s="169"/>
      <c r="N921" s="131"/>
      <c r="O921" s="169"/>
      <c r="P921" s="169"/>
      <c r="Q921" s="169"/>
      <c r="R921" s="131"/>
      <c r="S921" s="169"/>
      <c r="T921" s="169"/>
      <c r="U921" s="169"/>
      <c r="V921" s="131"/>
      <c r="W921" s="169"/>
      <c r="X921" s="169"/>
      <c r="Y921" s="53"/>
      <c r="AA921" s="110"/>
      <c r="AB921" s="110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</row>
    <row r="922" spans="1:47">
      <c r="A922" s="231"/>
      <c r="B922" s="169"/>
      <c r="C922" s="169"/>
      <c r="D922" s="131"/>
      <c r="E922" s="131"/>
      <c r="F922" s="169"/>
      <c r="G922" s="131"/>
      <c r="H922" s="169"/>
      <c r="I922" s="169"/>
      <c r="J922" s="131"/>
      <c r="K922" s="169"/>
      <c r="L922" s="169"/>
      <c r="M922" s="169"/>
      <c r="N922" s="131"/>
      <c r="O922" s="169"/>
      <c r="P922" s="169"/>
      <c r="Q922" s="169"/>
      <c r="R922" s="131"/>
      <c r="S922" s="169"/>
      <c r="T922" s="169"/>
      <c r="U922" s="169"/>
      <c r="V922" s="131"/>
      <c r="W922" s="169"/>
      <c r="X922" s="169"/>
      <c r="Y922" s="53"/>
      <c r="Z922" s="110"/>
      <c r="AA922" s="110"/>
      <c r="AB922" s="110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</row>
    <row r="923" spans="1:47">
      <c r="A923" s="231" t="s">
        <v>146</v>
      </c>
      <c r="B923" s="169"/>
      <c r="C923" s="227"/>
      <c r="D923" s="131"/>
      <c r="E923" s="131"/>
      <c r="F923" s="169"/>
      <c r="G923" s="131"/>
      <c r="H923" s="169"/>
      <c r="I923" s="169"/>
      <c r="J923" s="131"/>
      <c r="K923" s="169"/>
      <c r="L923" s="169"/>
      <c r="M923" s="169"/>
      <c r="N923" s="131"/>
      <c r="O923" s="169"/>
      <c r="P923" s="169"/>
      <c r="Q923" s="169"/>
      <c r="R923" s="131"/>
      <c r="S923" s="169"/>
      <c r="T923" s="169"/>
      <c r="U923" s="169"/>
      <c r="V923" s="131"/>
      <c r="W923" s="169"/>
      <c r="X923" s="169"/>
      <c r="AA923" s="53"/>
      <c r="AB923" s="53"/>
      <c r="AC923" s="117" t="s">
        <v>0</v>
      </c>
      <c r="AK923" s="348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</row>
    <row r="924" spans="1:47">
      <c r="A924" s="231" t="s">
        <v>231</v>
      </c>
      <c r="B924" s="169"/>
      <c r="C924" s="227">
        <f>C942+C999</f>
        <v>732.15151515151501</v>
      </c>
      <c r="D924" s="349"/>
      <c r="E924" s="250"/>
      <c r="F924" s="131">
        <f>F1056+F1075</f>
        <v>1019061</v>
      </c>
      <c r="G924" s="349"/>
      <c r="H924" s="229"/>
      <c r="I924" s="229">
        <f>I942+I999</f>
        <v>1019061</v>
      </c>
      <c r="K924" s="229"/>
      <c r="L924" s="229">
        <f>L942+L999</f>
        <v>1019061</v>
      </c>
      <c r="M924" s="131"/>
      <c r="O924" s="229"/>
      <c r="P924" s="229">
        <f>P942+P999</f>
        <v>1019061</v>
      </c>
      <c r="Q924" s="131"/>
      <c r="S924" s="229"/>
      <c r="T924" s="229">
        <f>T942+T999</f>
        <v>0</v>
      </c>
      <c r="U924" s="131"/>
      <c r="W924" s="229"/>
      <c r="X924" s="229">
        <f>X942+X999</f>
        <v>0</v>
      </c>
      <c r="Z924" s="250">
        <f>J962</f>
        <v>1386</v>
      </c>
      <c r="AA924" s="63">
        <f>(Z924-G942)/G942</f>
        <v>0</v>
      </c>
      <c r="AB924" s="63"/>
      <c r="AE924" s="198"/>
      <c r="AF924" s="93"/>
      <c r="AG924" s="198"/>
      <c r="AH924" s="93"/>
      <c r="AI924" s="198"/>
      <c r="AJ924" s="198"/>
      <c r="AK924" s="350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</row>
    <row r="925" spans="1:47">
      <c r="A925" s="231" t="s">
        <v>232</v>
      </c>
      <c r="B925" s="169"/>
      <c r="C925" s="227">
        <f>C943+C1000</f>
        <v>0</v>
      </c>
      <c r="D925" s="349"/>
      <c r="E925" s="250"/>
      <c r="F925" s="131">
        <f>F1057+F1076</f>
        <v>0</v>
      </c>
      <c r="G925" s="349"/>
      <c r="H925" s="232"/>
      <c r="I925" s="229">
        <f>I943+I1000</f>
        <v>0</v>
      </c>
      <c r="K925" s="232"/>
      <c r="L925" s="229">
        <f>L943+L1000</f>
        <v>0</v>
      </c>
      <c r="M925" s="131"/>
      <c r="O925" s="232"/>
      <c r="P925" s="229">
        <f>P943+P1000</f>
        <v>0</v>
      </c>
      <c r="Q925" s="131"/>
      <c r="S925" s="232"/>
      <c r="T925" s="229">
        <f>T943+T1000</f>
        <v>0</v>
      </c>
      <c r="U925" s="131"/>
      <c r="W925" s="232"/>
      <c r="X925" s="229">
        <f>X943+X1000</f>
        <v>0</v>
      </c>
      <c r="Z925" s="250">
        <f>J963</f>
        <v>1675</v>
      </c>
      <c r="AA925" s="63">
        <f>(Z925-G943)/G943</f>
        <v>0</v>
      </c>
      <c r="AB925" s="63"/>
      <c r="AE925" s="198"/>
      <c r="AF925" s="93"/>
      <c r="AG925" s="198"/>
      <c r="AH925" s="93"/>
      <c r="AI925" s="198"/>
      <c r="AJ925" s="198"/>
      <c r="AK925" s="350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</row>
    <row r="926" spans="1:47">
      <c r="A926" s="231" t="s">
        <v>147</v>
      </c>
      <c r="B926" s="169"/>
      <c r="C926" s="227">
        <f t="shared" ref="C926" si="232">C1058+C1077</f>
        <v>732.15151515151501</v>
      </c>
      <c r="D926" s="349"/>
      <c r="E926" s="250"/>
      <c r="F926" s="131"/>
      <c r="G926" s="349"/>
      <c r="H926" s="229"/>
      <c r="I926" s="229">
        <f t="shared" ref="I926" si="233">I1058+I1077</f>
        <v>0</v>
      </c>
      <c r="K926" s="229"/>
      <c r="L926" s="229">
        <f t="shared" ref="L926" si="234">L1058+L1077</f>
        <v>0</v>
      </c>
      <c r="M926" s="131"/>
      <c r="O926" s="229"/>
      <c r="P926" s="229">
        <f t="shared" ref="P926" si="235">P1058+P1077</f>
        <v>0</v>
      </c>
      <c r="Q926" s="131"/>
      <c r="S926" s="229"/>
      <c r="T926" s="229">
        <f t="shared" ref="T926" si="236">T1058+T1077</f>
        <v>0</v>
      </c>
      <c r="U926" s="131"/>
      <c r="W926" s="229"/>
      <c r="X926" s="229">
        <f t="shared" ref="X926" si="237">X1058+X1077</f>
        <v>0</v>
      </c>
      <c r="Z926" s="250" t="s">
        <v>0</v>
      </c>
      <c r="AA926" s="228"/>
      <c r="AB926" s="228"/>
      <c r="AE926" s="198"/>
      <c r="AF926" s="93"/>
      <c r="AG926" s="198"/>
      <c r="AH926" s="93"/>
      <c r="AI926" s="198"/>
      <c r="AJ926" s="198"/>
      <c r="AK926" s="350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</row>
    <row r="927" spans="1:47">
      <c r="A927" s="231" t="s">
        <v>233</v>
      </c>
      <c r="B927" s="169"/>
      <c r="C927" s="227">
        <f>C945+C1002</f>
        <v>1083307.8484848479</v>
      </c>
      <c r="D927" s="349"/>
      <c r="E927" s="250"/>
      <c r="F927" s="131">
        <f>F1059+F1078</f>
        <v>1030814</v>
      </c>
      <c r="G927" s="349"/>
      <c r="H927" s="229"/>
      <c r="I927" s="229">
        <f>I945+I1002</f>
        <v>1030814</v>
      </c>
      <c r="K927" s="229"/>
      <c r="L927" s="229">
        <f>L945+L1002</f>
        <v>1071930</v>
      </c>
      <c r="M927" s="131"/>
      <c r="O927" s="229"/>
      <c r="P927" s="229">
        <f>P945+P1002</f>
        <v>1071930</v>
      </c>
      <c r="Q927" s="131"/>
      <c r="S927" s="229"/>
      <c r="T927" s="229">
        <f>T945+T1002</f>
        <v>0</v>
      </c>
      <c r="U927" s="131"/>
      <c r="W927" s="229"/>
      <c r="X927" s="229">
        <f>X945+X1002</f>
        <v>0</v>
      </c>
      <c r="Z927" s="250">
        <f>J965</f>
        <v>1.1000000000000001</v>
      </c>
      <c r="AA927" s="63">
        <f>(Z927-G945)/G945</f>
        <v>3.7735849056603807E-2</v>
      </c>
      <c r="AB927" s="63"/>
      <c r="AE927" s="198"/>
      <c r="AF927" s="93"/>
      <c r="AG927" s="198"/>
      <c r="AH927" s="93"/>
      <c r="AI927" s="198"/>
      <c r="AJ927" s="198"/>
      <c r="AK927" s="350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</row>
    <row r="928" spans="1:47">
      <c r="A928" s="231" t="s">
        <v>234</v>
      </c>
      <c r="B928" s="169"/>
      <c r="C928" s="227">
        <f>C946+C1003</f>
        <v>0</v>
      </c>
      <c r="D928" s="349"/>
      <c r="E928" s="250"/>
      <c r="F928" s="131">
        <f>F1060+F1079</f>
        <v>0</v>
      </c>
      <c r="G928" s="349"/>
      <c r="H928" s="229"/>
      <c r="I928" s="229">
        <f>I946+I1003</f>
        <v>0</v>
      </c>
      <c r="K928" s="229"/>
      <c r="L928" s="229">
        <f>L946+L1003</f>
        <v>0</v>
      </c>
      <c r="M928" s="131"/>
      <c r="O928" s="229"/>
      <c r="P928" s="229">
        <f>P946+P1003</f>
        <v>0</v>
      </c>
      <c r="Q928" s="131"/>
      <c r="S928" s="229"/>
      <c r="T928" s="229">
        <f>T946+T1003</f>
        <v>0</v>
      </c>
      <c r="U928" s="131"/>
      <c r="W928" s="229"/>
      <c r="X928" s="229">
        <f>X946+X1003</f>
        <v>0</v>
      </c>
      <c r="Z928" s="250">
        <f>J966</f>
        <v>0.99</v>
      </c>
      <c r="AA928" s="63">
        <f>(Z928-G946)/G946</f>
        <v>3.1250000000000028E-2</v>
      </c>
      <c r="AB928" s="63"/>
      <c r="AE928" s="198"/>
      <c r="AF928" s="93"/>
      <c r="AG928" s="198"/>
      <c r="AH928" s="93"/>
      <c r="AI928" s="198"/>
      <c r="AJ928" s="198"/>
      <c r="AK928" s="350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</row>
    <row r="929" spans="1:47">
      <c r="A929" s="154" t="s">
        <v>161</v>
      </c>
      <c r="B929" s="169"/>
      <c r="C929" s="227">
        <f>C947+C1004</f>
        <v>879355.30303030403</v>
      </c>
      <c r="D929" s="231"/>
      <c r="E929" s="227">
        <f>E1061+E1080</f>
        <v>0</v>
      </c>
      <c r="F929" s="227">
        <f>F1061+F1080</f>
        <v>6237860</v>
      </c>
      <c r="G929" s="349"/>
      <c r="H929" s="229"/>
      <c r="I929" s="229">
        <f>I947+I1004</f>
        <v>6612421</v>
      </c>
      <c r="K929" s="229"/>
      <c r="L929" s="229">
        <f>L947+L1004</f>
        <v>6856860</v>
      </c>
      <c r="M929" s="131"/>
      <c r="O929" s="229"/>
      <c r="P929" s="229">
        <f>P947+P1004</f>
        <v>896686.7542333866</v>
      </c>
      <c r="Q929" s="131"/>
      <c r="S929" s="229"/>
      <c r="T929" s="229">
        <f>T947+T1004</f>
        <v>1181337.2108503659</v>
      </c>
      <c r="U929" s="131"/>
      <c r="W929" s="229"/>
      <c r="X929" s="229">
        <f>X947+X1004</f>
        <v>4778836.0349162482</v>
      </c>
      <c r="Z929" s="250">
        <f>J967</f>
        <v>7.83</v>
      </c>
      <c r="AA929" s="63">
        <f>(Z929-G947)/G947</f>
        <v>3.7086092715231819E-2</v>
      </c>
      <c r="AB929" s="63"/>
      <c r="AD929" s="110"/>
      <c r="AE929" s="351"/>
      <c r="AF929" s="350"/>
      <c r="AG929" s="351"/>
      <c r="AH929" s="350"/>
      <c r="AI929" s="351"/>
      <c r="AJ929" s="110"/>
      <c r="AK929" s="350"/>
      <c r="AL929" s="53"/>
      <c r="AM929" s="53"/>
      <c r="AN929" s="53"/>
      <c r="AO929" s="53"/>
      <c r="AP929" s="53"/>
      <c r="AQ929" s="53"/>
      <c r="AR929" s="53"/>
      <c r="AS929" s="53"/>
    </row>
    <row r="930" spans="1:47">
      <c r="A930" s="231" t="s">
        <v>183</v>
      </c>
      <c r="B930" s="169"/>
      <c r="C930" s="334" t="s">
        <v>0</v>
      </c>
      <c r="D930" s="349"/>
      <c r="E930" s="250"/>
      <c r="F930" s="131"/>
      <c r="G930" s="349"/>
      <c r="H930" s="229"/>
      <c r="I930" s="323" t="s">
        <v>0</v>
      </c>
      <c r="K930" s="229"/>
      <c r="L930" s="323" t="s">
        <v>0</v>
      </c>
      <c r="M930" s="131"/>
      <c r="O930" s="229"/>
      <c r="P930" s="323" t="s">
        <v>0</v>
      </c>
      <c r="Q930" s="131"/>
      <c r="S930" s="229"/>
      <c r="T930" s="323" t="s">
        <v>0</v>
      </c>
      <c r="U930" s="131"/>
      <c r="W930" s="229"/>
      <c r="X930" s="323" t="s">
        <v>0</v>
      </c>
      <c r="Z930" s="250" t="s">
        <v>0</v>
      </c>
      <c r="AA930" s="228"/>
      <c r="AB930" s="228"/>
      <c r="AD930" s="110"/>
      <c r="AE930" s="53"/>
      <c r="AF930" s="53"/>
      <c r="AG930" s="166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</row>
    <row r="931" spans="1:47">
      <c r="A931" s="231" t="s">
        <v>222</v>
      </c>
      <c r="B931" s="169"/>
      <c r="C931" s="227">
        <f>C949+C1006</f>
        <v>390931772.82823956</v>
      </c>
      <c r="D931" s="349"/>
      <c r="E931" s="229"/>
      <c r="F931" s="131">
        <f>F1063+F1082</f>
        <v>16560829</v>
      </c>
      <c r="G931" s="349"/>
      <c r="H931" s="229"/>
      <c r="I931" s="229">
        <f>I949+I1006</f>
        <v>17607820</v>
      </c>
      <c r="K931" s="229"/>
      <c r="L931" s="229">
        <f>L949+L1006</f>
        <v>18191721</v>
      </c>
      <c r="M931" s="131"/>
      <c r="O931" s="229"/>
      <c r="P931" s="229">
        <f>P949+P1006</f>
        <v>0</v>
      </c>
      <c r="Q931" s="131"/>
      <c r="S931" s="229"/>
      <c r="T931" s="229">
        <f>T949+T1006</f>
        <v>3605693.334832557</v>
      </c>
      <c r="U931" s="131"/>
      <c r="W931" s="229"/>
      <c r="X931" s="229">
        <f>X949+X1006</f>
        <v>14586027.665167443</v>
      </c>
      <c r="Z931" s="345" t="s">
        <v>0</v>
      </c>
      <c r="AA931" s="63" t="s">
        <v>0</v>
      </c>
      <c r="AB931" s="63"/>
      <c r="AD931" s="110"/>
      <c r="AE931" s="53"/>
      <c r="AF931" s="53"/>
      <c r="AG931" s="351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</row>
    <row r="932" spans="1:47">
      <c r="A932" s="231" t="s">
        <v>152</v>
      </c>
      <c r="B932" s="169"/>
      <c r="C932" s="227">
        <f>C950+C1007</f>
        <v>182554.4545454543</v>
      </c>
      <c r="D932" s="349"/>
      <c r="E932" s="229"/>
      <c r="F932" s="131">
        <f>F1064+F1083</f>
        <v>100232</v>
      </c>
      <c r="G932" s="349"/>
      <c r="H932" s="229"/>
      <c r="I932" s="229">
        <f>I950+I1007</f>
        <v>100232</v>
      </c>
      <c r="K932" s="229"/>
      <c r="L932" s="229">
        <f>L950+L1007</f>
        <v>100232</v>
      </c>
      <c r="M932" s="131"/>
      <c r="O932" s="229"/>
      <c r="P932" s="229">
        <f>P950+P1007</f>
        <v>0</v>
      </c>
      <c r="Q932" s="131"/>
      <c r="S932" s="229"/>
      <c r="T932" s="229">
        <f>T950+T1007</f>
        <v>19866.501599103092</v>
      </c>
      <c r="U932" s="131"/>
      <c r="W932" s="229"/>
      <c r="X932" s="229">
        <f>X950+X1007</f>
        <v>80365.498400896904</v>
      </c>
      <c r="Z932" s="250">
        <f>J950</f>
        <v>0.55000000000000004</v>
      </c>
      <c r="AA932" s="63">
        <f>(Z932-G950)/G950</f>
        <v>0</v>
      </c>
      <c r="AB932" s="63"/>
      <c r="AD932" s="110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</row>
    <row r="933" spans="1:47" s="141" customFormat="1" hidden="1">
      <c r="A933" s="140" t="s">
        <v>223</v>
      </c>
      <c r="C933" s="227">
        <f>C951+C1008</f>
        <v>390931772.82823956</v>
      </c>
      <c r="D933" s="138"/>
      <c r="E933" s="143"/>
      <c r="F933" s="144"/>
      <c r="G933" s="138"/>
      <c r="H933" s="143"/>
      <c r="I933" s="229">
        <f>I951+I1008</f>
        <v>0</v>
      </c>
      <c r="J933" s="130"/>
      <c r="K933" s="143"/>
      <c r="L933" s="229">
        <f>L951+L1008</f>
        <v>0</v>
      </c>
      <c r="M933" s="144"/>
      <c r="N933" s="130"/>
      <c r="O933" s="143"/>
      <c r="P933" s="229">
        <f>P951+P1008</f>
        <v>0</v>
      </c>
      <c r="Q933" s="144"/>
      <c r="R933" s="130"/>
      <c r="S933" s="143"/>
      <c r="T933" s="229">
        <f>T951+T1008</f>
        <v>0</v>
      </c>
      <c r="U933" s="144"/>
      <c r="V933" s="130"/>
      <c r="W933" s="143"/>
      <c r="X933" s="229">
        <f>X951+X1008</f>
        <v>0</v>
      </c>
      <c r="Z933" s="132"/>
      <c r="AC933" s="148"/>
      <c r="AD933" s="148"/>
      <c r="AI933" s="143"/>
      <c r="AJ933" s="143"/>
      <c r="AK933" s="143"/>
      <c r="AL933" s="143"/>
      <c r="AM933" s="143"/>
      <c r="AN933" s="143"/>
      <c r="AO933" s="143"/>
      <c r="AP933" s="143"/>
      <c r="AQ933" s="143"/>
      <c r="AR933" s="143"/>
      <c r="AS933" s="143"/>
      <c r="AU933" s="147"/>
    </row>
    <row r="934" spans="1:47">
      <c r="A934" s="169" t="s">
        <v>133</v>
      </c>
      <c r="B934" s="169"/>
      <c r="C934" s="227">
        <f>C953+C1010</f>
        <v>390931772.82823956</v>
      </c>
      <c r="D934" s="232"/>
      <c r="E934" s="131"/>
      <c r="F934" s="131">
        <f>F1066+F1085</f>
        <v>24948796</v>
      </c>
      <c r="G934" s="232"/>
      <c r="H934" s="169"/>
      <c r="I934" s="229">
        <f>I953+I1010</f>
        <v>26370348</v>
      </c>
      <c r="J934" s="131"/>
      <c r="K934" s="169"/>
      <c r="L934" s="229">
        <f>L953+L1010</f>
        <v>27239804</v>
      </c>
      <c r="M934" s="131"/>
      <c r="N934" s="131"/>
      <c r="O934" s="169"/>
      <c r="P934" s="229">
        <f>P953+P1010</f>
        <v>2987677.7542333864</v>
      </c>
      <c r="Q934" s="131"/>
      <c r="R934" s="131"/>
      <c r="S934" s="169"/>
      <c r="T934" s="229">
        <f>T953+T1010</f>
        <v>4806897.0472820261</v>
      </c>
      <c r="U934" s="131"/>
      <c r="V934" s="131"/>
      <c r="W934" s="169"/>
      <c r="X934" s="229">
        <f>X953+X1010</f>
        <v>19445229.198484585</v>
      </c>
      <c r="Y934" s="53"/>
      <c r="AA934" s="110"/>
      <c r="AB934" s="110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</row>
    <row r="935" spans="1:47">
      <c r="A935" s="169" t="s">
        <v>111</v>
      </c>
      <c r="B935" s="169"/>
      <c r="C935" s="213">
        <f>C954+C1011</f>
        <v>-4029366.0878516054</v>
      </c>
      <c r="D935" s="154"/>
      <c r="E935" s="154"/>
      <c r="F935" s="342">
        <f>I935</f>
        <v>-334737.78451534611</v>
      </c>
      <c r="G935" s="154"/>
      <c r="H935" s="154"/>
      <c r="I935" s="342">
        <f>I954+I1011</f>
        <v>-334737.78451534611</v>
      </c>
      <c r="J935" s="154"/>
      <c r="K935" s="154"/>
      <c r="L935" s="342">
        <f>L954+L1011</f>
        <v>-334737.78451534611</v>
      </c>
      <c r="M935" s="153"/>
      <c r="N935" s="154"/>
      <c r="O935" s="154"/>
      <c r="P935" s="342">
        <f>P954+P1011</f>
        <v>-36714.237455521659</v>
      </c>
      <c r="Q935" s="153"/>
      <c r="R935" s="154"/>
      <c r="S935" s="154"/>
      <c r="T935" s="342">
        <f>T954+T1011</f>
        <v>-59069.810781331093</v>
      </c>
      <c r="U935" s="153"/>
      <c r="V935" s="154"/>
      <c r="W935" s="154"/>
      <c r="X935" s="342">
        <f>X954+X1011</f>
        <v>-238953.73627849339</v>
      </c>
      <c r="Y935" s="185"/>
      <c r="Z935" s="183"/>
      <c r="AA935" s="110"/>
      <c r="AB935" s="110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</row>
    <row r="936" spans="1:47" ht="16.5" thickBot="1">
      <c r="A936" s="169" t="s">
        <v>134</v>
      </c>
      <c r="B936" s="169"/>
      <c r="C936" s="352">
        <f>C955+C1012</f>
        <v>386902406.74038792</v>
      </c>
      <c r="D936" s="272"/>
      <c r="E936" s="256"/>
      <c r="F936" s="353">
        <f>F1068+F1087</f>
        <v>24614058.215484656</v>
      </c>
      <c r="G936" s="272"/>
      <c r="H936" s="258"/>
      <c r="I936" s="353">
        <f>I955+I1012</f>
        <v>26035610.215484656</v>
      </c>
      <c r="J936" s="272"/>
      <c r="K936" s="258"/>
      <c r="L936" s="353">
        <f>L955+L1012</f>
        <v>26905066.215484656</v>
      </c>
      <c r="M936" s="153"/>
      <c r="N936" s="272"/>
      <c r="O936" s="258"/>
      <c r="P936" s="353">
        <f>P955+P1012</f>
        <v>2950963.5167778647</v>
      </c>
      <c r="Q936" s="153"/>
      <c r="R936" s="272"/>
      <c r="S936" s="258"/>
      <c r="T936" s="353">
        <f>T955+T1012</f>
        <v>4747827.2365006944</v>
      </c>
      <c r="U936" s="153"/>
      <c r="V936" s="272"/>
      <c r="W936" s="258"/>
      <c r="X936" s="353">
        <f>X955+X1012</f>
        <v>19206275.462206092</v>
      </c>
      <c r="Y936" s="159" t="s">
        <v>113</v>
      </c>
      <c r="Z936" s="160">
        <v>27207606.239304926</v>
      </c>
      <c r="AA936" s="161">
        <v>-0.37728018993549078</v>
      </c>
      <c r="AB936" s="162"/>
      <c r="AC936" s="117" t="s">
        <v>238</v>
      </c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</row>
    <row r="937" spans="1:47" ht="16.5" thickTop="1">
      <c r="A937" s="169"/>
      <c r="B937" s="169"/>
      <c r="C937" s="164"/>
      <c r="D937" s="276"/>
      <c r="E937" s="263"/>
      <c r="F937" s="153"/>
      <c r="G937" s="276"/>
      <c r="H937" s="264"/>
      <c r="I937" s="153"/>
      <c r="J937" s="276"/>
      <c r="K937" s="264"/>
      <c r="L937" s="153"/>
      <c r="M937" s="153"/>
      <c r="N937" s="276"/>
      <c r="O937" s="264"/>
      <c r="P937" s="153"/>
      <c r="Q937" s="153"/>
      <c r="R937" s="276"/>
      <c r="S937" s="264"/>
      <c r="T937" s="153"/>
      <c r="U937" s="153"/>
      <c r="V937" s="276"/>
      <c r="W937" s="264"/>
      <c r="X937" s="153" t="s">
        <v>0</v>
      </c>
      <c r="Y937" s="354" t="s">
        <v>115</v>
      </c>
      <c r="Z937" s="355">
        <f>Z936-L899-L955-L1012</f>
        <v>525.01101748365909</v>
      </c>
      <c r="AA937" s="356"/>
      <c r="AB937" s="110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</row>
    <row r="938" spans="1:47">
      <c r="A938" s="188" t="s">
        <v>235</v>
      </c>
      <c r="B938" s="169"/>
      <c r="C938" s="169"/>
      <c r="D938" s="131"/>
      <c r="E938" s="131"/>
      <c r="F938" s="169"/>
      <c r="G938" s="131"/>
      <c r="H938" s="169"/>
      <c r="I938" s="169"/>
      <c r="J938" s="131"/>
      <c r="K938" s="169"/>
      <c r="N938" s="131"/>
      <c r="O938" s="169"/>
      <c r="R938" s="131"/>
      <c r="S938" s="169"/>
      <c r="V938" s="131"/>
      <c r="W938" s="169"/>
      <c r="AA938" s="110"/>
      <c r="AB938" s="110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</row>
    <row r="939" spans="1:47">
      <c r="A939" s="154" t="s">
        <v>239</v>
      </c>
      <c r="B939" s="169"/>
      <c r="C939" s="169"/>
      <c r="D939" s="131"/>
      <c r="E939" s="131"/>
      <c r="F939" s="169"/>
      <c r="G939" s="131"/>
      <c r="H939" s="169"/>
      <c r="I939" s="169"/>
      <c r="J939" s="131"/>
      <c r="K939" s="169"/>
      <c r="L939" s="169"/>
      <c r="M939" s="169"/>
      <c r="N939" s="131"/>
      <c r="O939" s="169"/>
      <c r="P939" s="169"/>
      <c r="Q939" s="169"/>
      <c r="R939" s="131"/>
      <c r="S939" s="169"/>
      <c r="T939" s="169"/>
      <c r="U939" s="169"/>
      <c r="V939" s="131"/>
      <c r="W939" s="169"/>
      <c r="X939" s="169"/>
      <c r="Y939" s="131">
        <f>L899+L955+L1012</f>
        <v>27207081.228287444</v>
      </c>
      <c r="Z939" s="270" t="s">
        <v>238</v>
      </c>
      <c r="AA939" s="357">
        <f>(Y939-(I936+I899))/(I936+I899)</f>
        <v>3.3399868700274567E-2</v>
      </c>
      <c r="AB939" s="110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</row>
    <row r="940" spans="1:47">
      <c r="A940" s="231"/>
      <c r="B940" s="169"/>
      <c r="C940" s="169"/>
      <c r="D940" s="131"/>
      <c r="E940" s="131"/>
      <c r="F940" s="169"/>
      <c r="G940" s="131"/>
      <c r="H940" s="169"/>
      <c r="I940" s="169"/>
      <c r="J940" s="131"/>
      <c r="K940" s="169"/>
      <c r="L940" s="169"/>
      <c r="M940" s="169"/>
      <c r="N940" s="131"/>
      <c r="O940" s="169"/>
      <c r="P940" s="169"/>
      <c r="Q940" s="169"/>
      <c r="R940" s="131"/>
      <c r="S940" s="169"/>
      <c r="T940" s="169"/>
      <c r="U940" s="169"/>
      <c r="V940" s="131"/>
      <c r="W940" s="169"/>
      <c r="X940" s="169"/>
      <c r="Y940" s="53"/>
      <c r="Z940" s="110"/>
      <c r="AA940" s="110"/>
      <c r="AB940" s="110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</row>
    <row r="941" spans="1:47">
      <c r="A941" s="231" t="s">
        <v>146</v>
      </c>
      <c r="B941" s="169"/>
      <c r="C941" s="227"/>
      <c r="D941" s="131"/>
      <c r="E941" s="131"/>
      <c r="F941" s="169"/>
      <c r="G941" s="131"/>
      <c r="H941" s="169"/>
      <c r="I941" s="169"/>
      <c r="J941" s="131"/>
      <c r="K941" s="169"/>
      <c r="L941" s="169"/>
      <c r="M941" s="169"/>
      <c r="N941" s="131"/>
      <c r="O941" s="169"/>
      <c r="P941" s="169"/>
      <c r="Q941" s="169"/>
      <c r="R941" s="131"/>
      <c r="S941" s="169"/>
      <c r="T941" s="169"/>
      <c r="U941" s="169"/>
      <c r="V941" s="131"/>
      <c r="W941" s="169"/>
      <c r="X941" s="169"/>
      <c r="Y941" s="53"/>
      <c r="Z941" s="110"/>
      <c r="AA941" s="110"/>
      <c r="AB941" s="110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</row>
    <row r="942" spans="1:47">
      <c r="A942" s="231" t="s">
        <v>231</v>
      </c>
      <c r="B942" s="169"/>
      <c r="C942" s="227">
        <f t="shared" ref="C942:C947" si="238">C962+C980</f>
        <v>601.87878787878799</v>
      </c>
      <c r="D942" s="250">
        <v>1386</v>
      </c>
      <c r="E942" s="250"/>
      <c r="F942" s="131">
        <f>ROUND(D942*$C942,0)</f>
        <v>834204</v>
      </c>
      <c r="G942" s="250">
        <v>1386</v>
      </c>
      <c r="H942" s="229"/>
      <c r="I942" s="131">
        <f>ROUND(G942*C942,0)</f>
        <v>834204</v>
      </c>
      <c r="J942" s="250">
        <v>1386</v>
      </c>
      <c r="K942" s="229"/>
      <c r="L942" s="131">
        <f>ROUND(J942*$C942,0)</f>
        <v>834204</v>
      </c>
      <c r="M942" s="131"/>
      <c r="N942" s="250">
        <v>1386</v>
      </c>
      <c r="O942" s="229"/>
      <c r="P942" s="131">
        <v>834204</v>
      </c>
      <c r="Q942" s="131"/>
      <c r="R942" s="250" t="s">
        <v>0</v>
      </c>
      <c r="S942" s="229"/>
      <c r="T942" s="131">
        <v>0</v>
      </c>
      <c r="U942" s="131"/>
      <c r="V942" s="250" t="s">
        <v>0</v>
      </c>
      <c r="W942" s="229"/>
      <c r="X942" s="131">
        <v>0</v>
      </c>
      <c r="Y942" s="358" t="s">
        <v>0</v>
      </c>
      <c r="AA942" s="357">
        <f>(J942-G942)/G942</f>
        <v>0</v>
      </c>
      <c r="AB942" s="162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</row>
    <row r="943" spans="1:47">
      <c r="A943" s="231" t="s">
        <v>232</v>
      </c>
      <c r="B943" s="169"/>
      <c r="C943" s="227">
        <f t="shared" si="238"/>
        <v>0</v>
      </c>
      <c r="D943" s="250">
        <v>1675</v>
      </c>
      <c r="E943" s="250"/>
      <c r="F943" s="131">
        <f>ROUND(D943*$C943,0)</f>
        <v>0</v>
      </c>
      <c r="G943" s="250">
        <v>1675</v>
      </c>
      <c r="H943" s="232"/>
      <c r="I943" s="131">
        <f>ROUND(G943*C943,0)</f>
        <v>0</v>
      </c>
      <c r="J943" s="250">
        <v>1675</v>
      </c>
      <c r="K943" s="232"/>
      <c r="L943" s="131">
        <f>ROUND(J943*$C943,0)</f>
        <v>0</v>
      </c>
      <c r="M943" s="131"/>
      <c r="N943" s="250">
        <v>1675</v>
      </c>
      <c r="O943" s="232"/>
      <c r="P943" s="131">
        <v>0</v>
      </c>
      <c r="Q943" s="131"/>
      <c r="R943" s="250" t="s">
        <v>0</v>
      </c>
      <c r="S943" s="232"/>
      <c r="T943" s="131">
        <v>0</v>
      </c>
      <c r="U943" s="131"/>
      <c r="V943" s="250" t="s">
        <v>0</v>
      </c>
      <c r="W943" s="232"/>
      <c r="X943" s="131">
        <v>0</v>
      </c>
      <c r="Y943" s="53"/>
      <c r="AA943" s="357">
        <f>(J943-G943)/G943</f>
        <v>0</v>
      </c>
      <c r="AB943" s="162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</row>
    <row r="944" spans="1:47">
      <c r="A944" s="231" t="s">
        <v>147</v>
      </c>
      <c r="B944" s="169"/>
      <c r="C944" s="227">
        <f t="shared" si="238"/>
        <v>601.87878787878799</v>
      </c>
      <c r="D944" s="250" t="s">
        <v>0</v>
      </c>
      <c r="E944" s="250"/>
      <c r="F944" s="131" t="s">
        <v>0</v>
      </c>
      <c r="G944" s="250" t="s">
        <v>0</v>
      </c>
      <c r="H944" s="229"/>
      <c r="I944" s="131" t="s">
        <v>0</v>
      </c>
      <c r="J944" s="250" t="s">
        <v>0</v>
      </c>
      <c r="K944" s="229"/>
      <c r="L944" s="131" t="s">
        <v>0</v>
      </c>
      <c r="M944" s="131"/>
      <c r="N944" s="250" t="s">
        <v>0</v>
      </c>
      <c r="O944" s="229"/>
      <c r="P944" s="131" t="s">
        <v>0</v>
      </c>
      <c r="Q944" s="131"/>
      <c r="R944" s="250" t="s">
        <v>0</v>
      </c>
      <c r="S944" s="229"/>
      <c r="T944" s="131" t="s">
        <v>0</v>
      </c>
      <c r="U944" s="131"/>
      <c r="V944" s="250" t="s">
        <v>0</v>
      </c>
      <c r="W944" s="229"/>
      <c r="X944" s="131" t="s">
        <v>0</v>
      </c>
      <c r="Y944" s="53"/>
      <c r="AA944" s="359"/>
      <c r="AB944" s="110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</row>
    <row r="945" spans="1:47">
      <c r="A945" s="231" t="s">
        <v>233</v>
      </c>
      <c r="B945" s="169"/>
      <c r="C945" s="227">
        <f t="shared" si="238"/>
        <v>861624.39393939299</v>
      </c>
      <c r="D945" s="250">
        <v>1.06</v>
      </c>
      <c r="E945" s="250"/>
      <c r="F945" s="131">
        <f>ROUND(D945*$C945,0)</f>
        <v>913322</v>
      </c>
      <c r="G945" s="250">
        <v>1.06</v>
      </c>
      <c r="H945" s="229"/>
      <c r="I945" s="131">
        <f t="shared" ref="I945:I947" si="239">ROUND(G945*C945,0)</f>
        <v>913322</v>
      </c>
      <c r="J945" s="250">
        <v>1.1000000000000001</v>
      </c>
      <c r="K945" s="229"/>
      <c r="L945" s="131">
        <f>ROUND(J945*$C945,0)</f>
        <v>947787</v>
      </c>
      <c r="M945" s="131"/>
      <c r="N945" s="250">
        <v>1.1000000000000001</v>
      </c>
      <c r="O945" s="229"/>
      <c r="P945" s="131">
        <v>947787</v>
      </c>
      <c r="Q945" s="131"/>
      <c r="R945" s="250" t="s">
        <v>0</v>
      </c>
      <c r="S945" s="229"/>
      <c r="T945" s="131">
        <v>0</v>
      </c>
      <c r="U945" s="131"/>
      <c r="V945" s="250" t="s">
        <v>0</v>
      </c>
      <c r="W945" s="229"/>
      <c r="X945" s="131">
        <v>0</v>
      </c>
      <c r="Y945" s="53"/>
      <c r="AA945" s="357">
        <f>(J945-G945)/G945</f>
        <v>3.7735849056603807E-2</v>
      </c>
      <c r="AB945" s="162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</row>
    <row r="946" spans="1:47">
      <c r="A946" s="231" t="s">
        <v>234</v>
      </c>
      <c r="B946" s="169"/>
      <c r="C946" s="227">
        <f t="shared" si="238"/>
        <v>0</v>
      </c>
      <c r="D946" s="250">
        <v>0.96</v>
      </c>
      <c r="E946" s="250"/>
      <c r="F946" s="131">
        <f>ROUND(D946*$C946,0)</f>
        <v>0</v>
      </c>
      <c r="G946" s="250">
        <v>0.96</v>
      </c>
      <c r="H946" s="229"/>
      <c r="I946" s="131">
        <f t="shared" si="239"/>
        <v>0</v>
      </c>
      <c r="J946" s="250">
        <v>0.99</v>
      </c>
      <c r="K946" s="229"/>
      <c r="L946" s="131">
        <f>ROUND(J946*$C946,0)</f>
        <v>0</v>
      </c>
      <c r="M946" s="131"/>
      <c r="N946" s="250">
        <v>0.99</v>
      </c>
      <c r="O946" s="229"/>
      <c r="P946" s="131">
        <v>0</v>
      </c>
      <c r="Q946" s="131"/>
      <c r="R946" s="250" t="s">
        <v>0</v>
      </c>
      <c r="S946" s="229"/>
      <c r="T946" s="131">
        <v>0</v>
      </c>
      <c r="U946" s="131"/>
      <c r="V946" s="250" t="s">
        <v>0</v>
      </c>
      <c r="W946" s="229"/>
      <c r="X946" s="131">
        <v>0</v>
      </c>
      <c r="Y946" s="53"/>
      <c r="AA946" s="357">
        <f>(J946-G946)/G946</f>
        <v>3.1250000000000028E-2</v>
      </c>
      <c r="AB946" s="162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</row>
    <row r="947" spans="1:47">
      <c r="A947" s="154" t="s">
        <v>161</v>
      </c>
      <c r="B947" s="169"/>
      <c r="C947" s="227">
        <f t="shared" si="238"/>
        <v>701278.81818181905</v>
      </c>
      <c r="D947" s="250">
        <v>7.12</v>
      </c>
      <c r="E947" s="250"/>
      <c r="F947" s="131">
        <f>ROUND(D947*$C947,0)</f>
        <v>4993105</v>
      </c>
      <c r="G947" s="250">
        <v>7.55</v>
      </c>
      <c r="H947" s="229"/>
      <c r="I947" s="131">
        <f t="shared" si="239"/>
        <v>5294655</v>
      </c>
      <c r="J947" s="250">
        <v>7.83</v>
      </c>
      <c r="K947" s="229"/>
      <c r="L947" s="131">
        <f>ROUND(J947*$C947,0)</f>
        <v>5491013</v>
      </c>
      <c r="M947" s="131"/>
      <c r="N947" s="250">
        <v>0.95</v>
      </c>
      <c r="O947" s="229"/>
      <c r="P947" s="131">
        <v>663896.99902900145</v>
      </c>
      <c r="Q947" s="131"/>
      <c r="R947" s="250">
        <v>1.36</v>
      </c>
      <c r="S947" s="229"/>
      <c r="T947" s="131">
        <v>956759.39572538179</v>
      </c>
      <c r="U947" s="131"/>
      <c r="V947" s="250">
        <v>5.52</v>
      </c>
      <c r="W947" s="229"/>
      <c r="X947" s="131">
        <v>3870356.6052456172</v>
      </c>
      <c r="Y947" s="53"/>
      <c r="AA947" s="357">
        <f>(J947-G947)/G947</f>
        <v>3.7086092715231819E-2</v>
      </c>
      <c r="AB947" s="162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</row>
    <row r="948" spans="1:47">
      <c r="A948" s="231" t="s">
        <v>183</v>
      </c>
      <c r="B948" s="169"/>
      <c r="C948" s="227"/>
      <c r="D948" s="250" t="s">
        <v>0</v>
      </c>
      <c r="E948" s="250"/>
      <c r="F948" s="131"/>
      <c r="G948" s="250" t="s">
        <v>0</v>
      </c>
      <c r="H948" s="229"/>
      <c r="I948" s="131"/>
      <c r="J948" s="250" t="s">
        <v>0</v>
      </c>
      <c r="K948" s="229"/>
      <c r="L948" s="131"/>
      <c r="M948" s="131"/>
      <c r="N948" s="250" t="s">
        <v>0</v>
      </c>
      <c r="O948" s="229"/>
      <c r="P948" s="131"/>
      <c r="Q948" s="131"/>
      <c r="R948" s="250" t="s">
        <v>0</v>
      </c>
      <c r="S948" s="229"/>
      <c r="T948" s="131"/>
      <c r="U948" s="131"/>
      <c r="V948" s="250" t="s">
        <v>0</v>
      </c>
      <c r="W948" s="229"/>
      <c r="X948" s="131"/>
      <c r="Y948" s="53"/>
      <c r="AA948" s="359"/>
      <c r="AB948" s="110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</row>
    <row r="949" spans="1:47">
      <c r="A949" s="231" t="s">
        <v>222</v>
      </c>
      <c r="B949" s="169"/>
      <c r="C949" s="227">
        <f>C969+C987</f>
        <v>320313336.81593531</v>
      </c>
      <c r="D949" s="345">
        <v>4.2460000000000004</v>
      </c>
      <c r="E949" s="229" t="s">
        <v>107</v>
      </c>
      <c r="F949" s="131">
        <f>ROUND(D949/100*$C949,0)</f>
        <v>13600504</v>
      </c>
      <c r="G949" s="345">
        <v>4.5140000000000002</v>
      </c>
      <c r="H949" s="229" t="s">
        <v>107</v>
      </c>
      <c r="I949" s="131">
        <f>ROUND(G949/100*C949,0)</f>
        <v>14458944</v>
      </c>
      <c r="J949" s="345">
        <v>4.6630000000000003</v>
      </c>
      <c r="K949" s="229" t="s">
        <v>107</v>
      </c>
      <c r="L949" s="131">
        <f>ROUND(J949/100*$C949,0)</f>
        <v>14936211</v>
      </c>
      <c r="M949" s="131"/>
      <c r="N949" s="345" t="s">
        <v>0</v>
      </c>
      <c r="O949" s="323" t="s">
        <v>0</v>
      </c>
      <c r="P949" s="131">
        <v>0</v>
      </c>
      <c r="Q949" s="131"/>
      <c r="R949" s="345">
        <v>0.92400000000000004</v>
      </c>
      <c r="S949" s="229" t="s">
        <v>107</v>
      </c>
      <c r="T949" s="131">
        <v>2960434.3893770538</v>
      </c>
      <c r="U949" s="131"/>
      <c r="V949" s="345">
        <v>3.7389999999999999</v>
      </c>
      <c r="W949" s="229" t="s">
        <v>107</v>
      </c>
      <c r="X949" s="131">
        <v>11975776.610622946</v>
      </c>
      <c r="Y949" s="53"/>
      <c r="AA949" s="357">
        <f>((J949+J951)-G949)/G949</f>
        <v>3.3008418254319896E-2</v>
      </c>
      <c r="AB949" s="162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</row>
    <row r="950" spans="1:47">
      <c r="A950" s="231" t="s">
        <v>152</v>
      </c>
      <c r="B950" s="169"/>
      <c r="C950" s="227">
        <f>C970+C988</f>
        <v>165243.12121212101</v>
      </c>
      <c r="D950" s="250">
        <v>0.55000000000000004</v>
      </c>
      <c r="E950" s="229"/>
      <c r="F950" s="131">
        <f>ROUND(D950*$C950,0)</f>
        <v>90884</v>
      </c>
      <c r="G950" s="250">
        <v>0.55000000000000004</v>
      </c>
      <c r="H950" s="229"/>
      <c r="I950" s="131">
        <f>ROUND(G950*C950,0)</f>
        <v>90884</v>
      </c>
      <c r="J950" s="250">
        <v>0.55000000000000004</v>
      </c>
      <c r="K950" s="229"/>
      <c r="L950" s="131">
        <f>ROUND(J950*$C950,0)</f>
        <v>90884</v>
      </c>
      <c r="M950" s="131"/>
      <c r="N950" s="250" t="s">
        <v>0</v>
      </c>
      <c r="O950" s="229"/>
      <c r="P950" s="131">
        <v>0</v>
      </c>
      <c r="Q950" s="131"/>
      <c r="R950" s="250">
        <v>0.11</v>
      </c>
      <c r="S950" s="229"/>
      <c r="T950" s="131">
        <v>18013.679576710885</v>
      </c>
      <c r="U950" s="131"/>
      <c r="V950" s="250">
        <v>0.44</v>
      </c>
      <c r="W950" s="229"/>
      <c r="X950" s="131">
        <v>72870.320423289115</v>
      </c>
      <c r="Y950" s="53"/>
      <c r="AA950" s="357">
        <f>(J950-G950)/G950</f>
        <v>0</v>
      </c>
      <c r="AB950" s="162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</row>
    <row r="951" spans="1:47" s="141" customFormat="1" hidden="1">
      <c r="A951" s="140" t="s">
        <v>223</v>
      </c>
      <c r="C951" s="239">
        <f>C972+C989</f>
        <v>320313336.81593531</v>
      </c>
      <c r="D951" s="138"/>
      <c r="E951" s="143"/>
      <c r="F951" s="144"/>
      <c r="G951" s="138"/>
      <c r="H951" s="143"/>
      <c r="I951" s="144"/>
      <c r="J951" s="145">
        <v>0</v>
      </c>
      <c r="K951" s="283" t="s">
        <v>107</v>
      </c>
      <c r="L951" s="144">
        <f>ROUND(J951/100*$C951,0)</f>
        <v>0</v>
      </c>
      <c r="M951" s="144"/>
      <c r="N951" s="145" t="s">
        <v>0</v>
      </c>
      <c r="O951" s="283" t="s">
        <v>0</v>
      </c>
      <c r="P951" s="131">
        <v>0</v>
      </c>
      <c r="Q951" s="283"/>
      <c r="R951" s="145" t="s">
        <v>0</v>
      </c>
      <c r="S951" s="283" t="s">
        <v>0</v>
      </c>
      <c r="T951" s="131">
        <v>0</v>
      </c>
      <c r="U951" s="283"/>
      <c r="V951" s="145">
        <v>0</v>
      </c>
      <c r="W951" s="283" t="s">
        <v>107</v>
      </c>
      <c r="X951" s="131">
        <v>0</v>
      </c>
      <c r="Y951" s="147">
        <v>9512953.169853868</v>
      </c>
      <c r="Z951" s="132" t="s">
        <v>108</v>
      </c>
      <c r="AC951" s="148"/>
      <c r="AD951" s="148"/>
      <c r="AI951" s="143"/>
      <c r="AJ951" s="143"/>
      <c r="AK951" s="143"/>
      <c r="AL951" s="143"/>
      <c r="AM951" s="143"/>
      <c r="AN951" s="143"/>
      <c r="AO951" s="143"/>
      <c r="AP951" s="143"/>
      <c r="AQ951" s="143"/>
      <c r="AR951" s="143"/>
      <c r="AS951" s="143"/>
      <c r="AU951" s="147"/>
    </row>
    <row r="952" spans="1:47" s="203" customFormat="1" hidden="1">
      <c r="A952" s="202" t="s">
        <v>224</v>
      </c>
      <c r="C952" s="241"/>
      <c r="D952" s="205"/>
      <c r="E952" s="206"/>
      <c r="F952" s="207"/>
      <c r="G952" s="360">
        <f>G949</f>
        <v>4.5140000000000002</v>
      </c>
      <c r="H952" s="299" t="s">
        <v>107</v>
      </c>
      <c r="I952" s="207"/>
      <c r="J952" s="208">
        <f>J949+J951</f>
        <v>4.6630000000000003</v>
      </c>
      <c r="K952" s="299" t="s">
        <v>107</v>
      </c>
      <c r="L952" s="207"/>
      <c r="M952" s="207"/>
      <c r="N952" s="361" t="s">
        <v>0</v>
      </c>
      <c r="O952" s="299" t="s">
        <v>0</v>
      </c>
      <c r="P952" s="299"/>
      <c r="Q952" s="299"/>
      <c r="R952" s="361">
        <f>R949+R951</f>
        <v>0.92400000000000004</v>
      </c>
      <c r="S952" s="299" t="s">
        <v>107</v>
      </c>
      <c r="T952" s="299"/>
      <c r="U952" s="299"/>
      <c r="V952" s="361">
        <f>V949+V951</f>
        <v>3.7389999999999999</v>
      </c>
      <c r="W952" s="299" t="s">
        <v>107</v>
      </c>
      <c r="X952" s="299"/>
      <c r="Y952" s="362"/>
      <c r="Z952" s="363"/>
      <c r="AA952" s="364">
        <f>(J952-G952)/G952</f>
        <v>3.3008418254319896E-2</v>
      </c>
      <c r="AC952" s="365"/>
      <c r="AD952" s="365"/>
      <c r="AI952" s="206"/>
      <c r="AJ952" s="206"/>
      <c r="AK952" s="206"/>
      <c r="AL952" s="206"/>
      <c r="AM952" s="206"/>
      <c r="AN952" s="206"/>
      <c r="AO952" s="206"/>
      <c r="AP952" s="206"/>
      <c r="AQ952" s="206"/>
      <c r="AR952" s="206"/>
      <c r="AS952" s="206"/>
      <c r="AU952" s="362"/>
    </row>
    <row r="953" spans="1:47">
      <c r="A953" s="169" t="s">
        <v>133</v>
      </c>
      <c r="B953" s="169"/>
      <c r="C953" s="227">
        <f>C949</f>
        <v>320313336.81593531</v>
      </c>
      <c r="D953" s="237"/>
      <c r="E953" s="131"/>
      <c r="F953" s="131">
        <f>SUM(F942:F950)</f>
        <v>20432019</v>
      </c>
      <c r="G953" s="237"/>
      <c r="H953" s="169"/>
      <c r="I953" s="131">
        <f>SUM(I942:I950)</f>
        <v>21592009</v>
      </c>
      <c r="J953" s="237"/>
      <c r="K953" s="169"/>
      <c r="L953" s="131">
        <f>SUM(L942:L952)</f>
        <v>22300099</v>
      </c>
      <c r="M953" s="131"/>
      <c r="N953" s="237"/>
      <c r="O953" s="169"/>
      <c r="P953" s="131">
        <f>SUM(P942:P952)</f>
        <v>2445887.9990290012</v>
      </c>
      <c r="Q953" s="131"/>
      <c r="R953" s="237"/>
      <c r="S953" s="169"/>
      <c r="T953" s="131">
        <f>SUM(T942:T952)</f>
        <v>3935207.4646791462</v>
      </c>
      <c r="U953" s="131"/>
      <c r="V953" s="237"/>
      <c r="W953" s="169"/>
      <c r="X953" s="131">
        <f>SUM(X942:X952)</f>
        <v>15919003.536291851</v>
      </c>
      <c r="Y953" s="53"/>
      <c r="Z953" s="110"/>
      <c r="AA953" s="110"/>
      <c r="AB953" s="110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</row>
    <row r="954" spans="1:47">
      <c r="A954" s="169" t="s">
        <v>111</v>
      </c>
      <c r="B954" s="169"/>
      <c r="C954" s="227">
        <f>C973+C991</f>
        <v>-3730095.0495166555</v>
      </c>
      <c r="D954" s="154"/>
      <c r="E954" s="154"/>
      <c r="F954" s="366">
        <f>I954</f>
        <v>-313022.78765037033</v>
      </c>
      <c r="G954" s="154"/>
      <c r="H954" s="154"/>
      <c r="I954" s="253">
        <f>I973+I991</f>
        <v>-313022.78765037033</v>
      </c>
      <c r="J954" s="154"/>
      <c r="K954" s="154"/>
      <c r="L954" s="254">
        <f>I954</f>
        <v>-313022.78765037033</v>
      </c>
      <c r="M954" s="230"/>
      <c r="N954" s="154"/>
      <c r="O954" s="154"/>
      <c r="P954" s="342">
        <f>$L$954*Y957/($Y957+$Z$957+$AA$957)</f>
        <v>-34332.523803443401</v>
      </c>
      <c r="Q954" s="153"/>
      <c r="R954" s="154"/>
      <c r="S954" s="154"/>
      <c r="T954" s="342">
        <f>$L$954*Z957/($Y957+$Z$957+$AA$957)</f>
        <v>-55237.853902640236</v>
      </c>
      <c r="U954" s="153"/>
      <c r="V954" s="154"/>
      <c r="W954" s="154"/>
      <c r="X954" s="342">
        <f>$L$954*AA957/($Y957+$Z$957+$AA$957)</f>
        <v>-223452.40994428672</v>
      </c>
      <c r="Y954" s="185"/>
      <c r="Z954" s="183"/>
      <c r="AA954" s="110"/>
      <c r="AB954" s="110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</row>
    <row r="955" spans="1:47" ht="18" customHeight="1" thickBot="1">
      <c r="A955" s="169" t="s">
        <v>134</v>
      </c>
      <c r="B955" s="169"/>
      <c r="C955" s="343">
        <f>SUM(C953)+C954</f>
        <v>316583241.76641864</v>
      </c>
      <c r="D955" s="272"/>
      <c r="E955" s="256"/>
      <c r="F955" s="257">
        <f>F953+F954</f>
        <v>20118996.212349631</v>
      </c>
      <c r="G955" s="272"/>
      <c r="H955" s="258"/>
      <c r="I955" s="257">
        <f>I953+I954</f>
        <v>21278986.212349631</v>
      </c>
      <c r="J955" s="272"/>
      <c r="K955" s="258"/>
      <c r="L955" s="257">
        <f>L953+L954</f>
        <v>21987076.212349631</v>
      </c>
      <c r="M955" s="257"/>
      <c r="N955" s="272"/>
      <c r="O955" s="258"/>
      <c r="P955" s="257">
        <f>P953+P954</f>
        <v>2411555.475225558</v>
      </c>
      <c r="Q955" s="257"/>
      <c r="R955" s="272"/>
      <c r="S955" s="258"/>
      <c r="T955" s="257">
        <f>T953+T954</f>
        <v>3879969.6107765059</v>
      </c>
      <c r="U955" s="257"/>
      <c r="V955" s="272"/>
      <c r="W955" s="258"/>
      <c r="X955" s="257">
        <f>X953+X954</f>
        <v>15695551.126347564</v>
      </c>
      <c r="Y955" s="222" t="s">
        <v>0</v>
      </c>
      <c r="Z955" s="270" t="s">
        <v>0</v>
      </c>
      <c r="AA955" s="110"/>
      <c r="AB955" s="110"/>
      <c r="AC955" s="93" t="s">
        <v>0</v>
      </c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</row>
    <row r="956" spans="1:47" ht="16.5" hidden="1" thickTop="1">
      <c r="A956" s="169"/>
      <c r="B956" s="169"/>
      <c r="C956" s="189"/>
      <c r="D956" s="250"/>
      <c r="E956" s="131"/>
      <c r="F956" s="131"/>
      <c r="G956" s="250"/>
      <c r="H956" s="169"/>
      <c r="I956" s="131" t="s">
        <v>0</v>
      </c>
      <c r="J956" s="250"/>
      <c r="K956" s="169"/>
      <c r="L956" s="273"/>
      <c r="M956" s="273"/>
      <c r="N956" s="250"/>
      <c r="O956" s="169"/>
      <c r="P956" s="273"/>
      <c r="Q956" s="273"/>
      <c r="R956" s="250"/>
      <c r="S956" s="169"/>
      <c r="T956" s="273"/>
      <c r="U956" s="273"/>
      <c r="V956" s="250"/>
      <c r="W956" s="169"/>
      <c r="X956" s="273"/>
      <c r="Y956" s="367">
        <v>0.10968058926684592</v>
      </c>
      <c r="Z956" s="367">
        <v>0.17646591903825851</v>
      </c>
      <c r="AA956" s="367">
        <v>0.71385349169489565</v>
      </c>
      <c r="AB956" s="110"/>
      <c r="AC956" s="222" t="s">
        <v>0</v>
      </c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</row>
    <row r="957" spans="1:47" ht="16.5" hidden="1" thickTop="1">
      <c r="A957" s="169"/>
      <c r="B957" s="169"/>
      <c r="C957" s="189"/>
      <c r="D957" s="250"/>
      <c r="E957" s="131"/>
      <c r="F957" s="131"/>
      <c r="G957" s="250"/>
      <c r="H957" s="169"/>
      <c r="I957" s="131"/>
      <c r="J957" s="250"/>
      <c r="K957" s="169"/>
      <c r="L957" s="273"/>
      <c r="M957" s="273"/>
      <c r="N957" s="250"/>
      <c r="O957" s="169"/>
      <c r="P957" s="273"/>
      <c r="Q957" s="273"/>
      <c r="R957" s="250"/>
      <c r="S957" s="169"/>
      <c r="T957" s="273"/>
      <c r="U957" s="273"/>
      <c r="V957" s="250"/>
      <c r="W957" s="169"/>
      <c r="X957" s="273"/>
      <c r="Y957" s="186">
        <f>Y956*L955</f>
        <v>2411555.475225558</v>
      </c>
      <c r="Z957" s="186">
        <f>Z956*L955</f>
        <v>3879969.6107765096</v>
      </c>
      <c r="AA957" s="186">
        <f>AA956*L955</f>
        <v>15695551.126347564</v>
      </c>
      <c r="AB957" s="110" t="s">
        <v>240</v>
      </c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</row>
    <row r="958" spans="1:47" ht="16.5" hidden="1" thickTop="1">
      <c r="A958" s="188" t="s">
        <v>235</v>
      </c>
      <c r="B958" s="169"/>
      <c r="C958" s="169"/>
      <c r="D958" s="131"/>
      <c r="E958" s="131"/>
      <c r="F958" s="169"/>
      <c r="G958" s="131"/>
      <c r="H958" s="169"/>
      <c r="I958" s="169"/>
      <c r="J958" s="131"/>
      <c r="K958" s="169"/>
      <c r="L958" s="169"/>
      <c r="M958" s="169"/>
      <c r="N958" s="131"/>
      <c r="O958" s="169"/>
      <c r="P958" s="169"/>
      <c r="Q958" s="169"/>
      <c r="R958" s="131"/>
      <c r="S958" s="169"/>
      <c r="T958" s="169"/>
      <c r="U958" s="169"/>
      <c r="V958" s="131"/>
      <c r="W958" s="169"/>
      <c r="X958" s="169"/>
      <c r="Y958" s="53"/>
      <c r="Z958" s="110"/>
      <c r="AA958" s="110"/>
      <c r="AB958" s="110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</row>
    <row r="959" spans="1:47" ht="16.5" hidden="1" thickTop="1">
      <c r="A959" s="154" t="s">
        <v>241</v>
      </c>
      <c r="B959" s="169"/>
      <c r="C959" s="169"/>
      <c r="D959" s="131"/>
      <c r="E959" s="131"/>
      <c r="F959" s="169"/>
      <c r="G959" s="131"/>
      <c r="H959" s="169"/>
      <c r="I959" s="169"/>
      <c r="J959" s="131"/>
      <c r="K959" s="169"/>
      <c r="L959" s="169"/>
      <c r="M959" s="169"/>
      <c r="N959" s="131"/>
      <c r="O959" s="169"/>
      <c r="P959" s="169"/>
      <c r="Q959" s="169"/>
      <c r="R959" s="131"/>
      <c r="S959" s="169"/>
      <c r="T959" s="169"/>
      <c r="U959" s="169"/>
      <c r="V959" s="131"/>
      <c r="W959" s="169"/>
      <c r="X959" s="169"/>
      <c r="Y959" s="53"/>
      <c r="Z959" s="110"/>
      <c r="AA959" s="110"/>
      <c r="AB959" s="110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</row>
    <row r="960" spans="1:47" ht="16.5" hidden="1" thickTop="1">
      <c r="A960" s="231"/>
      <c r="B960" s="169"/>
      <c r="C960" s="169"/>
      <c r="D960" s="131"/>
      <c r="E960" s="131"/>
      <c r="F960" s="169"/>
      <c r="G960" s="131"/>
      <c r="H960" s="169"/>
      <c r="I960" s="169"/>
      <c r="J960" s="131"/>
      <c r="K960" s="169"/>
      <c r="L960" s="169"/>
      <c r="M960" s="169"/>
      <c r="N960" s="131"/>
      <c r="O960" s="169"/>
      <c r="P960" s="169"/>
      <c r="Q960" s="169"/>
      <c r="R960" s="131"/>
      <c r="S960" s="169"/>
      <c r="T960" s="169"/>
      <c r="U960" s="169"/>
      <c r="V960" s="131"/>
      <c r="W960" s="169"/>
      <c r="X960" s="169"/>
      <c r="Y960" s="53"/>
      <c r="Z960" s="110"/>
      <c r="AA960" s="110"/>
      <c r="AB960" s="110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</row>
    <row r="961" spans="1:47" ht="16.5" hidden="1" thickTop="1">
      <c r="A961" s="231" t="s">
        <v>146</v>
      </c>
      <c r="B961" s="169"/>
      <c r="C961" s="227"/>
      <c r="D961" s="131"/>
      <c r="E961" s="131"/>
      <c r="F961" s="169"/>
      <c r="G961" s="131"/>
      <c r="H961" s="169"/>
      <c r="I961" s="169"/>
      <c r="J961" s="131"/>
      <c r="K961" s="169"/>
      <c r="L961" s="169"/>
      <c r="M961" s="169"/>
      <c r="N961" s="131"/>
      <c r="O961" s="169"/>
      <c r="P961" s="169"/>
      <c r="Q961" s="169"/>
      <c r="R961" s="131"/>
      <c r="S961" s="169"/>
      <c r="T961" s="169"/>
      <c r="U961" s="169"/>
      <c r="V961" s="131"/>
      <c r="W961" s="169"/>
      <c r="X961" s="169"/>
      <c r="Y961" s="53"/>
      <c r="Z961" s="110" t="s">
        <v>0</v>
      </c>
      <c r="AA961" s="110"/>
      <c r="AB961" s="110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</row>
    <row r="962" spans="1:47" ht="16.5" hidden="1" thickTop="1">
      <c r="A962" s="231" t="s">
        <v>231</v>
      </c>
      <c r="B962" s="169"/>
      <c r="C962" s="227">
        <v>263.39393939393898</v>
      </c>
      <c r="D962" s="250">
        <v>1386</v>
      </c>
      <c r="E962" s="250"/>
      <c r="F962" s="131">
        <f>ROUND(D962*$C962,0)</f>
        <v>365064</v>
      </c>
      <c r="G962" s="250">
        <v>1386</v>
      </c>
      <c r="H962" s="229"/>
      <c r="I962" s="131">
        <f>ROUND(G962*C962,0)</f>
        <v>365064</v>
      </c>
      <c r="J962" s="250">
        <f>J942</f>
        <v>1386</v>
      </c>
      <c r="K962" s="229"/>
      <c r="L962" s="131">
        <f>ROUND(J962*$C962,0)</f>
        <v>365064</v>
      </c>
      <c r="M962" s="131"/>
      <c r="N962" s="250">
        <f>N942</f>
        <v>1386</v>
      </c>
      <c r="O962" s="229"/>
      <c r="P962" s="131">
        <f>ROUND(N962*$C962,0)</f>
        <v>365064</v>
      </c>
      <c r="Q962" s="131"/>
      <c r="R962" s="250" t="str">
        <f>R942</f>
        <v xml:space="preserve"> </v>
      </c>
      <c r="S962" s="229"/>
      <c r="T962" s="131">
        <f>ROUND(R962*$C962,0)</f>
        <v>0</v>
      </c>
      <c r="U962" s="131"/>
      <c r="V962" s="250" t="str">
        <f>V942</f>
        <v xml:space="preserve"> </v>
      </c>
      <c r="W962" s="229"/>
      <c r="X962" s="131">
        <f>ROUND(V962*$C962,0)</f>
        <v>0</v>
      </c>
      <c r="Y962" s="53"/>
      <c r="Z962" s="110"/>
      <c r="AA962" s="110"/>
      <c r="AB962" s="110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</row>
    <row r="963" spans="1:47" ht="16.5" hidden="1" thickTop="1">
      <c r="A963" s="231" t="s">
        <v>232</v>
      </c>
      <c r="B963" s="169"/>
      <c r="C963" s="227">
        <v>0</v>
      </c>
      <c r="D963" s="250">
        <v>1675</v>
      </c>
      <c r="E963" s="250"/>
      <c r="F963" s="131">
        <f>ROUND(D963*$C963,0)</f>
        <v>0</v>
      </c>
      <c r="G963" s="250">
        <v>1675</v>
      </c>
      <c r="H963" s="232"/>
      <c r="I963" s="131">
        <f>ROUND(G963*C963,0)</f>
        <v>0</v>
      </c>
      <c r="J963" s="250">
        <f>J943</f>
        <v>1675</v>
      </c>
      <c r="K963" s="232"/>
      <c r="L963" s="131">
        <f>ROUND(J963*$C963,0)</f>
        <v>0</v>
      </c>
      <c r="M963" s="131"/>
      <c r="N963" s="250">
        <f>N943</f>
        <v>1675</v>
      </c>
      <c r="O963" s="232"/>
      <c r="P963" s="131">
        <f>ROUND(N963*$C963,0)</f>
        <v>0</v>
      </c>
      <c r="Q963" s="131"/>
      <c r="R963" s="250" t="str">
        <f>R943</f>
        <v xml:space="preserve"> </v>
      </c>
      <c r="S963" s="232"/>
      <c r="T963" s="131">
        <f>ROUND(R963*$C963,0)</f>
        <v>0</v>
      </c>
      <c r="U963" s="131"/>
      <c r="V963" s="250" t="str">
        <f>V943</f>
        <v xml:space="preserve"> </v>
      </c>
      <c r="W963" s="232"/>
      <c r="X963" s="131">
        <f>ROUND(V963*$C963,0)</f>
        <v>0</v>
      </c>
      <c r="Y963" s="53"/>
      <c r="Z963" s="110"/>
      <c r="AA963" s="110"/>
      <c r="AB963" s="110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</row>
    <row r="964" spans="1:47" ht="16.5" hidden="1" thickTop="1">
      <c r="A964" s="231" t="s">
        <v>147</v>
      </c>
      <c r="B964" s="169"/>
      <c r="C964" s="227">
        <f>SUM(C962:C963)</f>
        <v>263.39393939393898</v>
      </c>
      <c r="D964" s="250" t="s">
        <v>0</v>
      </c>
      <c r="E964" s="250"/>
      <c r="F964" s="131" t="s">
        <v>0</v>
      </c>
      <c r="G964" s="250" t="s">
        <v>0</v>
      </c>
      <c r="H964" s="229"/>
      <c r="I964" s="131" t="s">
        <v>0</v>
      </c>
      <c r="J964" s="250" t="s">
        <v>0</v>
      </c>
      <c r="K964" s="229"/>
      <c r="L964" s="131" t="s">
        <v>0</v>
      </c>
      <c r="M964" s="131"/>
      <c r="N964" s="250" t="s">
        <v>0</v>
      </c>
      <c r="O964" s="229"/>
      <c r="P964" s="131" t="s">
        <v>0</v>
      </c>
      <c r="Q964" s="131"/>
      <c r="R964" s="250" t="s">
        <v>0</v>
      </c>
      <c r="S964" s="229"/>
      <c r="T964" s="131" t="s">
        <v>0</v>
      </c>
      <c r="U964" s="131"/>
      <c r="V964" s="250" t="s">
        <v>0</v>
      </c>
      <c r="W964" s="229"/>
      <c r="X964" s="131" t="s">
        <v>0</v>
      </c>
      <c r="Y964" s="53"/>
      <c r="Z964" s="110"/>
      <c r="AA964" s="110"/>
      <c r="AB964" s="110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</row>
    <row r="965" spans="1:47" ht="16.5" hidden="1" thickTop="1">
      <c r="A965" s="231" t="s">
        <v>233</v>
      </c>
      <c r="B965" s="169"/>
      <c r="C965" s="227">
        <v>315169.15151515102</v>
      </c>
      <c r="D965" s="250">
        <v>1.06</v>
      </c>
      <c r="E965" s="250"/>
      <c r="F965" s="131">
        <f>ROUND(D965*$C965,0)</f>
        <v>334079</v>
      </c>
      <c r="G965" s="250">
        <v>1.06</v>
      </c>
      <c r="H965" s="229"/>
      <c r="I965" s="131">
        <f t="shared" ref="I965:I967" si="240">ROUND(G965*C965,0)</f>
        <v>334079</v>
      </c>
      <c r="J965" s="250">
        <f>J945</f>
        <v>1.1000000000000001</v>
      </c>
      <c r="K965" s="229"/>
      <c r="L965" s="131">
        <f>ROUND(J965*$C965,0)</f>
        <v>346686</v>
      </c>
      <c r="M965" s="131"/>
      <c r="N965" s="250">
        <f>N945</f>
        <v>1.1000000000000001</v>
      </c>
      <c r="O965" s="229"/>
      <c r="P965" s="131">
        <f>ROUND(N965*$C965,0)</f>
        <v>346686</v>
      </c>
      <c r="Q965" s="131"/>
      <c r="R965" s="250" t="str">
        <f>R945</f>
        <v xml:space="preserve"> </v>
      </c>
      <c r="S965" s="229"/>
      <c r="T965" s="131">
        <f>ROUND(R965*$C965,0)</f>
        <v>0</v>
      </c>
      <c r="U965" s="131"/>
      <c r="V965" s="250" t="str">
        <f>V945</f>
        <v xml:space="preserve"> </v>
      </c>
      <c r="W965" s="229"/>
      <c r="X965" s="131">
        <f>ROUND(V965*$C965,0)</f>
        <v>0</v>
      </c>
      <c r="Y965" s="53"/>
      <c r="Z965" s="110"/>
      <c r="AA965" s="110"/>
      <c r="AB965" s="110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</row>
    <row r="966" spans="1:47" ht="16.5" hidden="1" thickTop="1">
      <c r="A966" s="231" t="s">
        <v>234</v>
      </c>
      <c r="B966" s="169"/>
      <c r="C966" s="227">
        <v>0</v>
      </c>
      <c r="D966" s="250">
        <v>0.96</v>
      </c>
      <c r="E966" s="250"/>
      <c r="F966" s="131">
        <f>ROUND(D966*$C966,0)</f>
        <v>0</v>
      </c>
      <c r="G966" s="250">
        <v>0.96</v>
      </c>
      <c r="H966" s="229"/>
      <c r="I966" s="131">
        <f t="shared" si="240"/>
        <v>0</v>
      </c>
      <c r="J966" s="250">
        <f>J946</f>
        <v>0.99</v>
      </c>
      <c r="K966" s="229"/>
      <c r="L966" s="131">
        <f>ROUND(J966*$C966,0)</f>
        <v>0</v>
      </c>
      <c r="M966" s="131"/>
      <c r="N966" s="250">
        <f>N946</f>
        <v>0.99</v>
      </c>
      <c r="O966" s="229"/>
      <c r="P966" s="131">
        <f>ROUND(N966*$C966,0)</f>
        <v>0</v>
      </c>
      <c r="Q966" s="131"/>
      <c r="R966" s="250" t="str">
        <f>R946</f>
        <v xml:space="preserve"> </v>
      </c>
      <c r="S966" s="229"/>
      <c r="T966" s="131">
        <f>ROUND(R966*$C966,0)</f>
        <v>0</v>
      </c>
      <c r="U966" s="131"/>
      <c r="V966" s="250" t="str">
        <f>V946</f>
        <v xml:space="preserve"> </v>
      </c>
      <c r="W966" s="229"/>
      <c r="X966" s="131">
        <f>ROUND(V966*$C966,0)</f>
        <v>0</v>
      </c>
      <c r="Y966" s="53"/>
      <c r="Z966" s="110"/>
      <c r="AA966" s="110"/>
      <c r="AB966" s="110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</row>
    <row r="967" spans="1:47" ht="16.5" hidden="1" thickTop="1">
      <c r="A967" s="154" t="s">
        <v>161</v>
      </c>
      <c r="B967" s="169"/>
      <c r="C967" s="227">
        <v>234019.363636364</v>
      </c>
      <c r="D967" s="250">
        <v>7.12</v>
      </c>
      <c r="E967" s="250"/>
      <c r="F967" s="131">
        <f>ROUND(D967*$C967,0)</f>
        <v>1666218</v>
      </c>
      <c r="G967" s="250">
        <v>7.55</v>
      </c>
      <c r="H967" s="229"/>
      <c r="I967" s="131">
        <f t="shared" si="240"/>
        <v>1766846</v>
      </c>
      <c r="J967" s="250">
        <f>J947</f>
        <v>7.83</v>
      </c>
      <c r="K967" s="229"/>
      <c r="L967" s="131">
        <f>ROUND(J967*$C967,0)</f>
        <v>1832372</v>
      </c>
      <c r="M967" s="131"/>
      <c r="N967" s="250">
        <f>N947</f>
        <v>0.95</v>
      </c>
      <c r="O967" s="229"/>
      <c r="P967" s="131">
        <f>ROUND(N967*$C967,0)</f>
        <v>222318</v>
      </c>
      <c r="Q967" s="131"/>
      <c r="R967" s="250">
        <f>R947</f>
        <v>1.36</v>
      </c>
      <c r="S967" s="229"/>
      <c r="T967" s="131">
        <f>ROUND(R967*$C967,0)</f>
        <v>318266</v>
      </c>
      <c r="U967" s="131"/>
      <c r="V967" s="250">
        <f>V947</f>
        <v>5.52</v>
      </c>
      <c r="W967" s="229"/>
      <c r="X967" s="131">
        <f>ROUND(V967*$C967,0)</f>
        <v>1291787</v>
      </c>
      <c r="Y967" s="53"/>
      <c r="Z967" s="110"/>
      <c r="AA967" s="110"/>
      <c r="AB967" s="110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</row>
    <row r="968" spans="1:47" ht="16.5" hidden="1" thickTop="1">
      <c r="A968" s="231" t="s">
        <v>183</v>
      </c>
      <c r="B968" s="169"/>
      <c r="C968" s="227"/>
      <c r="D968" s="250" t="s">
        <v>0</v>
      </c>
      <c r="E968" s="250"/>
      <c r="F968" s="131"/>
      <c r="G968" s="250" t="s">
        <v>0</v>
      </c>
      <c r="H968" s="229"/>
      <c r="I968" s="131"/>
      <c r="J968" s="250" t="s">
        <v>0</v>
      </c>
      <c r="K968" s="229"/>
      <c r="L968" s="131"/>
      <c r="M968" s="131"/>
      <c r="N968" s="250" t="s">
        <v>0</v>
      </c>
      <c r="O968" s="229"/>
      <c r="P968" s="131"/>
      <c r="Q968" s="131"/>
      <c r="R968" s="250" t="s">
        <v>0</v>
      </c>
      <c r="S968" s="229"/>
      <c r="T968" s="131"/>
      <c r="U968" s="131"/>
      <c r="V968" s="250" t="s">
        <v>0</v>
      </c>
      <c r="W968" s="229"/>
      <c r="X968" s="131"/>
      <c r="Y968" s="53"/>
      <c r="Z968" s="110"/>
      <c r="AA968" s="110"/>
      <c r="AB968" s="110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</row>
    <row r="969" spans="1:47" ht="16.5" hidden="1" thickTop="1">
      <c r="A969" s="231" t="s">
        <v>222</v>
      </c>
      <c r="B969" s="169"/>
      <c r="C969" s="227">
        <v>106526781.81593531</v>
      </c>
      <c r="D969" s="345">
        <v>4.2460000000000004</v>
      </c>
      <c r="E969" s="229" t="s">
        <v>107</v>
      </c>
      <c r="F969" s="131">
        <f>ROUND(D969/100*$C969,0)</f>
        <v>4523127</v>
      </c>
      <c r="G969" s="345">
        <v>4.5140000000000002</v>
      </c>
      <c r="H969" s="229" t="s">
        <v>107</v>
      </c>
      <c r="I969" s="131">
        <f>ROUND(G969/100*C969,0)</f>
        <v>4808619</v>
      </c>
      <c r="J969" s="345">
        <f>J949</f>
        <v>4.6630000000000003</v>
      </c>
      <c r="K969" s="229" t="s">
        <v>107</v>
      </c>
      <c r="L969" s="131">
        <f>ROUND(J969/100*$C969,0)</f>
        <v>4967344</v>
      </c>
      <c r="M969" s="131"/>
      <c r="N969" s="345" t="str">
        <f>N949</f>
        <v xml:space="preserve"> </v>
      </c>
      <c r="O969" s="229" t="s">
        <v>107</v>
      </c>
      <c r="P969" s="131">
        <f>ROUND(N969/100*$C969,0)</f>
        <v>0</v>
      </c>
      <c r="Q969" s="131"/>
      <c r="R969" s="345">
        <f>R949</f>
        <v>0.92400000000000004</v>
      </c>
      <c r="S969" s="229" t="s">
        <v>107</v>
      </c>
      <c r="T969" s="131">
        <f>ROUND(R969/100*$C969,0)</f>
        <v>984307</v>
      </c>
      <c r="U969" s="131"/>
      <c r="V969" s="345">
        <f>V949</f>
        <v>3.7389999999999999</v>
      </c>
      <c r="W969" s="229" t="s">
        <v>107</v>
      </c>
      <c r="X969" s="131">
        <f>ROUND(V969/100*$C969,0)</f>
        <v>3983036</v>
      </c>
      <c r="Y969" s="53"/>
      <c r="Z969" s="110"/>
      <c r="AA969" s="110"/>
      <c r="AB969" s="110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</row>
    <row r="970" spans="1:47" ht="16.5" hidden="1" thickTop="1">
      <c r="A970" s="231" t="s">
        <v>152</v>
      </c>
      <c r="B970" s="169"/>
      <c r="C970" s="227">
        <v>29387</v>
      </c>
      <c r="D970" s="250">
        <v>0.55000000000000004</v>
      </c>
      <c r="E970" s="229"/>
      <c r="F970" s="131">
        <f>ROUND(D970*$C970,0)</f>
        <v>16163</v>
      </c>
      <c r="G970" s="250">
        <v>0.55000000000000004</v>
      </c>
      <c r="H970" s="229"/>
      <c r="I970" s="131">
        <f>ROUND(G970*C970,0)</f>
        <v>16163</v>
      </c>
      <c r="J970" s="250">
        <f>J950</f>
        <v>0.55000000000000004</v>
      </c>
      <c r="K970" s="229"/>
      <c r="L970" s="131">
        <f>ROUND(J970*$C970,0)</f>
        <v>16163</v>
      </c>
      <c r="M970" s="131"/>
      <c r="N970" s="250" t="str">
        <f>N950</f>
        <v xml:space="preserve"> </v>
      </c>
      <c r="O970" s="229"/>
      <c r="P970" s="131">
        <f>ROUND(N970*$C970,0)</f>
        <v>0</v>
      </c>
      <c r="Q970" s="131"/>
      <c r="R970" s="250">
        <f>R950</f>
        <v>0.11</v>
      </c>
      <c r="S970" s="229"/>
      <c r="T970" s="131">
        <f>ROUND(R970*$C970,0)</f>
        <v>3233</v>
      </c>
      <c r="U970" s="131"/>
      <c r="V970" s="250">
        <f>V950</f>
        <v>0.44</v>
      </c>
      <c r="W970" s="229"/>
      <c r="X970" s="131">
        <f>ROUND(V970*$C970,0)</f>
        <v>12930</v>
      </c>
      <c r="Y970" s="53"/>
      <c r="Z970" s="110"/>
      <c r="AA970" s="110"/>
      <c r="AB970" s="110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</row>
    <row r="971" spans="1:47" s="141" customFormat="1" ht="16.5" hidden="1" thickTop="1">
      <c r="A971" s="140" t="s">
        <v>223</v>
      </c>
      <c r="C971" s="142">
        <f>C969</f>
        <v>106526781.81593531</v>
      </c>
      <c r="D971" s="138"/>
      <c r="E971" s="143"/>
      <c r="F971" s="144"/>
      <c r="G971" s="138"/>
      <c r="H971" s="143"/>
      <c r="I971" s="144"/>
      <c r="J971" s="145">
        <f>J951</f>
        <v>0</v>
      </c>
      <c r="K971" s="283" t="s">
        <v>107</v>
      </c>
      <c r="L971" s="144">
        <f>ROUND(J971*$C971/100,0)</f>
        <v>0</v>
      </c>
      <c r="M971" s="144"/>
      <c r="N971" s="145" t="str">
        <f>N951</f>
        <v xml:space="preserve"> </v>
      </c>
      <c r="O971" s="283" t="s">
        <v>107</v>
      </c>
      <c r="P971" s="144">
        <f>ROUND(N971*$C971/100,0)</f>
        <v>0</v>
      </c>
      <c r="Q971" s="144"/>
      <c r="R971" s="145" t="str">
        <f>R951</f>
        <v xml:space="preserve"> </v>
      </c>
      <c r="S971" s="283" t="s">
        <v>107</v>
      </c>
      <c r="T971" s="144">
        <f>ROUND(R971*$C971/100,0)</f>
        <v>0</v>
      </c>
      <c r="U971" s="144"/>
      <c r="V971" s="145">
        <f>V951</f>
        <v>0</v>
      </c>
      <c r="W971" s="283" t="s">
        <v>107</v>
      </c>
      <c r="X971" s="144">
        <f>ROUND(V971*$C971/100,0)</f>
        <v>0</v>
      </c>
      <c r="Z971" s="132"/>
      <c r="AC971" s="148"/>
      <c r="AD971" s="148"/>
      <c r="AI971" s="143"/>
      <c r="AJ971" s="143"/>
      <c r="AK971" s="143"/>
      <c r="AL971" s="143"/>
      <c r="AM971" s="143"/>
      <c r="AN971" s="143"/>
      <c r="AO971" s="143"/>
      <c r="AP971" s="143"/>
      <c r="AQ971" s="143"/>
      <c r="AR971" s="143"/>
      <c r="AS971" s="143"/>
      <c r="AU971" s="147"/>
    </row>
    <row r="972" spans="1:47" ht="16.5" hidden="1" thickTop="1">
      <c r="A972" s="169" t="s">
        <v>133</v>
      </c>
      <c r="B972" s="169"/>
      <c r="C972" s="227">
        <f>C969</f>
        <v>106526781.81593531</v>
      </c>
      <c r="D972" s="237"/>
      <c r="E972" s="131"/>
      <c r="F972" s="131">
        <f>SUM(F962:F970)</f>
        <v>6904651</v>
      </c>
      <c r="G972" s="237"/>
      <c r="H972" s="169"/>
      <c r="I972" s="131">
        <f>SUM(I962:I970)</f>
        <v>7290771</v>
      </c>
      <c r="J972" s="237"/>
      <c r="K972" s="169"/>
      <c r="L972" s="131">
        <f>SUM(L962:L971)</f>
        <v>7527629</v>
      </c>
      <c r="M972" s="131"/>
      <c r="N972" s="237"/>
      <c r="O972" s="169"/>
      <c r="P972" s="131">
        <f>SUM(P962:P971)</f>
        <v>934068</v>
      </c>
      <c r="Q972" s="131"/>
      <c r="R972" s="237"/>
      <c r="S972" s="169"/>
      <c r="T972" s="131">
        <f>SUM(T962:T971)</f>
        <v>1305806</v>
      </c>
      <c r="U972" s="131"/>
      <c r="V972" s="237"/>
      <c r="W972" s="169"/>
      <c r="X972" s="131">
        <f>SUM(X962:X971)</f>
        <v>5287753</v>
      </c>
      <c r="Y972" s="53"/>
      <c r="Z972" s="110"/>
      <c r="AA972" s="162"/>
      <c r="AB972" s="162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</row>
    <row r="973" spans="1:47" ht="16.5" hidden="1" thickTop="1">
      <c r="A973" s="169" t="s">
        <v>111</v>
      </c>
      <c r="B973" s="169"/>
      <c r="C973" s="227">
        <f>C972/($C$972+$C$1030)*$C$1067</f>
        <v>-305760.36408051598</v>
      </c>
      <c r="D973" s="154"/>
      <c r="E973" s="154"/>
      <c r="F973" s="342">
        <f>I973</f>
        <v>-17282.278191490568</v>
      </c>
      <c r="G973" s="154"/>
      <c r="H973" s="154"/>
      <c r="I973" s="253">
        <f>I972/($I$972+$I$1030)*$I$1067</f>
        <v>-17282.278191490568</v>
      </c>
      <c r="J973" s="154"/>
      <c r="K973" s="154"/>
      <c r="L973" s="254">
        <f>I973</f>
        <v>-17282.278191490568</v>
      </c>
      <c r="M973" s="230"/>
      <c r="N973" s="154"/>
      <c r="O973" s="154"/>
      <c r="P973" s="254">
        <f>$L$973*Y957/($Y957+$Z$957+$AA$957)</f>
        <v>-1895.5304559162455</v>
      </c>
      <c r="Q973" s="153"/>
      <c r="R973" s="154"/>
      <c r="S973" s="154"/>
      <c r="T973" s="254">
        <f>$L$973*Z957/($Y957+$Z$957+$AA$957)</f>
        <v>-3049.7331041362354</v>
      </c>
      <c r="U973" s="153"/>
      <c r="V973" s="154"/>
      <c r="W973" s="154"/>
      <c r="X973" s="254">
        <f>$L$973*AA957/($Y957+$Z$957+$AA$957)</f>
        <v>-12337.014631438087</v>
      </c>
      <c r="Y973" s="185"/>
      <c r="Z973" s="162" t="s">
        <v>0</v>
      </c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</row>
    <row r="974" spans="1:47" ht="17.25" hidden="1" thickTop="1" thickBot="1">
      <c r="A974" s="169" t="s">
        <v>134</v>
      </c>
      <c r="B974" s="169"/>
      <c r="C974" s="343">
        <f>SUM(C972)+C973</f>
        <v>106221021.4518548</v>
      </c>
      <c r="D974" s="272"/>
      <c r="E974" s="256"/>
      <c r="F974" s="257">
        <f>F972+F973</f>
        <v>6887368.721808509</v>
      </c>
      <c r="G974" s="272"/>
      <c r="H974" s="258"/>
      <c r="I974" s="257">
        <f>I972+I973</f>
        <v>7273488.721808509</v>
      </c>
      <c r="J974" s="272"/>
      <c r="K974" s="258"/>
      <c r="L974" s="257">
        <f>L972+L973</f>
        <v>7510346.721808509</v>
      </c>
      <c r="M974" s="257"/>
      <c r="N974" s="272"/>
      <c r="O974" s="258"/>
      <c r="P974" s="257">
        <f>P972+P973</f>
        <v>932172.46954408381</v>
      </c>
      <c r="Q974" s="257"/>
      <c r="R974" s="272"/>
      <c r="S974" s="258"/>
      <c r="T974" s="257">
        <f>T972+T973</f>
        <v>1302756.2668958637</v>
      </c>
      <c r="U974" s="257"/>
      <c r="V974" s="272"/>
      <c r="W974" s="258"/>
      <c r="X974" s="257">
        <f>X972+X973</f>
        <v>5275415.9853685619</v>
      </c>
      <c r="Y974" s="186"/>
      <c r="Z974" s="162" t="s">
        <v>0</v>
      </c>
      <c r="AA974" s="110"/>
      <c r="AB974" s="110"/>
      <c r="AC974" s="93" t="s">
        <v>0</v>
      </c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</row>
    <row r="975" spans="1:47" ht="16.5" hidden="1" thickTop="1">
      <c r="A975" s="169"/>
      <c r="B975" s="169"/>
      <c r="C975" s="189"/>
      <c r="D975" s="250"/>
      <c r="E975" s="131"/>
      <c r="F975" s="131"/>
      <c r="G975" s="250"/>
      <c r="H975" s="169"/>
      <c r="I975" s="131"/>
      <c r="J975" s="250"/>
      <c r="K975" s="169"/>
      <c r="L975" s="273"/>
      <c r="M975" s="273"/>
      <c r="N975" s="250"/>
      <c r="O975" s="169"/>
      <c r="P975" s="273"/>
      <c r="Q975" s="273"/>
      <c r="R975" s="250"/>
      <c r="S975" s="169"/>
      <c r="T975" s="273"/>
      <c r="U975" s="273"/>
      <c r="V975" s="250"/>
      <c r="W975" s="169"/>
      <c r="X975" s="273"/>
      <c r="Y975" s="53"/>
      <c r="Z975" s="110"/>
      <c r="AA975" s="110"/>
      <c r="AB975" s="110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</row>
    <row r="976" spans="1:47" ht="16.5" hidden="1" thickTop="1">
      <c r="A976" s="188" t="s">
        <v>235</v>
      </c>
      <c r="B976" s="169"/>
      <c r="C976" s="169"/>
      <c r="D976" s="131"/>
      <c r="E976" s="131"/>
      <c r="F976" s="169"/>
      <c r="G976" s="131"/>
      <c r="H976" s="169"/>
      <c r="I976" s="169"/>
      <c r="J976" s="131"/>
      <c r="K976" s="169"/>
      <c r="L976" s="169"/>
      <c r="M976" s="169"/>
      <c r="N976" s="131"/>
      <c r="O976" s="169"/>
      <c r="P976" s="169"/>
      <c r="Q976" s="169"/>
      <c r="R976" s="131"/>
      <c r="S976" s="169"/>
      <c r="T976" s="169"/>
      <c r="U976" s="169"/>
      <c r="V976" s="131"/>
      <c r="W976" s="169"/>
      <c r="X976" s="169"/>
      <c r="Y976" s="53"/>
      <c r="Z976" s="110"/>
      <c r="AA976" s="110"/>
      <c r="AB976" s="110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</row>
    <row r="977" spans="1:47" ht="16.5" hidden="1" thickTop="1">
      <c r="A977" s="154" t="s">
        <v>242</v>
      </c>
      <c r="B977" s="169"/>
      <c r="C977" s="169"/>
      <c r="D977" s="131"/>
      <c r="E977" s="131"/>
      <c r="F977" s="169"/>
      <c r="G977" s="131"/>
      <c r="H977" s="169"/>
      <c r="I977" s="169"/>
      <c r="J977" s="131"/>
      <c r="K977" s="169"/>
      <c r="L977" s="169"/>
      <c r="M977" s="169"/>
      <c r="N977" s="131"/>
      <c r="O977" s="169"/>
      <c r="P977" s="169"/>
      <c r="Q977" s="169"/>
      <c r="R977" s="131"/>
      <c r="S977" s="169"/>
      <c r="T977" s="169"/>
      <c r="U977" s="169"/>
      <c r="V977" s="131"/>
      <c r="W977" s="169"/>
      <c r="X977" s="169"/>
      <c r="Y977" s="53"/>
      <c r="Z977" s="110"/>
      <c r="AA977" s="110"/>
      <c r="AB977" s="110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</row>
    <row r="978" spans="1:47" ht="16.5" hidden="1" thickTop="1">
      <c r="A978" s="231"/>
      <c r="B978" s="169"/>
      <c r="C978" s="169"/>
      <c r="D978" s="131"/>
      <c r="E978" s="131"/>
      <c r="F978" s="169"/>
      <c r="G978" s="131"/>
      <c r="H978" s="169"/>
      <c r="I978" s="169"/>
      <c r="J978" s="131"/>
      <c r="K978" s="169"/>
      <c r="L978" s="169"/>
      <c r="M978" s="169"/>
      <c r="N978" s="131"/>
      <c r="O978" s="169"/>
      <c r="P978" s="169"/>
      <c r="Q978" s="169"/>
      <c r="R978" s="131"/>
      <c r="S978" s="169"/>
      <c r="T978" s="169"/>
      <c r="U978" s="169"/>
      <c r="V978" s="131"/>
      <c r="W978" s="169"/>
      <c r="X978" s="169"/>
      <c r="Y978" s="53"/>
      <c r="Z978" s="110"/>
      <c r="AA978" s="110"/>
      <c r="AB978" s="110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</row>
    <row r="979" spans="1:47" ht="16.5" hidden="1" thickTop="1">
      <c r="A979" s="231" t="s">
        <v>146</v>
      </c>
      <c r="B979" s="169"/>
      <c r="C979" s="227"/>
      <c r="D979" s="131"/>
      <c r="E979" s="131"/>
      <c r="F979" s="169"/>
      <c r="G979" s="131"/>
      <c r="H979" s="169"/>
      <c r="I979" s="169"/>
      <c r="J979" s="131"/>
      <c r="K979" s="169"/>
      <c r="L979" s="169"/>
      <c r="M979" s="169"/>
      <c r="N979" s="131"/>
      <c r="O979" s="169"/>
      <c r="P979" s="169"/>
      <c r="Q979" s="169"/>
      <c r="R979" s="131"/>
      <c r="S979" s="169"/>
      <c r="T979" s="169"/>
      <c r="U979" s="169"/>
      <c r="V979" s="131"/>
      <c r="W979" s="169"/>
      <c r="X979" s="169"/>
      <c r="Y979" s="53"/>
      <c r="Z979" s="110"/>
      <c r="AA979" s="110"/>
      <c r="AB979" s="110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</row>
    <row r="980" spans="1:47" ht="16.5" hidden="1" thickTop="1">
      <c r="A980" s="231" t="s">
        <v>231</v>
      </c>
      <c r="B980" s="169"/>
      <c r="C980" s="227">
        <v>338.48484848484901</v>
      </c>
      <c r="D980" s="250">
        <v>1386</v>
      </c>
      <c r="E980" s="250"/>
      <c r="F980" s="131">
        <f>ROUND(D980*$C980,0)</f>
        <v>469140</v>
      </c>
      <c r="G980" s="250">
        <v>1386</v>
      </c>
      <c r="H980" s="229"/>
      <c r="I980" s="131">
        <f>ROUND(G980*C980,0)</f>
        <v>469140</v>
      </c>
      <c r="J980" s="250">
        <f>J942</f>
        <v>1386</v>
      </c>
      <c r="K980" s="229"/>
      <c r="L980" s="131">
        <f>ROUND(J980*$C980,0)</f>
        <v>469140</v>
      </c>
      <c r="M980" s="131"/>
      <c r="N980" s="250">
        <f>N942</f>
        <v>1386</v>
      </c>
      <c r="O980" s="229"/>
      <c r="P980" s="131">
        <f>ROUND(N980*$C980,0)</f>
        <v>469140</v>
      </c>
      <c r="Q980" s="131"/>
      <c r="R980" s="250" t="str">
        <f>R942</f>
        <v xml:space="preserve"> </v>
      </c>
      <c r="S980" s="229"/>
      <c r="T980" s="131">
        <f>ROUND(R980*$C980,0)</f>
        <v>0</v>
      </c>
      <c r="U980" s="131"/>
      <c r="V980" s="250" t="str">
        <f>V942</f>
        <v xml:space="preserve"> </v>
      </c>
      <c r="W980" s="229"/>
      <c r="X980" s="131">
        <f>ROUND(V980*$C980,0)</f>
        <v>0</v>
      </c>
      <c r="Y980" s="53"/>
      <c r="Z980" s="110"/>
      <c r="AA980" s="110"/>
      <c r="AB980" s="110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</row>
    <row r="981" spans="1:47" ht="16.5" hidden="1" thickTop="1">
      <c r="A981" s="231" t="s">
        <v>232</v>
      </c>
      <c r="B981" s="169"/>
      <c r="C981" s="227">
        <v>0</v>
      </c>
      <c r="D981" s="250">
        <v>1675</v>
      </c>
      <c r="E981" s="250"/>
      <c r="F981" s="131">
        <f>ROUND(D981*$C981,0)</f>
        <v>0</v>
      </c>
      <c r="G981" s="250">
        <v>1675</v>
      </c>
      <c r="H981" s="232"/>
      <c r="I981" s="131">
        <f>ROUND(G981*C981,0)</f>
        <v>0</v>
      </c>
      <c r="J981" s="250">
        <f>J943</f>
        <v>1675</v>
      </c>
      <c r="K981" s="232"/>
      <c r="L981" s="131">
        <f>ROUND(J981*$C981,0)</f>
        <v>0</v>
      </c>
      <c r="M981" s="131"/>
      <c r="N981" s="250">
        <f>N943</f>
        <v>1675</v>
      </c>
      <c r="O981" s="232"/>
      <c r="P981" s="131">
        <f>ROUND(N981*$C981,0)</f>
        <v>0</v>
      </c>
      <c r="Q981" s="131"/>
      <c r="R981" s="250" t="str">
        <f>R943</f>
        <v xml:space="preserve"> </v>
      </c>
      <c r="S981" s="232"/>
      <c r="T981" s="131">
        <f>ROUND(R981*$C981,0)</f>
        <v>0</v>
      </c>
      <c r="U981" s="131"/>
      <c r="V981" s="250" t="str">
        <f>V943</f>
        <v xml:space="preserve"> </v>
      </c>
      <c r="W981" s="232"/>
      <c r="X981" s="131">
        <f>ROUND(V981*$C981,0)</f>
        <v>0</v>
      </c>
      <c r="Y981" s="53"/>
      <c r="Z981" s="110"/>
      <c r="AA981" s="110"/>
      <c r="AB981" s="110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</row>
    <row r="982" spans="1:47" ht="16.5" hidden="1" thickTop="1">
      <c r="A982" s="231" t="s">
        <v>147</v>
      </c>
      <c r="B982" s="169"/>
      <c r="C982" s="227">
        <f>SUM(C980:C981)</f>
        <v>338.48484848484901</v>
      </c>
      <c r="D982" s="250" t="s">
        <v>0</v>
      </c>
      <c r="E982" s="250"/>
      <c r="F982" s="131" t="s">
        <v>0</v>
      </c>
      <c r="G982" s="250" t="s">
        <v>0</v>
      </c>
      <c r="H982" s="229"/>
      <c r="I982" s="131" t="s">
        <v>0</v>
      </c>
      <c r="J982" s="250" t="s">
        <v>0</v>
      </c>
      <c r="K982" s="229"/>
      <c r="L982" s="131" t="s">
        <v>0</v>
      </c>
      <c r="M982" s="131"/>
      <c r="N982" s="250" t="s">
        <v>0</v>
      </c>
      <c r="O982" s="229"/>
      <c r="P982" s="131" t="s">
        <v>0</v>
      </c>
      <c r="Q982" s="131"/>
      <c r="R982" s="250" t="s">
        <v>0</v>
      </c>
      <c r="S982" s="229"/>
      <c r="T982" s="131" t="s">
        <v>0</v>
      </c>
      <c r="U982" s="131"/>
      <c r="V982" s="250" t="s">
        <v>0</v>
      </c>
      <c r="W982" s="229"/>
      <c r="X982" s="131" t="s">
        <v>0</v>
      </c>
      <c r="Y982" s="53"/>
      <c r="Z982" s="110"/>
      <c r="AA982" s="110"/>
      <c r="AB982" s="110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</row>
    <row r="983" spans="1:47" ht="16.5" hidden="1" thickTop="1">
      <c r="A983" s="231" t="s">
        <v>233</v>
      </c>
      <c r="B983" s="169"/>
      <c r="C983" s="227">
        <v>546455.24242424197</v>
      </c>
      <c r="D983" s="250">
        <v>1.06</v>
      </c>
      <c r="E983" s="250"/>
      <c r="F983" s="131">
        <f>ROUND(D983*$C983,0)</f>
        <v>579243</v>
      </c>
      <c r="G983" s="250">
        <v>1.06</v>
      </c>
      <c r="H983" s="229"/>
      <c r="I983" s="131">
        <f t="shared" ref="I983:I985" si="241">ROUND(G983*C983,0)</f>
        <v>579243</v>
      </c>
      <c r="J983" s="250">
        <f>J945</f>
        <v>1.1000000000000001</v>
      </c>
      <c r="K983" s="229"/>
      <c r="L983" s="131">
        <f>ROUND(J983*$C983,0)</f>
        <v>601101</v>
      </c>
      <c r="M983" s="131"/>
      <c r="N983" s="250">
        <f>N945</f>
        <v>1.1000000000000001</v>
      </c>
      <c r="O983" s="229"/>
      <c r="P983" s="131">
        <f>ROUND(N983*$C983,0)</f>
        <v>601101</v>
      </c>
      <c r="Q983" s="131"/>
      <c r="R983" s="250" t="str">
        <f>R945</f>
        <v xml:space="preserve"> </v>
      </c>
      <c r="S983" s="229"/>
      <c r="T983" s="131">
        <f>ROUND(R983*$C983,0)</f>
        <v>0</v>
      </c>
      <c r="U983" s="131"/>
      <c r="V983" s="250" t="str">
        <f>V945</f>
        <v xml:space="preserve"> </v>
      </c>
      <c r="W983" s="229"/>
      <c r="X983" s="131">
        <f>ROUND(V983*$C983,0)</f>
        <v>0</v>
      </c>
      <c r="Y983" s="53"/>
      <c r="Z983" s="110"/>
      <c r="AA983" s="110"/>
      <c r="AB983" s="110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</row>
    <row r="984" spans="1:47" ht="16.5" hidden="1" thickTop="1">
      <c r="A984" s="231" t="s">
        <v>234</v>
      </c>
      <c r="B984" s="169"/>
      <c r="C984" s="227">
        <v>0</v>
      </c>
      <c r="D984" s="250">
        <v>0.96</v>
      </c>
      <c r="E984" s="250"/>
      <c r="F984" s="131">
        <f>ROUND(D984*$C984,0)</f>
        <v>0</v>
      </c>
      <c r="G984" s="250">
        <v>0.96</v>
      </c>
      <c r="H984" s="229"/>
      <c r="I984" s="131">
        <f t="shared" si="241"/>
        <v>0</v>
      </c>
      <c r="J984" s="250">
        <f>J946</f>
        <v>0.99</v>
      </c>
      <c r="K984" s="229"/>
      <c r="L984" s="131">
        <f>ROUND(J984*$C984,0)</f>
        <v>0</v>
      </c>
      <c r="M984" s="131"/>
      <c r="N984" s="250">
        <f>N946</f>
        <v>0.99</v>
      </c>
      <c r="O984" s="229"/>
      <c r="P984" s="131">
        <f>ROUND(N984*$C984,0)</f>
        <v>0</v>
      </c>
      <c r="Q984" s="131"/>
      <c r="R984" s="250" t="str">
        <f>R946</f>
        <v xml:space="preserve"> </v>
      </c>
      <c r="S984" s="229"/>
      <c r="T984" s="131">
        <f>ROUND(R984*$C984,0)</f>
        <v>0</v>
      </c>
      <c r="U984" s="131"/>
      <c r="V984" s="250" t="str">
        <f>V946</f>
        <v xml:space="preserve"> </v>
      </c>
      <c r="W984" s="229"/>
      <c r="X984" s="131">
        <f>ROUND(V984*$C984,0)</f>
        <v>0</v>
      </c>
      <c r="Y984" s="53"/>
      <c r="Z984" s="110"/>
      <c r="AA984" s="110"/>
      <c r="AB984" s="110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</row>
    <row r="985" spans="1:47" ht="16.5" hidden="1" thickTop="1">
      <c r="A985" s="154" t="s">
        <v>161</v>
      </c>
      <c r="B985" s="169"/>
      <c r="C985" s="227">
        <v>467259.454545455</v>
      </c>
      <c r="D985" s="250">
        <v>7.12</v>
      </c>
      <c r="E985" s="250"/>
      <c r="F985" s="131">
        <f>ROUND(D985*$C985,0)</f>
        <v>3326887</v>
      </c>
      <c r="G985" s="250">
        <v>7.55</v>
      </c>
      <c r="H985" s="229"/>
      <c r="I985" s="131">
        <f t="shared" si="241"/>
        <v>3527809</v>
      </c>
      <c r="J985" s="250">
        <f>J947</f>
        <v>7.83</v>
      </c>
      <c r="K985" s="229"/>
      <c r="L985" s="131">
        <f>ROUND(J985*$C985,0)</f>
        <v>3658642</v>
      </c>
      <c r="M985" s="131"/>
      <c r="N985" s="250">
        <f>N947</f>
        <v>0.95</v>
      </c>
      <c r="O985" s="229"/>
      <c r="P985" s="131">
        <f>ROUND(N985*$C985,0)</f>
        <v>443896</v>
      </c>
      <c r="Q985" s="131"/>
      <c r="R985" s="250">
        <f>R947</f>
        <v>1.36</v>
      </c>
      <c r="S985" s="229"/>
      <c r="T985" s="131">
        <f>ROUND(R985*$C985,0)</f>
        <v>635473</v>
      </c>
      <c r="U985" s="131"/>
      <c r="V985" s="250">
        <f>V947</f>
        <v>5.52</v>
      </c>
      <c r="W985" s="229"/>
      <c r="X985" s="131">
        <f>ROUND(V985*$C985,0)</f>
        <v>2579272</v>
      </c>
      <c r="Y985" s="53"/>
      <c r="Z985" s="110"/>
      <c r="AA985" s="110"/>
      <c r="AB985" s="110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</row>
    <row r="986" spans="1:47" ht="16.5" hidden="1" thickTop="1">
      <c r="A986" s="231" t="s">
        <v>183</v>
      </c>
      <c r="B986" s="169"/>
      <c r="C986" s="227"/>
      <c r="D986" s="250" t="s">
        <v>0</v>
      </c>
      <c r="E986" s="250"/>
      <c r="F986" s="131"/>
      <c r="G986" s="250" t="s">
        <v>0</v>
      </c>
      <c r="H986" s="229"/>
      <c r="I986" s="131"/>
      <c r="J986" s="250" t="s">
        <v>0</v>
      </c>
      <c r="K986" s="229"/>
      <c r="L986" s="131"/>
      <c r="M986" s="131"/>
      <c r="N986" s="250" t="s">
        <v>0</v>
      </c>
      <c r="O986" s="229"/>
      <c r="P986" s="131"/>
      <c r="Q986" s="131"/>
      <c r="R986" s="250" t="s">
        <v>0</v>
      </c>
      <c r="S986" s="229"/>
      <c r="T986" s="131"/>
      <c r="U986" s="131"/>
      <c r="V986" s="250" t="s">
        <v>0</v>
      </c>
      <c r="W986" s="229"/>
      <c r="X986" s="131"/>
      <c r="Y986" s="53"/>
      <c r="Z986" s="110"/>
      <c r="AA986" s="110"/>
      <c r="AB986" s="110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</row>
    <row r="987" spans="1:47" ht="16.5" hidden="1" thickTop="1">
      <c r="A987" s="231" t="s">
        <v>222</v>
      </c>
      <c r="B987" s="169"/>
      <c r="C987" s="227">
        <v>213786555</v>
      </c>
      <c r="D987" s="345">
        <v>4.2460000000000004</v>
      </c>
      <c r="E987" s="229" t="s">
        <v>107</v>
      </c>
      <c r="F987" s="131">
        <f>ROUND(D987/100*$C987,0)</f>
        <v>9077377</v>
      </c>
      <c r="G987" s="345">
        <v>4.5140000000000002</v>
      </c>
      <c r="H987" s="229" t="s">
        <v>107</v>
      </c>
      <c r="I987" s="131">
        <f>ROUND(G987/100*C987,0)</f>
        <v>9650325</v>
      </c>
      <c r="J987" s="345">
        <f>J949</f>
        <v>4.6630000000000003</v>
      </c>
      <c r="K987" s="229" t="s">
        <v>107</v>
      </c>
      <c r="L987" s="131">
        <f>ROUND(J987/100*$C987,0)</f>
        <v>9968867</v>
      </c>
      <c r="M987" s="131"/>
      <c r="N987" s="345" t="str">
        <f>N949</f>
        <v xml:space="preserve"> </v>
      </c>
      <c r="O987" s="229" t="s">
        <v>107</v>
      </c>
      <c r="P987" s="131">
        <f>ROUND(N987/100*$C987,0)</f>
        <v>0</v>
      </c>
      <c r="Q987" s="131"/>
      <c r="R987" s="345">
        <f>R949</f>
        <v>0.92400000000000004</v>
      </c>
      <c r="S987" s="229" t="s">
        <v>107</v>
      </c>
      <c r="T987" s="131">
        <f>ROUND(R987/100*$C987,0)</f>
        <v>1975388</v>
      </c>
      <c r="U987" s="131"/>
      <c r="V987" s="345">
        <f>V949</f>
        <v>3.7389999999999999</v>
      </c>
      <c r="W987" s="229" t="s">
        <v>107</v>
      </c>
      <c r="X987" s="131">
        <f>ROUND(V987/100*$C987,0)</f>
        <v>7993479</v>
      </c>
      <c r="Y987" s="53"/>
      <c r="Z987" s="110"/>
      <c r="AA987" s="110"/>
      <c r="AB987" s="110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</row>
    <row r="988" spans="1:47" ht="16.5" hidden="1" thickTop="1">
      <c r="A988" s="231" t="s">
        <v>152</v>
      </c>
      <c r="B988" s="169"/>
      <c r="C988" s="227">
        <v>135856.12121212101</v>
      </c>
      <c r="D988" s="250">
        <v>0.55000000000000004</v>
      </c>
      <c r="E988" s="229"/>
      <c r="F988" s="131">
        <f>ROUND(D988*$C988,0)</f>
        <v>74721</v>
      </c>
      <c r="G988" s="250">
        <v>0.55000000000000004</v>
      </c>
      <c r="H988" s="229"/>
      <c r="I988" s="131">
        <f>ROUND(G988*C988,0)</f>
        <v>74721</v>
      </c>
      <c r="J988" s="250">
        <f>J950</f>
        <v>0.55000000000000004</v>
      </c>
      <c r="K988" s="229"/>
      <c r="L988" s="131">
        <f>ROUND(J988*$C988,0)</f>
        <v>74721</v>
      </c>
      <c r="M988" s="131"/>
      <c r="N988" s="250" t="str">
        <f>N950</f>
        <v xml:space="preserve"> </v>
      </c>
      <c r="O988" s="229"/>
      <c r="P988" s="131">
        <f>ROUND(N988*$C988,0)</f>
        <v>0</v>
      </c>
      <c r="Q988" s="131"/>
      <c r="R988" s="250">
        <f>R950</f>
        <v>0.11</v>
      </c>
      <c r="S988" s="229"/>
      <c r="T988" s="131">
        <f>ROUND(R988*$C988,0)</f>
        <v>14944</v>
      </c>
      <c r="U988" s="131"/>
      <c r="V988" s="250">
        <f>V950</f>
        <v>0.44</v>
      </c>
      <c r="W988" s="229"/>
      <c r="X988" s="131">
        <f>ROUND(V988*$C988,0)</f>
        <v>59777</v>
      </c>
      <c r="Y988" s="53"/>
      <c r="Z988" s="110"/>
      <c r="AA988" s="110"/>
      <c r="AB988" s="110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</row>
    <row r="989" spans="1:47" s="141" customFormat="1" ht="16.5" hidden="1" thickTop="1">
      <c r="A989" s="140" t="s">
        <v>223</v>
      </c>
      <c r="C989" s="142">
        <f>C987</f>
        <v>213786555</v>
      </c>
      <c r="D989" s="138"/>
      <c r="E989" s="143"/>
      <c r="F989" s="144"/>
      <c r="G989" s="138"/>
      <c r="H989" s="143"/>
      <c r="I989" s="144"/>
      <c r="J989" s="145">
        <f>J951</f>
        <v>0</v>
      </c>
      <c r="K989" s="283" t="s">
        <v>107</v>
      </c>
      <c r="L989" s="144">
        <f>ROUND(J989*$C989/100,0)</f>
        <v>0</v>
      </c>
      <c r="M989" s="144"/>
      <c r="N989" s="145" t="str">
        <f>N951</f>
        <v xml:space="preserve"> </v>
      </c>
      <c r="O989" s="283" t="s">
        <v>107</v>
      </c>
      <c r="P989" s="144">
        <f>ROUND(N989*$C989/100,0)</f>
        <v>0</v>
      </c>
      <c r="Q989" s="144"/>
      <c r="R989" s="145" t="str">
        <f>R951</f>
        <v xml:space="preserve"> </v>
      </c>
      <c r="S989" s="283" t="s">
        <v>107</v>
      </c>
      <c r="T989" s="144">
        <f>ROUND(R989*$C989/100,0)</f>
        <v>0</v>
      </c>
      <c r="U989" s="144"/>
      <c r="V989" s="145">
        <f>V951</f>
        <v>0</v>
      </c>
      <c r="W989" s="283" t="s">
        <v>107</v>
      </c>
      <c r="X989" s="144">
        <f>ROUND(V989*$C989/100,0)</f>
        <v>0</v>
      </c>
      <c r="Z989" s="132"/>
      <c r="AC989" s="148"/>
      <c r="AD989" s="148"/>
      <c r="AI989" s="143"/>
      <c r="AJ989" s="143"/>
      <c r="AK989" s="143"/>
      <c r="AL989" s="143"/>
      <c r="AM989" s="143"/>
      <c r="AN989" s="143"/>
      <c r="AO989" s="143"/>
      <c r="AP989" s="143"/>
      <c r="AQ989" s="143"/>
      <c r="AR989" s="143"/>
      <c r="AS989" s="143"/>
      <c r="AU989" s="147"/>
    </row>
    <row r="990" spans="1:47" ht="16.5" hidden="1" thickTop="1">
      <c r="A990" s="169" t="s">
        <v>133</v>
      </c>
      <c r="B990" s="169"/>
      <c r="C990" s="227">
        <f>C987</f>
        <v>213786555</v>
      </c>
      <c r="D990" s="237"/>
      <c r="E990" s="131"/>
      <c r="F990" s="131">
        <f>SUM(F980:F988)</f>
        <v>13527368</v>
      </c>
      <c r="G990" s="237"/>
      <c r="H990" s="169"/>
      <c r="I990" s="131">
        <f>SUM(I980:I988)</f>
        <v>14301238</v>
      </c>
      <c r="J990" s="237"/>
      <c r="K990" s="169"/>
      <c r="L990" s="131">
        <f>SUM(L980:L989)</f>
        <v>14772471</v>
      </c>
      <c r="M990" s="131"/>
      <c r="N990" s="237"/>
      <c r="O990" s="169"/>
      <c r="P990" s="131">
        <f>SUM(P980:P989)</f>
        <v>1514137</v>
      </c>
      <c r="Q990" s="131"/>
      <c r="R990" s="237"/>
      <c r="S990" s="169"/>
      <c r="T990" s="131">
        <f>SUM(T980:T989)</f>
        <v>2625805</v>
      </c>
      <c r="U990" s="131"/>
      <c r="V990" s="237"/>
      <c r="W990" s="169"/>
      <c r="X990" s="131">
        <f>SUM(X980:X989)</f>
        <v>10632528</v>
      </c>
      <c r="Y990" s="222" t="s">
        <v>0</v>
      </c>
      <c r="Z990" s="110"/>
      <c r="AA990" s="110"/>
      <c r="AB990" s="110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</row>
    <row r="991" spans="1:47" ht="16.5" hidden="1" thickTop="1">
      <c r="A991" s="169" t="s">
        <v>111</v>
      </c>
      <c r="B991" s="169"/>
      <c r="C991" s="227">
        <f>C990/($C$990+$C$1048)*$C$1086</f>
        <v>-3424334.6854361393</v>
      </c>
      <c r="D991" s="154"/>
      <c r="E991" s="154"/>
      <c r="F991" s="342">
        <f>I991</f>
        <v>-295740.50945887977</v>
      </c>
      <c r="G991" s="154"/>
      <c r="H991" s="154"/>
      <c r="I991" s="253">
        <f>I990/($I$990+$I$1048)*$I$1086</f>
        <v>-295740.50945887977</v>
      </c>
      <c r="J991" s="154"/>
      <c r="K991" s="154"/>
      <c r="L991" s="254">
        <f>I991</f>
        <v>-295740.50945887977</v>
      </c>
      <c r="M991" s="230"/>
      <c r="N991" s="154"/>
      <c r="O991" s="154"/>
      <c r="P991" s="254">
        <f>$L$991*Y957/($Y957+$Z$957+$AA$957)</f>
        <v>-32436.993347527154</v>
      </c>
      <c r="Q991" s="153"/>
      <c r="R991" s="154"/>
      <c r="S991" s="154"/>
      <c r="T991" s="254">
        <f>$L$991*Z957/($Y957+$Z$957+$AA$957)</f>
        <v>-52188.120798504002</v>
      </c>
      <c r="U991" s="153"/>
      <c r="V991" s="154"/>
      <c r="W991" s="154"/>
      <c r="X991" s="254">
        <f>$L$991*AA957/($Y957+$Z$957+$AA$957)</f>
        <v>-211115.39531284862</v>
      </c>
      <c r="Y991" s="185"/>
      <c r="Z991" s="183"/>
      <c r="AA991" s="110"/>
      <c r="AB991" s="110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</row>
    <row r="992" spans="1:47" ht="17.25" hidden="1" thickTop="1" thickBot="1">
      <c r="A992" s="169" t="s">
        <v>134</v>
      </c>
      <c r="B992" s="169"/>
      <c r="C992" s="343">
        <f>SUM(C990)+C991</f>
        <v>210362220.31456387</v>
      </c>
      <c r="D992" s="272"/>
      <c r="E992" s="256"/>
      <c r="F992" s="257">
        <f>F990+F991</f>
        <v>13231627.490541121</v>
      </c>
      <c r="G992" s="272"/>
      <c r="H992" s="258"/>
      <c r="I992" s="257">
        <f>I990+I991</f>
        <v>14005497.490541121</v>
      </c>
      <c r="J992" s="272"/>
      <c r="K992" s="258"/>
      <c r="L992" s="257">
        <f>L990+L991</f>
        <v>14476730.490541121</v>
      </c>
      <c r="M992" s="257"/>
      <c r="N992" s="272"/>
      <c r="O992" s="258"/>
      <c r="P992" s="257">
        <f>P990+P991</f>
        <v>1481700.0066524728</v>
      </c>
      <c r="Q992" s="257"/>
      <c r="R992" s="272"/>
      <c r="S992" s="258"/>
      <c r="T992" s="257">
        <f>T990+T991</f>
        <v>2573616.879201496</v>
      </c>
      <c r="U992" s="257"/>
      <c r="V992" s="272"/>
      <c r="W992" s="258"/>
      <c r="X992" s="257">
        <f>X990+X991</f>
        <v>10421412.604687151</v>
      </c>
      <c r="Y992" s="186"/>
      <c r="Z992" s="187"/>
      <c r="AA992" s="110"/>
      <c r="AB992" s="110"/>
      <c r="AC992" s="93" t="s">
        <v>0</v>
      </c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</row>
    <row r="993" spans="1:47" ht="16.5" hidden="1" thickTop="1">
      <c r="A993" s="169"/>
      <c r="B993" s="169"/>
      <c r="C993" s="189"/>
      <c r="D993" s="250"/>
      <c r="E993" s="131"/>
      <c r="F993" s="131"/>
      <c r="G993" s="250"/>
      <c r="H993" s="169"/>
      <c r="I993" s="131"/>
      <c r="J993" s="250"/>
      <c r="K993" s="169"/>
      <c r="L993" s="273"/>
      <c r="M993" s="273"/>
      <c r="N993" s="250"/>
      <c r="O993" s="169"/>
      <c r="P993" s="273"/>
      <c r="Q993" s="273"/>
      <c r="R993" s="250"/>
      <c r="S993" s="169"/>
      <c r="T993" s="273"/>
      <c r="U993" s="273"/>
      <c r="V993" s="250"/>
      <c r="W993" s="169"/>
      <c r="X993" s="273"/>
      <c r="Z993" s="110"/>
      <c r="AA993" s="162" t="s">
        <v>0</v>
      </c>
      <c r="AB993" s="162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</row>
    <row r="994" spans="1:47" ht="16.5" thickTop="1">
      <c r="A994" s="169"/>
      <c r="B994" s="169"/>
      <c r="C994" s="189"/>
      <c r="D994" s="250"/>
      <c r="E994" s="131"/>
      <c r="F994" s="131"/>
      <c r="G994" s="250"/>
      <c r="H994" s="169"/>
      <c r="I994" s="131"/>
      <c r="J994" s="250"/>
      <c r="K994" s="169"/>
      <c r="L994" s="273"/>
      <c r="M994" s="273"/>
      <c r="N994" s="250"/>
      <c r="O994" s="169"/>
      <c r="P994" s="273"/>
      <c r="Q994" s="273"/>
      <c r="R994" s="250"/>
      <c r="S994" s="169"/>
      <c r="T994" s="273"/>
      <c r="U994" s="273"/>
      <c r="V994" s="250"/>
      <c r="W994" s="169"/>
      <c r="X994" s="273"/>
      <c r="Z994" s="110"/>
      <c r="AA994" s="162"/>
      <c r="AB994" s="162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</row>
    <row r="995" spans="1:47">
      <c r="A995" s="188" t="s">
        <v>235</v>
      </c>
      <c r="B995" s="169"/>
      <c r="C995" s="169"/>
      <c r="D995" s="131"/>
      <c r="E995" s="131"/>
      <c r="F995" s="169"/>
      <c r="G995" s="131"/>
      <c r="H995" s="169"/>
      <c r="I995" s="169"/>
      <c r="J995" s="131"/>
      <c r="K995" s="169"/>
      <c r="L995" s="169"/>
      <c r="M995" s="169"/>
      <c r="N995" s="131"/>
      <c r="O995" s="169"/>
      <c r="P995" s="169"/>
      <c r="Q995" s="169"/>
      <c r="R995" s="131"/>
      <c r="S995" s="169"/>
      <c r="T995" s="169"/>
      <c r="U995" s="169"/>
      <c r="V995" s="131"/>
      <c r="W995" s="169"/>
      <c r="X995" s="169"/>
      <c r="Y995" s="53"/>
      <c r="Z995" s="110"/>
      <c r="AA995" s="110"/>
      <c r="AB995" s="110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</row>
    <row r="996" spans="1:47">
      <c r="A996" s="154" t="s">
        <v>243</v>
      </c>
      <c r="B996" s="169"/>
      <c r="C996" s="169"/>
      <c r="D996" s="131"/>
      <c r="E996" s="131"/>
      <c r="F996" s="169"/>
      <c r="G996" s="131"/>
      <c r="H996" s="169"/>
      <c r="I996" s="169"/>
      <c r="J996" s="131"/>
      <c r="K996" s="169"/>
      <c r="L996" s="169"/>
      <c r="M996" s="169"/>
      <c r="N996" s="131"/>
      <c r="O996" s="169"/>
      <c r="P996" s="169"/>
      <c r="Q996" s="169"/>
      <c r="R996" s="131"/>
      <c r="S996" s="169"/>
      <c r="T996" s="169"/>
      <c r="U996" s="169"/>
      <c r="V996" s="131"/>
      <c r="W996" s="169"/>
      <c r="X996" s="169"/>
      <c r="Y996" s="53"/>
      <c r="Z996" s="110"/>
      <c r="AA996" s="110"/>
      <c r="AB996" s="110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</row>
    <row r="997" spans="1:47">
      <c r="A997" s="169" t="s">
        <v>0</v>
      </c>
      <c r="B997" s="169"/>
      <c r="C997" s="169"/>
      <c r="D997" s="131"/>
      <c r="E997" s="131"/>
      <c r="F997" s="169"/>
      <c r="G997" s="131"/>
      <c r="H997" s="169"/>
      <c r="I997" s="169"/>
      <c r="J997" s="131"/>
      <c r="K997" s="169"/>
      <c r="L997" s="169"/>
      <c r="M997" s="169"/>
      <c r="N997" s="131"/>
      <c r="O997" s="169"/>
      <c r="P997" s="169"/>
      <c r="Q997" s="169"/>
      <c r="R997" s="131"/>
      <c r="S997" s="169"/>
      <c r="T997" s="169"/>
      <c r="U997" s="169"/>
      <c r="V997" s="131"/>
      <c r="W997" s="169"/>
      <c r="X997" s="169"/>
      <c r="Y997" s="53"/>
      <c r="Z997" s="110"/>
      <c r="AA997" s="110"/>
      <c r="AB997" s="110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</row>
    <row r="998" spans="1:47">
      <c r="A998" s="231" t="s">
        <v>146</v>
      </c>
      <c r="B998" s="169"/>
      <c r="C998" s="227"/>
      <c r="D998" s="131"/>
      <c r="E998" s="131"/>
      <c r="F998" s="169"/>
      <c r="G998" s="131"/>
      <c r="H998" s="169"/>
      <c r="I998" s="169"/>
      <c r="J998" s="131"/>
      <c r="K998" s="169"/>
      <c r="L998" s="169"/>
      <c r="M998" s="169"/>
      <c r="N998" s="131"/>
      <c r="O998" s="169"/>
      <c r="P998" s="169"/>
      <c r="Q998" s="169"/>
      <c r="R998" s="131"/>
      <c r="S998" s="169"/>
      <c r="T998" s="169"/>
      <c r="U998" s="169"/>
      <c r="V998" s="131"/>
      <c r="W998" s="169"/>
      <c r="X998" s="169"/>
      <c r="Z998" s="110"/>
      <c r="AA998" s="110"/>
      <c r="AB998" s="110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</row>
    <row r="999" spans="1:47">
      <c r="A999" s="231" t="s">
        <v>231</v>
      </c>
      <c r="B999" s="169"/>
      <c r="C999" s="227">
        <f t="shared" ref="C999:C1004" si="242">C1020+C1038</f>
        <v>130.272727272727</v>
      </c>
      <c r="D999" s="250">
        <v>1419</v>
      </c>
      <c r="E999" s="250"/>
      <c r="F999" s="131">
        <f>ROUND(D999*$C999,0)</f>
        <v>184857</v>
      </c>
      <c r="G999" s="250">
        <v>1419</v>
      </c>
      <c r="H999" s="229"/>
      <c r="I999" s="131">
        <f>ROUND(G999*C999,0)</f>
        <v>184857</v>
      </c>
      <c r="J999" s="250">
        <v>1419</v>
      </c>
      <c r="K999" s="229"/>
      <c r="L999" s="131">
        <f>ROUND(J999*$C999,0)</f>
        <v>184857</v>
      </c>
      <c r="M999" s="131"/>
      <c r="N999" s="250">
        <v>1419</v>
      </c>
      <c r="O999" s="229"/>
      <c r="P999" s="131">
        <v>184857</v>
      </c>
      <c r="Q999" s="131"/>
      <c r="R999" s="250" t="s">
        <v>0</v>
      </c>
      <c r="S999" s="229"/>
      <c r="T999" s="131">
        <v>0</v>
      </c>
      <c r="U999" s="131"/>
      <c r="V999" s="250" t="s">
        <v>0</v>
      </c>
      <c r="W999" s="229"/>
      <c r="X999" s="131">
        <v>0</v>
      </c>
      <c r="Y999" s="53"/>
      <c r="AA999" s="357">
        <f>(J999-G999)/G999</f>
        <v>0</v>
      </c>
      <c r="AB999" s="162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</row>
    <row r="1000" spans="1:47">
      <c r="A1000" s="231" t="s">
        <v>232</v>
      </c>
      <c r="B1000" s="169"/>
      <c r="C1000" s="227">
        <f t="shared" si="242"/>
        <v>0</v>
      </c>
      <c r="D1000" s="250">
        <v>1707</v>
      </c>
      <c r="E1000" s="250"/>
      <c r="F1000" s="131">
        <f>ROUND(D1000*$C1000,0)</f>
        <v>0</v>
      </c>
      <c r="G1000" s="250">
        <v>1707</v>
      </c>
      <c r="H1000" s="232"/>
      <c r="I1000" s="131">
        <f>ROUND(G1000*C1000,0)</f>
        <v>0</v>
      </c>
      <c r="J1000" s="250">
        <v>1707</v>
      </c>
      <c r="K1000" s="232"/>
      <c r="L1000" s="131">
        <f>ROUND(J1000*$C1000,0)</f>
        <v>0</v>
      </c>
      <c r="M1000" s="131"/>
      <c r="N1000" s="250">
        <v>1707</v>
      </c>
      <c r="O1000" s="232"/>
      <c r="P1000" s="131">
        <v>0</v>
      </c>
      <c r="Q1000" s="131"/>
      <c r="R1000" s="250" t="s">
        <v>0</v>
      </c>
      <c r="S1000" s="232"/>
      <c r="T1000" s="131">
        <v>0</v>
      </c>
      <c r="U1000" s="131"/>
      <c r="V1000" s="250" t="s">
        <v>0</v>
      </c>
      <c r="W1000" s="232"/>
      <c r="X1000" s="131">
        <v>0</v>
      </c>
      <c r="Y1000" s="53"/>
      <c r="AA1000" s="357">
        <f>(J1000-G1000)/G1000</f>
        <v>0</v>
      </c>
      <c r="AB1000" s="162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</row>
    <row r="1001" spans="1:47">
      <c r="A1001" s="231" t="s">
        <v>147</v>
      </c>
      <c r="B1001" s="169"/>
      <c r="C1001" s="227">
        <f t="shared" si="242"/>
        <v>130.272727272727</v>
      </c>
      <c r="D1001" s="250" t="s">
        <v>0</v>
      </c>
      <c r="E1001" s="250"/>
      <c r="F1001" s="131" t="s">
        <v>0</v>
      </c>
      <c r="G1001" s="250" t="s">
        <v>0</v>
      </c>
      <c r="H1001" s="229"/>
      <c r="I1001" s="131" t="s">
        <v>0</v>
      </c>
      <c r="J1001" s="250" t="s">
        <v>0</v>
      </c>
      <c r="K1001" s="229"/>
      <c r="L1001" s="131" t="s">
        <v>0</v>
      </c>
      <c r="M1001" s="131"/>
      <c r="N1001" s="250" t="s">
        <v>0</v>
      </c>
      <c r="O1001" s="229"/>
      <c r="P1001" s="131" t="s">
        <v>0</v>
      </c>
      <c r="Q1001" s="131"/>
      <c r="R1001" s="250" t="s">
        <v>0</v>
      </c>
      <c r="S1001" s="229"/>
      <c r="T1001" s="131" t="s">
        <v>0</v>
      </c>
      <c r="U1001" s="131"/>
      <c r="V1001" s="250" t="s">
        <v>0</v>
      </c>
      <c r="W1001" s="229"/>
      <c r="X1001" s="131" t="s">
        <v>0</v>
      </c>
      <c r="Y1001" s="53"/>
      <c r="AA1001" s="359"/>
      <c r="AB1001" s="110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</row>
    <row r="1002" spans="1:47">
      <c r="A1002" s="231" t="s">
        <v>233</v>
      </c>
      <c r="B1002" s="169"/>
      <c r="C1002" s="227">
        <f t="shared" si="242"/>
        <v>221683.454545455</v>
      </c>
      <c r="D1002" s="250">
        <v>0.53</v>
      </c>
      <c r="E1002" s="250"/>
      <c r="F1002" s="131">
        <f>ROUND(D1002*$C1002,0)</f>
        <v>117492</v>
      </c>
      <c r="G1002" s="250">
        <v>0.53</v>
      </c>
      <c r="H1002" s="229"/>
      <c r="I1002" s="131">
        <f t="shared" ref="I1002:I1004" si="243">ROUND(G1002*C1002,0)</f>
        <v>117492</v>
      </c>
      <c r="J1002" s="250">
        <v>0.56000000000000005</v>
      </c>
      <c r="K1002" s="229"/>
      <c r="L1002" s="131">
        <f>ROUND(J1002*$C1002,0)</f>
        <v>124143</v>
      </c>
      <c r="M1002" s="131"/>
      <c r="N1002" s="250">
        <v>0.56000000000000005</v>
      </c>
      <c r="O1002" s="229"/>
      <c r="P1002" s="131">
        <v>124143</v>
      </c>
      <c r="Q1002" s="131"/>
      <c r="R1002" s="250" t="s">
        <v>0</v>
      </c>
      <c r="S1002" s="229"/>
      <c r="T1002" s="131">
        <v>0</v>
      </c>
      <c r="U1002" s="131"/>
      <c r="V1002" s="250" t="s">
        <v>0</v>
      </c>
      <c r="W1002" s="229"/>
      <c r="X1002" s="131">
        <v>0</v>
      </c>
      <c r="AA1002" s="357">
        <f>(J1002-G1002)/G1002</f>
        <v>5.660377358490571E-2</v>
      </c>
      <c r="AB1002" s="162"/>
      <c r="AC1002" s="53" t="s">
        <v>0</v>
      </c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</row>
    <row r="1003" spans="1:47">
      <c r="A1003" s="231" t="s">
        <v>234</v>
      </c>
      <c r="B1003" s="169"/>
      <c r="C1003" s="227">
        <f t="shared" si="242"/>
        <v>0</v>
      </c>
      <c r="D1003" s="250">
        <v>0.43</v>
      </c>
      <c r="E1003" s="250"/>
      <c r="F1003" s="131">
        <f>ROUND(D1003*$C1003,0)</f>
        <v>0</v>
      </c>
      <c r="G1003" s="250">
        <v>0.43</v>
      </c>
      <c r="H1003" s="229"/>
      <c r="I1003" s="131">
        <f t="shared" si="243"/>
        <v>0</v>
      </c>
      <c r="J1003" s="250">
        <v>0.45</v>
      </c>
      <c r="K1003" s="229"/>
      <c r="L1003" s="131">
        <f>ROUND(J1003*$C1003,0)</f>
        <v>0</v>
      </c>
      <c r="M1003" s="131"/>
      <c r="N1003" s="250">
        <v>0.45</v>
      </c>
      <c r="O1003" s="229"/>
      <c r="P1003" s="131">
        <v>0</v>
      </c>
      <c r="Q1003" s="131"/>
      <c r="R1003" s="250" t="s">
        <v>0</v>
      </c>
      <c r="S1003" s="229"/>
      <c r="T1003" s="131">
        <v>0</v>
      </c>
      <c r="U1003" s="131"/>
      <c r="V1003" s="250" t="s">
        <v>0</v>
      </c>
      <c r="W1003" s="229"/>
      <c r="X1003" s="131">
        <v>0</v>
      </c>
      <c r="Y1003" s="53"/>
      <c r="AA1003" s="357">
        <f>(J1003-G1003)/G1003</f>
        <v>4.6511627906976785E-2</v>
      </c>
      <c r="AB1003" s="162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</row>
    <row r="1004" spans="1:47">
      <c r="A1004" s="154" t="s">
        <v>161</v>
      </c>
      <c r="B1004" s="169"/>
      <c r="C1004" s="227">
        <f t="shared" si="242"/>
        <v>178076.48484848501</v>
      </c>
      <c r="D1004" s="250">
        <v>6.99</v>
      </c>
      <c r="E1004" s="250"/>
      <c r="F1004" s="131">
        <f>ROUND(D1004*$C1004,0)</f>
        <v>1244755</v>
      </c>
      <c r="G1004" s="250">
        <v>7.4</v>
      </c>
      <c r="H1004" s="229"/>
      <c r="I1004" s="131">
        <f t="shared" si="243"/>
        <v>1317766</v>
      </c>
      <c r="J1004" s="250">
        <v>7.67</v>
      </c>
      <c r="K1004" s="229"/>
      <c r="L1004" s="131">
        <f>ROUND(J1004*$C1004,0)</f>
        <v>1365847</v>
      </c>
      <c r="M1004" s="131"/>
      <c r="N1004" s="250">
        <v>1.3072459028066084</v>
      </c>
      <c r="O1004" s="229"/>
      <c r="P1004" s="131">
        <v>232789.75520438509</v>
      </c>
      <c r="Q1004" s="131"/>
      <c r="R1004" s="250">
        <v>1.2611312230026581</v>
      </c>
      <c r="S1004" s="229"/>
      <c r="T1004" s="131">
        <v>224577.81512498422</v>
      </c>
      <c r="U1004" s="131"/>
      <c r="V1004" s="250">
        <v>5.0916249026007181</v>
      </c>
      <c r="W1004" s="229"/>
      <c r="X1004" s="131">
        <v>908479.42967063049</v>
      </c>
      <c r="Y1004" s="53"/>
      <c r="AA1004" s="357">
        <f>(J1004-G1004)/G1004</f>
        <v>3.6486486486486426E-2</v>
      </c>
      <c r="AB1004" s="162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</row>
    <row r="1005" spans="1:47">
      <c r="A1005" s="231" t="s">
        <v>183</v>
      </c>
      <c r="B1005" s="169"/>
      <c r="C1005" s="227"/>
      <c r="D1005" s="250" t="s">
        <v>0</v>
      </c>
      <c r="E1005" s="250"/>
      <c r="F1005" s="131"/>
      <c r="G1005" s="250" t="s">
        <v>0</v>
      </c>
      <c r="H1005" s="229"/>
      <c r="I1005" s="131"/>
      <c r="J1005" s="250" t="s">
        <v>0</v>
      </c>
      <c r="K1005" s="229"/>
      <c r="L1005" s="131"/>
      <c r="M1005" s="131"/>
      <c r="N1005" s="250" t="s">
        <v>0</v>
      </c>
      <c r="O1005" s="229"/>
      <c r="P1005" s="131"/>
      <c r="Q1005" s="131"/>
      <c r="R1005" s="250" t="s">
        <v>0</v>
      </c>
      <c r="S1005" s="229"/>
      <c r="T1005" s="131"/>
      <c r="U1005" s="131"/>
      <c r="V1005" s="250" t="s">
        <v>0</v>
      </c>
      <c r="W1005" s="229"/>
      <c r="X1005" s="131"/>
      <c r="Y1005" s="53"/>
      <c r="AA1005" s="359"/>
      <c r="AB1005" s="110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</row>
    <row r="1006" spans="1:47">
      <c r="A1006" s="231" t="s">
        <v>222</v>
      </c>
      <c r="B1006" s="169"/>
      <c r="C1006" s="227">
        <f>C1027+C1045</f>
        <v>70618436.012304217</v>
      </c>
      <c r="D1006" s="345">
        <v>4.1920000000000002</v>
      </c>
      <c r="E1006" s="229" t="s">
        <v>107</v>
      </c>
      <c r="F1006" s="131">
        <f>ROUND(D1006/100*$C1006,0)</f>
        <v>2960325</v>
      </c>
      <c r="G1006" s="345">
        <v>4.4589999999999996</v>
      </c>
      <c r="H1006" s="229" t="s">
        <v>107</v>
      </c>
      <c r="I1006" s="131">
        <f>ROUND(G1006/100*C1006,0)</f>
        <v>3148876</v>
      </c>
      <c r="J1006" s="345">
        <v>4.6099999999999994</v>
      </c>
      <c r="K1006" s="229" t="s">
        <v>107</v>
      </c>
      <c r="L1006" s="131">
        <f>ROUND(J1006/100*$C1006,0)</f>
        <v>3255510</v>
      </c>
      <c r="M1006" s="131"/>
      <c r="N1006" s="345" t="s">
        <v>0</v>
      </c>
      <c r="O1006" s="323" t="s">
        <v>0</v>
      </c>
      <c r="P1006" s="131">
        <v>0</v>
      </c>
      <c r="Q1006" s="131"/>
      <c r="R1006" s="345">
        <v>0.91400000000000003</v>
      </c>
      <c r="S1006" s="229" t="s">
        <v>107</v>
      </c>
      <c r="T1006" s="131">
        <v>645258.94545550318</v>
      </c>
      <c r="U1006" s="131"/>
      <c r="V1006" s="345">
        <v>3.6960000000000002</v>
      </c>
      <c r="W1006" s="229" t="s">
        <v>107</v>
      </c>
      <c r="X1006" s="131">
        <v>2610251.0545444968</v>
      </c>
      <c r="Y1006" s="53"/>
      <c r="AA1006" s="357">
        <f>((J1006+J1008)-G1006)/G1006</f>
        <v>3.3864095088584845E-2</v>
      </c>
      <c r="AB1006" s="162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</row>
    <row r="1007" spans="1:47">
      <c r="A1007" s="231" t="s">
        <v>152</v>
      </c>
      <c r="B1007" s="169"/>
      <c r="C1007" s="227">
        <f>C1028+C1046</f>
        <v>17311.333333333299</v>
      </c>
      <c r="D1007" s="250">
        <v>0.54</v>
      </c>
      <c r="E1007" s="229"/>
      <c r="F1007" s="131">
        <f>ROUND(D1007*$C1007,0)</f>
        <v>9348</v>
      </c>
      <c r="G1007" s="250">
        <v>0.54</v>
      </c>
      <c r="H1007" s="229"/>
      <c r="I1007" s="131">
        <f>ROUND(G1007*C1007,0)</f>
        <v>9348</v>
      </c>
      <c r="J1007" s="250">
        <v>0.54</v>
      </c>
      <c r="K1007" s="229"/>
      <c r="L1007" s="131">
        <f>ROUND(J1007*$C1007,0)</f>
        <v>9348</v>
      </c>
      <c r="M1007" s="131"/>
      <c r="N1007" s="250" t="s">
        <v>0</v>
      </c>
      <c r="O1007" s="229"/>
      <c r="P1007" s="131">
        <v>0</v>
      </c>
      <c r="Q1007" s="131"/>
      <c r="R1007" s="250">
        <v>0.11</v>
      </c>
      <c r="S1007" s="229"/>
      <c r="T1007" s="131">
        <v>1852.8220223922065</v>
      </c>
      <c r="U1007" s="131"/>
      <c r="V1007" s="250">
        <v>0.43</v>
      </c>
      <c r="W1007" s="229"/>
      <c r="X1007" s="131">
        <v>7495.1779776077919</v>
      </c>
      <c r="Y1007" s="53"/>
      <c r="AA1007" s="357">
        <f>(J1007-G1007)/G1007</f>
        <v>0</v>
      </c>
      <c r="AB1007" s="162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</row>
    <row r="1008" spans="1:47" s="141" customFormat="1" hidden="1">
      <c r="A1008" s="140" t="s">
        <v>223</v>
      </c>
      <c r="C1008" s="142">
        <f>C1006</f>
        <v>70618436.012304217</v>
      </c>
      <c r="D1008" s="138"/>
      <c r="E1008" s="143"/>
      <c r="F1008" s="144"/>
      <c r="G1008" s="138"/>
      <c r="H1008" s="143"/>
      <c r="I1008" s="144"/>
      <c r="J1008" s="145">
        <v>0</v>
      </c>
      <c r="K1008" s="283" t="s">
        <v>107</v>
      </c>
      <c r="L1008" s="144">
        <f>ROUND(J1008/100*$C1008,0)</f>
        <v>0</v>
      </c>
      <c r="M1008" s="144"/>
      <c r="N1008" s="145" t="s">
        <v>0</v>
      </c>
      <c r="O1008" s="283" t="s">
        <v>0</v>
      </c>
      <c r="P1008" s="131">
        <v>0</v>
      </c>
      <c r="Q1008" s="283"/>
      <c r="R1008" s="145" t="s">
        <v>0</v>
      </c>
      <c r="S1008" s="283" t="s">
        <v>0</v>
      </c>
      <c r="T1008" s="131">
        <v>0</v>
      </c>
      <c r="U1008" s="283"/>
      <c r="V1008" s="145">
        <v>0</v>
      </c>
      <c r="W1008" s="283" t="s">
        <v>107</v>
      </c>
      <c r="X1008" s="131">
        <v>0</v>
      </c>
      <c r="Y1008" s="147">
        <v>2438646.2051787861</v>
      </c>
      <c r="Z1008" s="132" t="s">
        <v>108</v>
      </c>
      <c r="AC1008" s="148"/>
      <c r="AD1008" s="148"/>
      <c r="AI1008" s="143"/>
      <c r="AJ1008" s="143"/>
      <c r="AK1008" s="143"/>
      <c r="AL1008" s="143"/>
      <c r="AM1008" s="143"/>
      <c r="AN1008" s="143"/>
      <c r="AO1008" s="143"/>
      <c r="AP1008" s="143"/>
      <c r="AQ1008" s="143"/>
      <c r="AR1008" s="143"/>
      <c r="AS1008" s="143"/>
      <c r="AU1008" s="147"/>
    </row>
    <row r="1009" spans="1:47" s="203" customFormat="1" hidden="1">
      <c r="A1009" s="202" t="s">
        <v>224</v>
      </c>
      <c r="C1009" s="368"/>
      <c r="D1009" s="205"/>
      <c r="E1009" s="206"/>
      <c r="F1009" s="207"/>
      <c r="G1009" s="360">
        <f>G1006</f>
        <v>4.4589999999999996</v>
      </c>
      <c r="H1009" s="299" t="s">
        <v>107</v>
      </c>
      <c r="I1009" s="207"/>
      <c r="J1009" s="208">
        <f>J1006+J1008</f>
        <v>4.6099999999999994</v>
      </c>
      <c r="K1009" s="299" t="s">
        <v>107</v>
      </c>
      <c r="L1009" s="207"/>
      <c r="M1009" s="207"/>
      <c r="N1009" s="361" t="s">
        <v>0</v>
      </c>
      <c r="O1009" s="299" t="s">
        <v>0</v>
      </c>
      <c r="P1009" s="299"/>
      <c r="Q1009" s="299"/>
      <c r="R1009" s="361">
        <f>R1006+R1008</f>
        <v>0.91400000000000003</v>
      </c>
      <c r="S1009" s="299" t="s">
        <v>107</v>
      </c>
      <c r="T1009" s="299"/>
      <c r="U1009" s="299"/>
      <c r="V1009" s="361">
        <f>V1006+V1008</f>
        <v>3.6960000000000002</v>
      </c>
      <c r="W1009" s="299" t="s">
        <v>107</v>
      </c>
      <c r="X1009" s="299"/>
      <c r="Y1009" s="362"/>
      <c r="Z1009" s="363"/>
      <c r="AA1009" s="364">
        <f>(J1009-G1009)/G1009</f>
        <v>3.3864095088584845E-2</v>
      </c>
      <c r="AC1009" s="365"/>
      <c r="AD1009" s="365"/>
      <c r="AI1009" s="206"/>
      <c r="AJ1009" s="206"/>
      <c r="AK1009" s="206"/>
      <c r="AL1009" s="206"/>
      <c r="AM1009" s="206"/>
      <c r="AN1009" s="206"/>
      <c r="AO1009" s="206"/>
      <c r="AP1009" s="206"/>
      <c r="AQ1009" s="206"/>
      <c r="AR1009" s="206"/>
      <c r="AS1009" s="206"/>
      <c r="AU1009" s="362"/>
    </row>
    <row r="1010" spans="1:47">
      <c r="A1010" s="169" t="s">
        <v>133</v>
      </c>
      <c r="B1010" s="169"/>
      <c r="C1010" s="227">
        <f>C1006</f>
        <v>70618436.012304217</v>
      </c>
      <c r="D1010" s="237"/>
      <c r="E1010" s="131"/>
      <c r="F1010" s="131">
        <f>SUM(F999:F1007)</f>
        <v>4516777</v>
      </c>
      <c r="G1010" s="237"/>
      <c r="H1010" s="169"/>
      <c r="I1010" s="131">
        <f>SUM(I999:I1007)</f>
        <v>4778339</v>
      </c>
      <c r="J1010" s="237"/>
      <c r="K1010" s="169"/>
      <c r="L1010" s="131">
        <f>SUM(L999:L1009)</f>
        <v>4939705</v>
      </c>
      <c r="M1010" s="131"/>
      <c r="N1010" s="237"/>
      <c r="O1010" s="169"/>
      <c r="P1010" s="131">
        <f>SUM(P999:P1009)</f>
        <v>541789.75520438515</v>
      </c>
      <c r="Q1010" s="131"/>
      <c r="R1010" s="237"/>
      <c r="S1010" s="169"/>
      <c r="T1010" s="131">
        <f>SUM(T999:T1009)</f>
        <v>871689.58260287961</v>
      </c>
      <c r="U1010" s="131"/>
      <c r="V1010" s="237"/>
      <c r="W1010" s="169"/>
      <c r="X1010" s="131">
        <f>SUM(X999:X1009)</f>
        <v>3526225.6621927349</v>
      </c>
      <c r="Y1010" s="53"/>
      <c r="Z1010" s="110"/>
      <c r="AA1010" s="110"/>
      <c r="AB1010" s="110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</row>
    <row r="1011" spans="1:47">
      <c r="A1011" s="169" t="s">
        <v>111</v>
      </c>
      <c r="B1011" s="169"/>
      <c r="C1011" s="227">
        <f>C1031+C1049</f>
        <v>-299271.03833494976</v>
      </c>
      <c r="D1011" s="154"/>
      <c r="E1011" s="154"/>
      <c r="F1011" s="366">
        <f>I1011</f>
        <v>-21714.996864975801</v>
      </c>
      <c r="G1011" s="154"/>
      <c r="H1011" s="154"/>
      <c r="I1011" s="253">
        <f>I1031+I1049</f>
        <v>-21714.996864975801</v>
      </c>
      <c r="J1011" s="154"/>
      <c r="K1011" s="154"/>
      <c r="L1011" s="254">
        <f>I1011</f>
        <v>-21714.996864975801</v>
      </c>
      <c r="M1011" s="230"/>
      <c r="N1011" s="154"/>
      <c r="O1011" s="154"/>
      <c r="P1011" s="342">
        <f>$L$1011*Y1014/(Y1014+$Z$1014+$AA$1014)</f>
        <v>-2381.7136520782574</v>
      </c>
      <c r="Q1011" s="153"/>
      <c r="R1011" s="154"/>
      <c r="S1011" s="154"/>
      <c r="T1011" s="342">
        <f>$L$1011*Z1014/(Y1014+$Z$1014+$AA$1014)</f>
        <v>-3831.9568786908571</v>
      </c>
      <c r="U1011" s="153"/>
      <c r="V1011" s="154"/>
      <c r="W1011" s="154"/>
      <c r="X1011" s="342">
        <f>$L$1011*AA1014/(Y1014+$Z$1014+$AA$1014)</f>
        <v>-15501.326334206688</v>
      </c>
      <c r="Y1011" s="185"/>
      <c r="Z1011" s="183"/>
      <c r="AA1011" s="110"/>
      <c r="AB1011" s="110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</row>
    <row r="1012" spans="1:47" ht="16.5" thickBot="1">
      <c r="A1012" s="169" t="s">
        <v>134</v>
      </c>
      <c r="B1012" s="169"/>
      <c r="C1012" s="343">
        <f>SUM(C1010)+C1011</f>
        <v>70319164.973969266</v>
      </c>
      <c r="D1012" s="272"/>
      <c r="E1012" s="256"/>
      <c r="F1012" s="257">
        <f>F1010+F1011</f>
        <v>4495062.0031350246</v>
      </c>
      <c r="G1012" s="272"/>
      <c r="H1012" s="258"/>
      <c r="I1012" s="257">
        <f>I1010+I1011</f>
        <v>4756624.0031350246</v>
      </c>
      <c r="J1012" s="272"/>
      <c r="K1012" s="258"/>
      <c r="L1012" s="257">
        <f>L1010+L1011</f>
        <v>4917990.0031350246</v>
      </c>
      <c r="M1012" s="257"/>
      <c r="N1012" s="272"/>
      <c r="O1012" s="258"/>
      <c r="P1012" s="257">
        <f>SUM(P1010:P1011)</f>
        <v>539408.04155230685</v>
      </c>
      <c r="Q1012" s="257"/>
      <c r="R1012" s="272"/>
      <c r="S1012" s="258"/>
      <c r="T1012" s="257">
        <f>SUM(T1010:T1011)</f>
        <v>867857.62572418875</v>
      </c>
      <c r="U1012" s="257"/>
      <c r="V1012" s="272"/>
      <c r="W1012" s="258"/>
      <c r="X1012" s="257">
        <f>SUM(X1010:X1011)</f>
        <v>3510724.335858528</v>
      </c>
      <c r="Y1012" s="186" t="s">
        <v>0</v>
      </c>
      <c r="Z1012" s="162" t="s">
        <v>0</v>
      </c>
      <c r="AA1012" s="369">
        <f>(L1012-I1012)/I1012</f>
        <v>3.3924480869971206E-2</v>
      </c>
      <c r="AB1012" s="110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</row>
    <row r="1013" spans="1:47" ht="16.5" hidden="1" thickTop="1">
      <c r="A1013" s="169"/>
      <c r="B1013" s="169"/>
      <c r="C1013" s="189"/>
      <c r="D1013" s="250" t="s">
        <v>0</v>
      </c>
      <c r="E1013" s="131"/>
      <c r="F1013" s="131"/>
      <c r="G1013" s="250" t="s">
        <v>0</v>
      </c>
      <c r="H1013" s="169"/>
      <c r="I1013" s="131"/>
      <c r="J1013" s="277" t="s">
        <v>0</v>
      </c>
      <c r="K1013" s="169"/>
      <c r="L1013" s="131" t="s">
        <v>0</v>
      </c>
      <c r="M1013" s="131"/>
      <c r="N1013" s="277" t="s">
        <v>0</v>
      </c>
      <c r="O1013" s="169"/>
      <c r="P1013" s="131" t="s">
        <v>0</v>
      </c>
      <c r="Q1013" s="131"/>
      <c r="R1013" s="277" t="s">
        <v>0</v>
      </c>
      <c r="S1013" s="169"/>
      <c r="T1013" s="131" t="s">
        <v>0</v>
      </c>
      <c r="U1013" s="131"/>
      <c r="V1013" s="277" t="s">
        <v>0</v>
      </c>
      <c r="W1013" s="169"/>
      <c r="X1013" s="131" t="s">
        <v>0</v>
      </c>
      <c r="Y1013" s="367">
        <f>Y956</f>
        <v>0.10968058926684592</v>
      </c>
      <c r="Z1013" s="367">
        <f>Z956</f>
        <v>0.17646591903825851</v>
      </c>
      <c r="AA1013" s="367">
        <f>AA956</f>
        <v>0.71385349169489565</v>
      </c>
      <c r="AB1013" s="110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</row>
    <row r="1014" spans="1:47" ht="16.5" hidden="1" thickTop="1">
      <c r="A1014" s="169"/>
      <c r="B1014" s="169"/>
      <c r="C1014" s="189"/>
      <c r="D1014" s="250" t="s">
        <v>0</v>
      </c>
      <c r="E1014" s="131"/>
      <c r="F1014" s="131"/>
      <c r="G1014" s="250" t="s">
        <v>0</v>
      </c>
      <c r="H1014" s="169"/>
      <c r="I1014" s="131"/>
      <c r="J1014" s="277" t="s">
        <v>0</v>
      </c>
      <c r="K1014" s="169"/>
      <c r="L1014" s="131" t="s">
        <v>0</v>
      </c>
      <c r="M1014" s="131"/>
      <c r="N1014" s="277" t="s">
        <v>0</v>
      </c>
      <c r="O1014" s="169"/>
      <c r="P1014" s="131" t="s">
        <v>0</v>
      </c>
      <c r="Q1014" s="131"/>
      <c r="R1014" s="277" t="s">
        <v>0</v>
      </c>
      <c r="S1014" s="169"/>
      <c r="T1014" s="131" t="s">
        <v>0</v>
      </c>
      <c r="U1014" s="131"/>
      <c r="V1014" s="277" t="s">
        <v>0</v>
      </c>
      <c r="W1014" s="169"/>
      <c r="X1014" s="131" t="s">
        <v>0</v>
      </c>
      <c r="Y1014" s="186">
        <f>Y1013*L1012</f>
        <v>539408.04155230685</v>
      </c>
      <c r="Z1014" s="186">
        <f>Z1013*L1012</f>
        <v>867857.62572418991</v>
      </c>
      <c r="AA1014" s="186">
        <f>AA1013*L1012</f>
        <v>3510724.335858528</v>
      </c>
      <c r="AB1014" s="110" t="s">
        <v>240</v>
      </c>
      <c r="AC1014" s="53"/>
      <c r="AD1014" s="53"/>
      <c r="AE1014" s="53"/>
      <c r="AF1014" s="53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</row>
    <row r="1015" spans="1:47" ht="16.5" hidden="1" thickTop="1">
      <c r="A1015" s="169"/>
      <c r="B1015" s="169"/>
      <c r="C1015" s="189"/>
      <c r="D1015" s="250"/>
      <c r="E1015" s="131"/>
      <c r="F1015" s="131"/>
      <c r="G1015" s="250"/>
      <c r="H1015" s="169"/>
      <c r="I1015" s="131"/>
      <c r="J1015" s="250"/>
      <c r="K1015" s="169"/>
      <c r="L1015" s="273"/>
      <c r="M1015" s="273"/>
      <c r="N1015" s="250"/>
      <c r="O1015" s="169"/>
      <c r="P1015" s="273"/>
      <c r="Q1015" s="273"/>
      <c r="R1015" s="250"/>
      <c r="S1015" s="169"/>
      <c r="T1015" s="273"/>
      <c r="U1015" s="273"/>
      <c r="V1015" s="250"/>
      <c r="W1015" s="169"/>
      <c r="X1015" s="273"/>
      <c r="Y1015" s="53"/>
      <c r="Z1015" s="110"/>
      <c r="AA1015" s="110"/>
      <c r="AB1015" s="110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</row>
    <row r="1016" spans="1:47" ht="16.5" hidden="1" thickTop="1">
      <c r="A1016" s="188" t="s">
        <v>235</v>
      </c>
      <c r="B1016" s="169"/>
      <c r="C1016" s="169"/>
      <c r="D1016" s="131"/>
      <c r="E1016" s="131"/>
      <c r="F1016" s="169"/>
      <c r="G1016" s="131"/>
      <c r="H1016" s="169"/>
      <c r="I1016" s="169"/>
      <c r="J1016" s="131"/>
      <c r="K1016" s="169"/>
      <c r="L1016" s="169"/>
      <c r="M1016" s="169"/>
      <c r="N1016" s="131"/>
      <c r="O1016" s="169"/>
      <c r="P1016" s="169"/>
      <c r="Q1016" s="169"/>
      <c r="R1016" s="131"/>
      <c r="S1016" s="169"/>
      <c r="T1016" s="169"/>
      <c r="U1016" s="169"/>
      <c r="V1016" s="131"/>
      <c r="W1016" s="169"/>
      <c r="X1016" s="169"/>
      <c r="Y1016" s="53"/>
      <c r="Z1016" s="110"/>
      <c r="AA1016" s="110"/>
      <c r="AB1016" s="110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</row>
    <row r="1017" spans="1:47" ht="16.5" hidden="1" thickTop="1">
      <c r="A1017" s="154" t="s">
        <v>244</v>
      </c>
      <c r="B1017" s="169"/>
      <c r="C1017" s="169"/>
      <c r="D1017" s="131"/>
      <c r="E1017" s="131"/>
      <c r="F1017" s="169"/>
      <c r="G1017" s="131"/>
      <c r="H1017" s="169"/>
      <c r="I1017" s="169"/>
      <c r="J1017" s="131"/>
      <c r="K1017" s="169"/>
      <c r="L1017" s="169"/>
      <c r="M1017" s="169"/>
      <c r="N1017" s="131"/>
      <c r="O1017" s="169"/>
      <c r="P1017" s="169"/>
      <c r="Q1017" s="169"/>
      <c r="R1017" s="131"/>
      <c r="S1017" s="169"/>
      <c r="T1017" s="169"/>
      <c r="U1017" s="169"/>
      <c r="V1017" s="131"/>
      <c r="W1017" s="169"/>
      <c r="X1017" s="169"/>
      <c r="Y1017" s="53"/>
      <c r="Z1017" s="110"/>
      <c r="AA1017" s="110"/>
      <c r="AB1017" s="110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</row>
    <row r="1018" spans="1:47" ht="16.5" hidden="1" thickTop="1">
      <c r="A1018" s="169" t="s">
        <v>0</v>
      </c>
      <c r="B1018" s="169"/>
      <c r="C1018" s="169"/>
      <c r="D1018" s="131"/>
      <c r="E1018" s="131"/>
      <c r="F1018" s="169"/>
      <c r="G1018" s="131"/>
      <c r="H1018" s="169"/>
      <c r="I1018" s="169"/>
      <c r="J1018" s="131"/>
      <c r="K1018" s="169"/>
      <c r="L1018" s="169"/>
      <c r="M1018" s="169"/>
      <c r="N1018" s="131"/>
      <c r="O1018" s="169"/>
      <c r="P1018" s="169"/>
      <c r="Q1018" s="169"/>
      <c r="R1018" s="131"/>
      <c r="S1018" s="169"/>
      <c r="T1018" s="169"/>
      <c r="U1018" s="169"/>
      <c r="V1018" s="131"/>
      <c r="W1018" s="169"/>
      <c r="X1018" s="169"/>
      <c r="Y1018" s="53"/>
      <c r="Z1018" s="110"/>
      <c r="AA1018" s="110"/>
      <c r="AB1018" s="110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</row>
    <row r="1019" spans="1:47" ht="16.5" hidden="1" thickTop="1">
      <c r="A1019" s="231" t="s">
        <v>146</v>
      </c>
      <c r="B1019" s="169"/>
      <c r="C1019" s="227"/>
      <c r="D1019" s="131"/>
      <c r="E1019" s="131"/>
      <c r="F1019" s="169"/>
      <c r="G1019" s="131"/>
      <c r="H1019" s="169"/>
      <c r="I1019" s="169"/>
      <c r="J1019" s="131"/>
      <c r="K1019" s="169"/>
      <c r="L1019" s="169"/>
      <c r="M1019" s="169"/>
      <c r="N1019" s="131"/>
      <c r="O1019" s="169"/>
      <c r="P1019" s="169"/>
      <c r="Q1019" s="169"/>
      <c r="R1019" s="131"/>
      <c r="S1019" s="169"/>
      <c r="T1019" s="169"/>
      <c r="U1019" s="169"/>
      <c r="V1019" s="131"/>
      <c r="W1019" s="169"/>
      <c r="X1019" s="169"/>
      <c r="Z1019" s="110"/>
      <c r="AA1019" s="110"/>
      <c r="AB1019" s="110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</row>
    <row r="1020" spans="1:47" ht="16.5" hidden="1" thickTop="1">
      <c r="A1020" s="231" t="s">
        <v>231</v>
      </c>
      <c r="B1020" s="169"/>
      <c r="C1020" s="227">
        <v>106.272727272727</v>
      </c>
      <c r="D1020" s="250">
        <v>1419</v>
      </c>
      <c r="E1020" s="250"/>
      <c r="F1020" s="131">
        <f>ROUND(D1020*$C1020,0)</f>
        <v>150801</v>
      </c>
      <c r="G1020" s="250">
        <v>1419</v>
      </c>
      <c r="H1020" s="229"/>
      <c r="I1020" s="131">
        <f>ROUND(G1020*C1020,0)</f>
        <v>150801</v>
      </c>
      <c r="J1020" s="250">
        <f>J999</f>
        <v>1419</v>
      </c>
      <c r="K1020" s="229"/>
      <c r="L1020" s="131">
        <f>ROUND(J1020*$C1020,0)</f>
        <v>150801</v>
      </c>
      <c r="M1020" s="131"/>
      <c r="N1020" s="250">
        <f>N999</f>
        <v>1419</v>
      </c>
      <c r="O1020" s="229"/>
      <c r="P1020" s="131">
        <f>ROUND(N1020*$C1020,0)</f>
        <v>150801</v>
      </c>
      <c r="Q1020" s="131"/>
      <c r="R1020" s="250" t="str">
        <f>R999</f>
        <v xml:space="preserve"> </v>
      </c>
      <c r="S1020" s="229"/>
      <c r="T1020" s="131">
        <f>ROUND(R1020*$C1020,0)</f>
        <v>0</v>
      </c>
      <c r="U1020" s="131"/>
      <c r="V1020" s="250" t="str">
        <f>V999</f>
        <v xml:space="preserve"> </v>
      </c>
      <c r="W1020" s="229"/>
      <c r="X1020" s="131">
        <f>ROUND(V1020*$C1020,0)</f>
        <v>0</v>
      </c>
      <c r="Y1020" s="53"/>
      <c r="Z1020" s="110"/>
      <c r="AA1020" s="110"/>
      <c r="AB1020" s="110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</row>
    <row r="1021" spans="1:47" ht="16.5" hidden="1" thickTop="1">
      <c r="A1021" s="231" t="s">
        <v>232</v>
      </c>
      <c r="B1021" s="169"/>
      <c r="C1021" s="227">
        <v>0</v>
      </c>
      <c r="D1021" s="250">
        <v>1707</v>
      </c>
      <c r="E1021" s="250"/>
      <c r="F1021" s="131">
        <f>ROUND(D1021*$C1021,0)</f>
        <v>0</v>
      </c>
      <c r="G1021" s="250">
        <v>1707</v>
      </c>
      <c r="H1021" s="232"/>
      <c r="I1021" s="131">
        <f>ROUND(G1021*C1021,0)</f>
        <v>0</v>
      </c>
      <c r="J1021" s="250">
        <f>J1000</f>
        <v>1707</v>
      </c>
      <c r="K1021" s="232"/>
      <c r="L1021" s="131">
        <f>ROUND(J1021*$C1021,0)</f>
        <v>0</v>
      </c>
      <c r="M1021" s="131"/>
      <c r="N1021" s="250">
        <f>N1000</f>
        <v>1707</v>
      </c>
      <c r="O1021" s="232"/>
      <c r="P1021" s="131">
        <f>ROUND(N1021*$C1021,0)</f>
        <v>0</v>
      </c>
      <c r="Q1021" s="131"/>
      <c r="R1021" s="250" t="str">
        <f>R1000</f>
        <v xml:space="preserve"> </v>
      </c>
      <c r="S1021" s="232"/>
      <c r="T1021" s="131">
        <f>ROUND(R1021*$C1021,0)</f>
        <v>0</v>
      </c>
      <c r="U1021" s="131"/>
      <c r="V1021" s="250" t="str">
        <f>V1000</f>
        <v xml:space="preserve"> </v>
      </c>
      <c r="W1021" s="232"/>
      <c r="X1021" s="131">
        <f>ROUND(V1021*$C1021,0)</f>
        <v>0</v>
      </c>
      <c r="Y1021" s="53"/>
      <c r="Z1021" s="110"/>
      <c r="AA1021" s="110"/>
      <c r="AB1021" s="110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</row>
    <row r="1022" spans="1:47" ht="16.5" hidden="1" thickTop="1">
      <c r="A1022" s="231" t="s">
        <v>147</v>
      </c>
      <c r="B1022" s="169"/>
      <c r="C1022" s="227">
        <f>SUM(C1020:C1021)</f>
        <v>106.272727272727</v>
      </c>
      <c r="D1022" s="250" t="s">
        <v>0</v>
      </c>
      <c r="E1022" s="250"/>
      <c r="F1022" s="131" t="s">
        <v>0</v>
      </c>
      <c r="G1022" s="250" t="s">
        <v>0</v>
      </c>
      <c r="H1022" s="229"/>
      <c r="I1022" s="131" t="s">
        <v>0</v>
      </c>
      <c r="J1022" s="250" t="s">
        <v>0</v>
      </c>
      <c r="K1022" s="229"/>
      <c r="L1022" s="131" t="s">
        <v>0</v>
      </c>
      <c r="M1022" s="131"/>
      <c r="N1022" s="250" t="s">
        <v>0</v>
      </c>
      <c r="O1022" s="229"/>
      <c r="P1022" s="131" t="s">
        <v>0</v>
      </c>
      <c r="Q1022" s="131"/>
      <c r="R1022" s="250" t="s">
        <v>0</v>
      </c>
      <c r="S1022" s="229"/>
      <c r="T1022" s="131" t="s">
        <v>0</v>
      </c>
      <c r="U1022" s="131"/>
      <c r="V1022" s="250" t="s">
        <v>0</v>
      </c>
      <c r="W1022" s="229"/>
      <c r="X1022" s="131" t="s">
        <v>0</v>
      </c>
      <c r="Y1022" s="53"/>
      <c r="Z1022" s="110"/>
      <c r="AA1022" s="110"/>
      <c r="AB1022" s="110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</row>
    <row r="1023" spans="1:47" ht="16.5" hidden="1" thickTop="1">
      <c r="A1023" s="231" t="s">
        <v>233</v>
      </c>
      <c r="B1023" s="169"/>
      <c r="C1023" s="227">
        <v>191834.454545455</v>
      </c>
      <c r="D1023" s="250">
        <v>0.53</v>
      </c>
      <c r="E1023" s="250"/>
      <c r="F1023" s="131">
        <f>ROUND(D1023*$C1023,0)</f>
        <v>101672</v>
      </c>
      <c r="G1023" s="250">
        <v>0.53</v>
      </c>
      <c r="H1023" s="229"/>
      <c r="I1023" s="131">
        <f t="shared" ref="I1023:I1025" si="244">ROUND(G1023*C1023,0)</f>
        <v>101672</v>
      </c>
      <c r="J1023" s="250">
        <f>J1002</f>
        <v>0.56000000000000005</v>
      </c>
      <c r="K1023" s="229"/>
      <c r="L1023" s="131">
        <f>ROUND(J1023*$C1023,0)</f>
        <v>107427</v>
      </c>
      <c r="M1023" s="131"/>
      <c r="N1023" s="250">
        <f>N1002</f>
        <v>0.56000000000000005</v>
      </c>
      <c r="O1023" s="229"/>
      <c r="P1023" s="131">
        <f>ROUND(N1023*$C1023,0)</f>
        <v>107427</v>
      </c>
      <c r="Q1023" s="131"/>
      <c r="R1023" s="250" t="str">
        <f>R1002</f>
        <v xml:space="preserve"> </v>
      </c>
      <c r="S1023" s="229"/>
      <c r="T1023" s="131">
        <f>ROUND(R1023*$C1023,0)</f>
        <v>0</v>
      </c>
      <c r="U1023" s="131"/>
      <c r="V1023" s="250" t="str">
        <f>V1002</f>
        <v xml:space="preserve"> </v>
      </c>
      <c r="W1023" s="229"/>
      <c r="X1023" s="131">
        <f>ROUND(V1023*$C1023,0)</f>
        <v>0</v>
      </c>
      <c r="Y1023" s="222" t="s">
        <v>0</v>
      </c>
      <c r="Z1023" s="110"/>
      <c r="AA1023" s="110" t="s">
        <v>0</v>
      </c>
      <c r="AB1023" s="110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</row>
    <row r="1024" spans="1:47" ht="16.5" hidden="1" thickTop="1">
      <c r="A1024" s="231" t="s">
        <v>234</v>
      </c>
      <c r="B1024" s="169"/>
      <c r="C1024" s="227">
        <v>0</v>
      </c>
      <c r="D1024" s="250">
        <v>0.43</v>
      </c>
      <c r="E1024" s="250"/>
      <c r="F1024" s="131">
        <f>ROUND(D1024*$C1024,0)</f>
        <v>0</v>
      </c>
      <c r="G1024" s="250">
        <v>0.43</v>
      </c>
      <c r="H1024" s="229"/>
      <c r="I1024" s="131">
        <f t="shared" si="244"/>
        <v>0</v>
      </c>
      <c r="J1024" s="250">
        <f>J1003</f>
        <v>0.45</v>
      </c>
      <c r="K1024" s="229"/>
      <c r="L1024" s="131">
        <f>ROUND(J1024*$C1024,0)</f>
        <v>0</v>
      </c>
      <c r="M1024" s="131"/>
      <c r="N1024" s="250">
        <f>N1003</f>
        <v>0.45</v>
      </c>
      <c r="O1024" s="229"/>
      <c r="P1024" s="131">
        <f>ROUND(N1024*$C1024,0)</f>
        <v>0</v>
      </c>
      <c r="Q1024" s="131"/>
      <c r="R1024" s="250" t="str">
        <f>R1003</f>
        <v xml:space="preserve"> </v>
      </c>
      <c r="S1024" s="229"/>
      <c r="T1024" s="131">
        <f>ROUND(R1024*$C1024,0)</f>
        <v>0</v>
      </c>
      <c r="U1024" s="131"/>
      <c r="V1024" s="250" t="str">
        <f>V1003</f>
        <v xml:space="preserve"> </v>
      </c>
      <c r="W1024" s="229"/>
      <c r="X1024" s="131">
        <f>ROUND(V1024*$C1024,0)</f>
        <v>0</v>
      </c>
      <c r="Y1024" s="53"/>
      <c r="Z1024" s="110"/>
      <c r="AA1024" s="110"/>
      <c r="AB1024" s="110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</row>
    <row r="1025" spans="1:47" ht="16.5" hidden="1" thickTop="1">
      <c r="A1025" s="154" t="s">
        <v>161</v>
      </c>
      <c r="B1025" s="169"/>
      <c r="C1025" s="227">
        <v>152726.48484848501</v>
      </c>
      <c r="D1025" s="250">
        <v>6.99</v>
      </c>
      <c r="E1025" s="250"/>
      <c r="F1025" s="131">
        <f>ROUND(D1025*$C1025,0)</f>
        <v>1067558</v>
      </c>
      <c r="G1025" s="250">
        <v>7.4</v>
      </c>
      <c r="H1025" s="229"/>
      <c r="I1025" s="131">
        <f t="shared" si="244"/>
        <v>1130176</v>
      </c>
      <c r="J1025" s="250">
        <f>J1004</f>
        <v>7.67</v>
      </c>
      <c r="K1025" s="229"/>
      <c r="L1025" s="131">
        <f>ROUND(J1025*$C1025,0)</f>
        <v>1171412</v>
      </c>
      <c r="M1025" s="131"/>
      <c r="N1025" s="250">
        <f>N1004</f>
        <v>1.3072459028066084</v>
      </c>
      <c r="O1025" s="229"/>
      <c r="P1025" s="131">
        <f>ROUND(N1025*$C1025,0)</f>
        <v>199651</v>
      </c>
      <c r="Q1025" s="131"/>
      <c r="R1025" s="250">
        <f>R1004</f>
        <v>1.2611312230026581</v>
      </c>
      <c r="S1025" s="229"/>
      <c r="T1025" s="131">
        <f>ROUND(R1025*$C1025,0)</f>
        <v>192608</v>
      </c>
      <c r="U1025" s="131"/>
      <c r="V1025" s="250">
        <f>V1004</f>
        <v>5.0916249026007181</v>
      </c>
      <c r="W1025" s="229"/>
      <c r="X1025" s="131">
        <f>ROUND(V1025*$C1025,0)</f>
        <v>777626</v>
      </c>
      <c r="Y1025" s="53"/>
      <c r="Z1025" s="110"/>
      <c r="AA1025" s="110"/>
      <c r="AB1025" s="110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</row>
    <row r="1026" spans="1:47" ht="16.5" hidden="1" thickTop="1">
      <c r="A1026" s="231" t="s">
        <v>183</v>
      </c>
      <c r="B1026" s="169"/>
      <c r="C1026" s="227"/>
      <c r="D1026" s="250" t="s">
        <v>0</v>
      </c>
      <c r="E1026" s="250"/>
      <c r="F1026" s="131"/>
      <c r="G1026" s="250" t="s">
        <v>0</v>
      </c>
      <c r="H1026" s="229"/>
      <c r="I1026" s="131"/>
      <c r="J1026" s="250" t="s">
        <v>0</v>
      </c>
      <c r="K1026" s="229"/>
      <c r="L1026" s="131"/>
      <c r="M1026" s="131"/>
      <c r="N1026" s="250" t="s">
        <v>0</v>
      </c>
      <c r="O1026" s="229"/>
      <c r="P1026" s="131"/>
      <c r="Q1026" s="131"/>
      <c r="R1026" s="250" t="s">
        <v>0</v>
      </c>
      <c r="S1026" s="229"/>
      <c r="T1026" s="131"/>
      <c r="U1026" s="131"/>
      <c r="V1026" s="250" t="s">
        <v>0</v>
      </c>
      <c r="W1026" s="229"/>
      <c r="X1026" s="131"/>
      <c r="Y1026" s="53"/>
      <c r="Z1026" s="110"/>
      <c r="AA1026" s="110"/>
      <c r="AB1026" s="110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</row>
    <row r="1027" spans="1:47" ht="16.5" hidden="1" thickTop="1">
      <c r="A1027" s="231" t="s">
        <v>222</v>
      </c>
      <c r="B1027" s="169"/>
      <c r="C1027" s="227">
        <v>63272636.012304217</v>
      </c>
      <c r="D1027" s="345">
        <v>4.1920000000000002</v>
      </c>
      <c r="E1027" s="229" t="s">
        <v>107</v>
      </c>
      <c r="F1027" s="131">
        <f>ROUND(D1027/100*$C1027,0)</f>
        <v>2652389</v>
      </c>
      <c r="G1027" s="345">
        <v>4.4589999999999996</v>
      </c>
      <c r="H1027" s="229" t="s">
        <v>107</v>
      </c>
      <c r="I1027" s="131">
        <f>ROUND(G1027/100*C1027,0)</f>
        <v>2821327</v>
      </c>
      <c r="J1027" s="345">
        <f>J1006</f>
        <v>4.6099999999999994</v>
      </c>
      <c r="K1027" s="229" t="s">
        <v>107</v>
      </c>
      <c r="L1027" s="131">
        <f>ROUND(J1027/100*$C1027,0)</f>
        <v>2916869</v>
      </c>
      <c r="M1027" s="131"/>
      <c r="N1027" s="345" t="str">
        <f>N1006</f>
        <v xml:space="preserve"> </v>
      </c>
      <c r="O1027" s="229" t="s">
        <v>107</v>
      </c>
      <c r="P1027" s="131">
        <f>ROUND(N1027/100*$C1027,0)</f>
        <v>0</v>
      </c>
      <c r="Q1027" s="131"/>
      <c r="R1027" s="345">
        <f>R1006</f>
        <v>0.91400000000000003</v>
      </c>
      <c r="S1027" s="229" t="s">
        <v>107</v>
      </c>
      <c r="T1027" s="131">
        <f>ROUND(R1027/100*$C1027,0)</f>
        <v>578312</v>
      </c>
      <c r="U1027" s="131"/>
      <c r="V1027" s="345">
        <f>V1006</f>
        <v>3.6960000000000002</v>
      </c>
      <c r="W1027" s="229" t="s">
        <v>107</v>
      </c>
      <c r="X1027" s="131">
        <f>ROUND(V1027/100*$C1027,0)</f>
        <v>2338557</v>
      </c>
      <c r="Y1027" s="53"/>
      <c r="Z1027" s="110"/>
      <c r="AA1027" s="110"/>
      <c r="AB1027" s="110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</row>
    <row r="1028" spans="1:47" ht="16.5" hidden="1" thickTop="1">
      <c r="A1028" s="231" t="s">
        <v>152</v>
      </c>
      <c r="B1028" s="169"/>
      <c r="C1028" s="227">
        <v>12916.333333333299</v>
      </c>
      <c r="D1028" s="250">
        <v>0.54</v>
      </c>
      <c r="E1028" s="229"/>
      <c r="F1028" s="131">
        <f>ROUND(D1028*$C1028,0)</f>
        <v>6975</v>
      </c>
      <c r="G1028" s="250">
        <v>0.54</v>
      </c>
      <c r="H1028" s="229"/>
      <c r="I1028" s="131">
        <f>ROUND(G1028*C1028,0)</f>
        <v>6975</v>
      </c>
      <c r="J1028" s="250">
        <f>J1007</f>
        <v>0.54</v>
      </c>
      <c r="K1028" s="229"/>
      <c r="L1028" s="131">
        <f>ROUND(J1028*$C1028,0)</f>
        <v>6975</v>
      </c>
      <c r="M1028" s="131"/>
      <c r="N1028" s="250" t="str">
        <f>N1007</f>
        <v xml:space="preserve"> </v>
      </c>
      <c r="O1028" s="229"/>
      <c r="P1028" s="131">
        <f>ROUND(N1028*$C1028,0)</f>
        <v>0</v>
      </c>
      <c r="Q1028" s="131"/>
      <c r="R1028" s="250">
        <f>R1007</f>
        <v>0.11</v>
      </c>
      <c r="S1028" s="229"/>
      <c r="T1028" s="131">
        <f>ROUND(R1028*$C1028,0)</f>
        <v>1421</v>
      </c>
      <c r="U1028" s="131"/>
      <c r="V1028" s="250">
        <f>V1007</f>
        <v>0.43</v>
      </c>
      <c r="W1028" s="229"/>
      <c r="X1028" s="131">
        <f>ROUND(V1028*$C1028,0)</f>
        <v>5554</v>
      </c>
      <c r="Y1028" s="53"/>
      <c r="Z1028" s="110"/>
      <c r="AA1028" s="110"/>
      <c r="AB1028" s="110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</row>
    <row r="1029" spans="1:47" s="141" customFormat="1" ht="16.5" hidden="1" thickTop="1">
      <c r="A1029" s="140" t="s">
        <v>223</v>
      </c>
      <c r="C1029" s="142">
        <f>C1027</f>
        <v>63272636.012304217</v>
      </c>
      <c r="D1029" s="138"/>
      <c r="E1029" s="143"/>
      <c r="F1029" s="144"/>
      <c r="G1029" s="138"/>
      <c r="H1029" s="143"/>
      <c r="I1029" s="144"/>
      <c r="J1029" s="145">
        <f>J1008</f>
        <v>0</v>
      </c>
      <c r="K1029" s="283" t="s">
        <v>107</v>
      </c>
      <c r="L1029" s="144">
        <f>ROUND(J1029/100*$C1029,0)</f>
        <v>0</v>
      </c>
      <c r="M1029" s="144"/>
      <c r="N1029" s="145" t="str">
        <f>N1008</f>
        <v xml:space="preserve"> </v>
      </c>
      <c r="O1029" s="283" t="s">
        <v>107</v>
      </c>
      <c r="P1029" s="144">
        <f>ROUND(N1029/100*$C1029,0)</f>
        <v>0</v>
      </c>
      <c r="Q1029" s="144"/>
      <c r="R1029" s="145" t="str">
        <f>R1008</f>
        <v xml:space="preserve"> </v>
      </c>
      <c r="S1029" s="283" t="s">
        <v>107</v>
      </c>
      <c r="T1029" s="144">
        <f>ROUND(R1029/100*$C1029,0)</f>
        <v>0</v>
      </c>
      <c r="U1029" s="144"/>
      <c r="V1029" s="145">
        <f>V1008</f>
        <v>0</v>
      </c>
      <c r="W1029" s="283" t="s">
        <v>107</v>
      </c>
      <c r="X1029" s="144">
        <f>ROUND(V1029/100*$C1029,0)</f>
        <v>0</v>
      </c>
      <c r="Z1029" s="132"/>
      <c r="AC1029" s="148"/>
      <c r="AD1029" s="148"/>
      <c r="AI1029" s="143"/>
      <c r="AJ1029" s="143"/>
      <c r="AK1029" s="143"/>
      <c r="AL1029" s="143"/>
      <c r="AM1029" s="143"/>
      <c r="AN1029" s="143"/>
      <c r="AO1029" s="143"/>
      <c r="AP1029" s="143"/>
      <c r="AQ1029" s="143"/>
      <c r="AR1029" s="143"/>
      <c r="AS1029" s="143"/>
      <c r="AU1029" s="147"/>
    </row>
    <row r="1030" spans="1:47" ht="16.5" hidden="1" thickTop="1">
      <c r="A1030" s="169" t="s">
        <v>133</v>
      </c>
      <c r="B1030" s="169"/>
      <c r="C1030" s="227">
        <f>C1027</f>
        <v>63272636.012304217</v>
      </c>
      <c r="D1030" s="237"/>
      <c r="E1030" s="131"/>
      <c r="F1030" s="131">
        <f>SUM(F1020:F1028)</f>
        <v>3979395</v>
      </c>
      <c r="G1030" s="237"/>
      <c r="H1030" s="169"/>
      <c r="I1030" s="131">
        <f>SUM(I1020:I1028)</f>
        <v>4210951</v>
      </c>
      <c r="J1030" s="237"/>
      <c r="K1030" s="169"/>
      <c r="L1030" s="131">
        <f>SUM(L1020:L1029)</f>
        <v>4353484</v>
      </c>
      <c r="M1030" s="131"/>
      <c r="N1030" s="237"/>
      <c r="O1030" s="169"/>
      <c r="P1030" s="131">
        <f>SUM(P1020:P1029)</f>
        <v>457879</v>
      </c>
      <c r="Q1030" s="131"/>
      <c r="R1030" s="237"/>
      <c r="S1030" s="169"/>
      <c r="T1030" s="131">
        <f>SUM(T1020:T1029)</f>
        <v>772341</v>
      </c>
      <c r="U1030" s="131"/>
      <c r="V1030" s="237"/>
      <c r="W1030" s="169"/>
      <c r="X1030" s="131">
        <f>SUM(X1020:X1029)</f>
        <v>3121737</v>
      </c>
      <c r="Y1030" s="53"/>
      <c r="Z1030" s="110"/>
      <c r="AA1030" s="110"/>
      <c r="AB1030" s="110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</row>
    <row r="1031" spans="1:47" ht="16.5" hidden="1" thickTop="1">
      <c r="A1031" s="169" t="s">
        <v>111</v>
      </c>
      <c r="B1031" s="169"/>
      <c r="C1031" s="227">
        <f>C1030/($C$972+$C$1030)*$C$1067</f>
        <v>-181609.39337193142</v>
      </c>
      <c r="D1031" s="154"/>
      <c r="E1031" s="154"/>
      <c r="F1031" s="342">
        <f>I1031</f>
        <v>-9981.7737565389725</v>
      </c>
      <c r="G1031" s="154"/>
      <c r="H1031" s="154"/>
      <c r="I1031" s="253">
        <f>I1030/($I$972+$I$1030)*$I$1067</f>
        <v>-9981.7737565389725</v>
      </c>
      <c r="J1031" s="154"/>
      <c r="K1031" s="154"/>
      <c r="L1031" s="254">
        <f>I1031</f>
        <v>-9981.7737565389725</v>
      </c>
      <c r="M1031" s="230"/>
      <c r="N1031" s="154"/>
      <c r="O1031" s="154"/>
      <c r="P1031" s="254">
        <f>$L$1031*Y1014/(Y1014+$Z$1014+$AA$1014)</f>
        <v>-1094.8068275455325</v>
      </c>
      <c r="Q1031" s="153"/>
      <c r="R1031" s="154"/>
      <c r="S1031" s="154"/>
      <c r="T1031" s="254">
        <f>$L$1031*Z1014/(Y1014+$Z$1014+$AA$1014)</f>
        <v>-1761.4428795796196</v>
      </c>
      <c r="U1031" s="153"/>
      <c r="V1031" s="154"/>
      <c r="W1031" s="154"/>
      <c r="X1031" s="254">
        <f>$L$1031*AA1014/(Y1014+$Z$1014+$AA$1014)</f>
        <v>-7125.5240494138216</v>
      </c>
      <c r="Y1031" s="185"/>
      <c r="Z1031" s="183"/>
      <c r="AA1031" s="110"/>
      <c r="AB1031" s="110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</row>
    <row r="1032" spans="1:47" ht="17.25" hidden="1" thickTop="1" thickBot="1">
      <c r="A1032" s="169" t="s">
        <v>134</v>
      </c>
      <c r="B1032" s="169"/>
      <c r="C1032" s="343">
        <f>SUM(C1030)+C1031</f>
        <v>63091026.618932284</v>
      </c>
      <c r="D1032" s="272"/>
      <c r="E1032" s="256"/>
      <c r="F1032" s="257">
        <f>F1030+F1031</f>
        <v>3969413.226243461</v>
      </c>
      <c r="G1032" s="272"/>
      <c r="H1032" s="258"/>
      <c r="I1032" s="257">
        <f>I1030+I1031</f>
        <v>4200969.2262434615</v>
      </c>
      <c r="J1032" s="272"/>
      <c r="K1032" s="258"/>
      <c r="L1032" s="257">
        <f>L1030+L1031</f>
        <v>4343502.2262434615</v>
      </c>
      <c r="M1032" s="257"/>
      <c r="N1032" s="272"/>
      <c r="O1032" s="258"/>
      <c r="P1032" s="257">
        <f>P1030+P1031</f>
        <v>456784.19317245448</v>
      </c>
      <c r="Q1032" s="257"/>
      <c r="R1032" s="272"/>
      <c r="S1032" s="258"/>
      <c r="T1032" s="257">
        <f>T1030+T1031</f>
        <v>770579.55712042039</v>
      </c>
      <c r="U1032" s="257"/>
      <c r="V1032" s="272"/>
      <c r="W1032" s="258"/>
      <c r="X1032" s="257">
        <f>X1030+X1031</f>
        <v>3114611.4759505861</v>
      </c>
      <c r="Y1032" s="186" t="s">
        <v>0</v>
      </c>
      <c r="Z1032" s="187"/>
      <c r="AA1032" s="110"/>
      <c r="AB1032" s="110"/>
      <c r="AC1032" s="93" t="s">
        <v>0</v>
      </c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</row>
    <row r="1033" spans="1:47" ht="16.5" hidden="1" thickTop="1">
      <c r="A1033" s="169"/>
      <c r="B1033" s="169"/>
      <c r="C1033" s="189"/>
      <c r="D1033" s="250" t="s">
        <v>0</v>
      </c>
      <c r="E1033" s="131"/>
      <c r="F1033" s="131"/>
      <c r="G1033" s="250" t="s">
        <v>0</v>
      </c>
      <c r="H1033" s="169"/>
      <c r="I1033" s="131"/>
      <c r="J1033" s="277" t="s">
        <v>0</v>
      </c>
      <c r="K1033" s="169"/>
      <c r="L1033" s="131" t="s">
        <v>0</v>
      </c>
      <c r="M1033" s="131"/>
      <c r="N1033" s="277" t="s">
        <v>0</v>
      </c>
      <c r="O1033" s="169"/>
      <c r="P1033" s="131" t="s">
        <v>0</v>
      </c>
      <c r="Q1033" s="131"/>
      <c r="R1033" s="277" t="s">
        <v>0</v>
      </c>
      <c r="S1033" s="169"/>
      <c r="T1033" s="131" t="s">
        <v>0</v>
      </c>
      <c r="U1033" s="131"/>
      <c r="V1033" s="277" t="s">
        <v>0</v>
      </c>
      <c r="W1033" s="169"/>
      <c r="X1033" s="131" t="s">
        <v>0</v>
      </c>
      <c r="Y1033" s="53"/>
      <c r="Z1033" s="110"/>
      <c r="AA1033" s="110"/>
      <c r="AB1033" s="110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</row>
    <row r="1034" spans="1:47" ht="16.5" hidden="1" thickTop="1">
      <c r="A1034" s="188" t="s">
        <v>235</v>
      </c>
      <c r="B1034" s="169"/>
      <c r="C1034" s="169"/>
      <c r="D1034" s="131"/>
      <c r="E1034" s="131"/>
      <c r="F1034" s="169"/>
      <c r="G1034" s="131"/>
      <c r="H1034" s="169"/>
      <c r="I1034" s="169"/>
      <c r="J1034" s="131"/>
      <c r="K1034" s="169"/>
      <c r="L1034" s="169"/>
      <c r="M1034" s="169"/>
      <c r="N1034" s="131"/>
      <c r="O1034" s="169"/>
      <c r="P1034" s="169"/>
      <c r="Q1034" s="169"/>
      <c r="R1034" s="131"/>
      <c r="S1034" s="169"/>
      <c r="T1034" s="169"/>
      <c r="U1034" s="169"/>
      <c r="V1034" s="131"/>
      <c r="W1034" s="169"/>
      <c r="X1034" s="169"/>
      <c r="Y1034" s="53"/>
      <c r="Z1034" s="110"/>
      <c r="AA1034" s="110"/>
      <c r="AB1034" s="110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</row>
    <row r="1035" spans="1:47" ht="16.5" hidden="1" thickTop="1">
      <c r="A1035" s="154" t="s">
        <v>245</v>
      </c>
      <c r="B1035" s="169"/>
      <c r="C1035" s="169"/>
      <c r="D1035" s="131"/>
      <c r="E1035" s="131"/>
      <c r="F1035" s="169"/>
      <c r="G1035" s="131"/>
      <c r="H1035" s="169"/>
      <c r="I1035" s="169"/>
      <c r="J1035" s="131"/>
      <c r="K1035" s="169"/>
      <c r="L1035" s="169"/>
      <c r="M1035" s="169"/>
      <c r="N1035" s="131"/>
      <c r="O1035" s="169"/>
      <c r="P1035" s="169"/>
      <c r="Q1035" s="169"/>
      <c r="R1035" s="131"/>
      <c r="S1035" s="169"/>
      <c r="T1035" s="169"/>
      <c r="U1035" s="169"/>
      <c r="V1035" s="131"/>
      <c r="W1035" s="169"/>
      <c r="X1035" s="169"/>
      <c r="Y1035" s="53"/>
      <c r="Z1035" s="110"/>
      <c r="AA1035" s="110"/>
      <c r="AB1035" s="110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</row>
    <row r="1036" spans="1:47" ht="16.5" hidden="1" thickTop="1">
      <c r="A1036" s="169" t="s">
        <v>0</v>
      </c>
      <c r="B1036" s="169"/>
      <c r="C1036" s="169"/>
      <c r="D1036" s="131"/>
      <c r="E1036" s="131"/>
      <c r="F1036" s="169"/>
      <c r="G1036" s="131"/>
      <c r="H1036" s="169"/>
      <c r="I1036" s="169"/>
      <c r="J1036" s="131"/>
      <c r="K1036" s="169"/>
      <c r="L1036" s="169"/>
      <c r="M1036" s="169"/>
      <c r="N1036" s="131"/>
      <c r="O1036" s="169"/>
      <c r="P1036" s="169"/>
      <c r="Q1036" s="169"/>
      <c r="R1036" s="131"/>
      <c r="S1036" s="169"/>
      <c r="T1036" s="169"/>
      <c r="U1036" s="169"/>
      <c r="V1036" s="131"/>
      <c r="W1036" s="169"/>
      <c r="X1036" s="169"/>
      <c r="Y1036" s="53"/>
      <c r="Z1036" s="110"/>
      <c r="AA1036" s="110"/>
      <c r="AB1036" s="110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</row>
    <row r="1037" spans="1:47" ht="16.5" hidden="1" thickTop="1">
      <c r="A1037" s="231" t="s">
        <v>146</v>
      </c>
      <c r="B1037" s="169"/>
      <c r="C1037" s="227"/>
      <c r="D1037" s="131"/>
      <c r="E1037" s="131"/>
      <c r="F1037" s="169"/>
      <c r="G1037" s="131"/>
      <c r="H1037" s="169"/>
      <c r="I1037" s="169"/>
      <c r="J1037" s="131"/>
      <c r="K1037" s="169"/>
      <c r="L1037" s="169"/>
      <c r="M1037" s="169"/>
      <c r="N1037" s="131"/>
      <c r="O1037" s="169"/>
      <c r="P1037" s="169"/>
      <c r="Q1037" s="169"/>
      <c r="R1037" s="131"/>
      <c r="S1037" s="169"/>
      <c r="T1037" s="169"/>
      <c r="U1037" s="169"/>
      <c r="V1037" s="131"/>
      <c r="W1037" s="169"/>
      <c r="X1037" s="169"/>
      <c r="Z1037" s="110"/>
      <c r="AA1037" s="110"/>
      <c r="AB1037" s="110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</row>
    <row r="1038" spans="1:47" ht="16.5" hidden="1" thickTop="1">
      <c r="A1038" s="231" t="s">
        <v>231</v>
      </c>
      <c r="B1038" s="169"/>
      <c r="C1038" s="227">
        <v>24</v>
      </c>
      <c r="D1038" s="250">
        <v>1419</v>
      </c>
      <c r="E1038" s="250"/>
      <c r="F1038" s="131">
        <f>ROUND(D1038*$C1038,0)</f>
        <v>34056</v>
      </c>
      <c r="G1038" s="250">
        <v>1419</v>
      </c>
      <c r="H1038" s="229"/>
      <c r="I1038" s="131">
        <f>ROUND(G1038*C1038,0)</f>
        <v>34056</v>
      </c>
      <c r="J1038" s="250">
        <f>J999</f>
        <v>1419</v>
      </c>
      <c r="K1038" s="229"/>
      <c r="L1038" s="131">
        <f>ROUND(J1038*$C1038,0)</f>
        <v>34056</v>
      </c>
      <c r="M1038" s="131"/>
      <c r="N1038" s="250">
        <f>N999</f>
        <v>1419</v>
      </c>
      <c r="O1038" s="229"/>
      <c r="P1038" s="131">
        <f>ROUND(N1038*$C1038,0)</f>
        <v>34056</v>
      </c>
      <c r="Q1038" s="131"/>
      <c r="R1038" s="250" t="str">
        <f>R999</f>
        <v xml:space="preserve"> </v>
      </c>
      <c r="S1038" s="229"/>
      <c r="T1038" s="131">
        <f>ROUND(R1038*$C1038,0)</f>
        <v>0</v>
      </c>
      <c r="U1038" s="131"/>
      <c r="V1038" s="250" t="str">
        <f>V999</f>
        <v xml:space="preserve"> </v>
      </c>
      <c r="W1038" s="229"/>
      <c r="X1038" s="131">
        <f>ROUND(V1038*$C1038,0)</f>
        <v>0</v>
      </c>
      <c r="Y1038" s="53"/>
      <c r="Z1038" s="110"/>
      <c r="AA1038" s="110"/>
      <c r="AB1038" s="110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</row>
    <row r="1039" spans="1:47" ht="16.5" hidden="1" thickTop="1">
      <c r="A1039" s="231" t="s">
        <v>232</v>
      </c>
      <c r="B1039" s="169"/>
      <c r="C1039" s="227">
        <v>0</v>
      </c>
      <c r="D1039" s="250">
        <v>1707</v>
      </c>
      <c r="E1039" s="250"/>
      <c r="F1039" s="131">
        <f>ROUND(D1039*$C1039,0)</f>
        <v>0</v>
      </c>
      <c r="G1039" s="250">
        <v>1707</v>
      </c>
      <c r="H1039" s="232"/>
      <c r="I1039" s="131">
        <f>ROUND(G1039*C1039,0)</f>
        <v>0</v>
      </c>
      <c r="J1039" s="250">
        <f>J1000</f>
        <v>1707</v>
      </c>
      <c r="K1039" s="232"/>
      <c r="L1039" s="131">
        <f>ROUND(J1039*$C1039,0)</f>
        <v>0</v>
      </c>
      <c r="M1039" s="131"/>
      <c r="N1039" s="250">
        <f>N1000</f>
        <v>1707</v>
      </c>
      <c r="O1039" s="232"/>
      <c r="P1039" s="131">
        <f>ROUND(N1039*$C1039,0)</f>
        <v>0</v>
      </c>
      <c r="Q1039" s="131"/>
      <c r="R1039" s="250" t="str">
        <f>R1000</f>
        <v xml:space="preserve"> </v>
      </c>
      <c r="S1039" s="232"/>
      <c r="T1039" s="131">
        <f>ROUND(R1039*$C1039,0)</f>
        <v>0</v>
      </c>
      <c r="U1039" s="131"/>
      <c r="V1039" s="250" t="str">
        <f>V1000</f>
        <v xml:space="preserve"> </v>
      </c>
      <c r="W1039" s="232"/>
      <c r="X1039" s="131">
        <f>ROUND(V1039*$C1039,0)</f>
        <v>0</v>
      </c>
      <c r="Y1039" s="53"/>
      <c r="Z1039" s="110"/>
      <c r="AA1039" s="110"/>
      <c r="AB1039" s="110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</row>
    <row r="1040" spans="1:47" ht="16.5" hidden="1" thickTop="1">
      <c r="A1040" s="231" t="s">
        <v>147</v>
      </c>
      <c r="B1040" s="169"/>
      <c r="C1040" s="227">
        <f>SUM(C1038:C1039)</f>
        <v>24</v>
      </c>
      <c r="D1040" s="250" t="s">
        <v>0</v>
      </c>
      <c r="E1040" s="250"/>
      <c r="F1040" s="131" t="s">
        <v>0</v>
      </c>
      <c r="G1040" s="250" t="s">
        <v>0</v>
      </c>
      <c r="H1040" s="229"/>
      <c r="I1040" s="131" t="s">
        <v>0</v>
      </c>
      <c r="J1040" s="250" t="s">
        <v>0</v>
      </c>
      <c r="K1040" s="229"/>
      <c r="L1040" s="131" t="s">
        <v>0</v>
      </c>
      <c r="M1040" s="131"/>
      <c r="N1040" s="250" t="s">
        <v>0</v>
      </c>
      <c r="O1040" s="229"/>
      <c r="P1040" s="131" t="s">
        <v>0</v>
      </c>
      <c r="Q1040" s="131"/>
      <c r="R1040" s="250" t="s">
        <v>0</v>
      </c>
      <c r="S1040" s="229"/>
      <c r="T1040" s="131" t="s">
        <v>0</v>
      </c>
      <c r="U1040" s="131"/>
      <c r="V1040" s="250" t="s">
        <v>0</v>
      </c>
      <c r="W1040" s="229"/>
      <c r="X1040" s="131" t="s">
        <v>0</v>
      </c>
      <c r="Y1040" s="53"/>
      <c r="Z1040" s="110"/>
      <c r="AA1040" s="110"/>
      <c r="AB1040" s="110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</row>
    <row r="1041" spans="1:47" ht="16.5" hidden="1" thickTop="1">
      <c r="A1041" s="231" t="s">
        <v>233</v>
      </c>
      <c r="B1041" s="169"/>
      <c r="C1041" s="227">
        <v>29849</v>
      </c>
      <c r="D1041" s="250">
        <v>0.53</v>
      </c>
      <c r="E1041" s="250"/>
      <c r="F1041" s="131">
        <f>ROUND(D1041*$C1041,0)</f>
        <v>15820</v>
      </c>
      <c r="G1041" s="250">
        <v>0.53</v>
      </c>
      <c r="H1041" s="229"/>
      <c r="I1041" s="131">
        <f t="shared" ref="I1041:I1043" si="245">ROUND(G1041*C1041,0)</f>
        <v>15820</v>
      </c>
      <c r="J1041" s="250">
        <f>J1002</f>
        <v>0.56000000000000005</v>
      </c>
      <c r="K1041" s="229"/>
      <c r="L1041" s="131">
        <f>ROUND(J1041*$C1041,0)</f>
        <v>16715</v>
      </c>
      <c r="M1041" s="131"/>
      <c r="N1041" s="250">
        <f>N1002</f>
        <v>0.56000000000000005</v>
      </c>
      <c r="O1041" s="229"/>
      <c r="P1041" s="131">
        <f>ROUND(N1041*$C1041,0)</f>
        <v>16715</v>
      </c>
      <c r="Q1041" s="131"/>
      <c r="R1041" s="250" t="str">
        <f>R1002</f>
        <v xml:space="preserve"> </v>
      </c>
      <c r="S1041" s="229"/>
      <c r="T1041" s="131">
        <f>ROUND(R1041*$C1041,0)</f>
        <v>0</v>
      </c>
      <c r="U1041" s="131"/>
      <c r="V1041" s="250" t="str">
        <f>V1002</f>
        <v xml:space="preserve"> </v>
      </c>
      <c r="W1041" s="229"/>
      <c r="X1041" s="131">
        <f>ROUND(V1041*$C1041,0)</f>
        <v>0</v>
      </c>
      <c r="Y1041" s="222" t="s">
        <v>0</v>
      </c>
      <c r="Z1041" s="110"/>
      <c r="AA1041" s="110" t="s">
        <v>0</v>
      </c>
      <c r="AB1041" s="110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</row>
    <row r="1042" spans="1:47" ht="16.5" hidden="1" thickTop="1">
      <c r="A1042" s="231" t="s">
        <v>234</v>
      </c>
      <c r="B1042" s="169"/>
      <c r="C1042" s="227">
        <v>0</v>
      </c>
      <c r="D1042" s="250">
        <v>0.43</v>
      </c>
      <c r="E1042" s="250"/>
      <c r="F1042" s="131">
        <f>ROUND(D1042*$C1042,0)</f>
        <v>0</v>
      </c>
      <c r="G1042" s="250">
        <v>0.43</v>
      </c>
      <c r="H1042" s="229"/>
      <c r="I1042" s="131">
        <f t="shared" si="245"/>
        <v>0</v>
      </c>
      <c r="J1042" s="250">
        <f>J1003</f>
        <v>0.45</v>
      </c>
      <c r="K1042" s="229"/>
      <c r="L1042" s="131">
        <f>ROUND(J1042*$C1042,0)</f>
        <v>0</v>
      </c>
      <c r="M1042" s="131"/>
      <c r="N1042" s="250">
        <f>N1003</f>
        <v>0.45</v>
      </c>
      <c r="O1042" s="229"/>
      <c r="P1042" s="131">
        <f>ROUND(N1042*$C1042,0)</f>
        <v>0</v>
      </c>
      <c r="Q1042" s="131"/>
      <c r="R1042" s="250" t="str">
        <f>R1003</f>
        <v xml:space="preserve"> </v>
      </c>
      <c r="S1042" s="229"/>
      <c r="T1042" s="131">
        <f>ROUND(R1042*$C1042,0)</f>
        <v>0</v>
      </c>
      <c r="U1042" s="131"/>
      <c r="V1042" s="250" t="str">
        <f>V1003</f>
        <v xml:space="preserve"> </v>
      </c>
      <c r="W1042" s="229"/>
      <c r="X1042" s="131">
        <f>ROUND(V1042*$C1042,0)</f>
        <v>0</v>
      </c>
      <c r="Y1042" s="53"/>
      <c r="Z1042" s="110"/>
      <c r="AA1042" s="110"/>
      <c r="AB1042" s="110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</row>
    <row r="1043" spans="1:47" ht="16.5" hidden="1" thickTop="1">
      <c r="A1043" s="154" t="s">
        <v>161</v>
      </c>
      <c r="B1043" s="169"/>
      <c r="C1043" s="227">
        <v>25350</v>
      </c>
      <c r="D1043" s="250">
        <v>6.99</v>
      </c>
      <c r="E1043" s="250"/>
      <c r="F1043" s="131">
        <f>ROUND(D1043*$C1043,0)</f>
        <v>177197</v>
      </c>
      <c r="G1043" s="250">
        <v>7.4</v>
      </c>
      <c r="H1043" s="229"/>
      <c r="I1043" s="131">
        <f t="shared" si="245"/>
        <v>187590</v>
      </c>
      <c r="J1043" s="250">
        <f>J1004</f>
        <v>7.67</v>
      </c>
      <c r="K1043" s="229"/>
      <c r="L1043" s="131">
        <f>ROUND(J1043*$C1043,0)</f>
        <v>194435</v>
      </c>
      <c r="M1043" s="131"/>
      <c r="N1043" s="250">
        <f>N1004</f>
        <v>1.3072459028066084</v>
      </c>
      <c r="O1043" s="229"/>
      <c r="P1043" s="131">
        <f>ROUND(N1043*$C1043,0)</f>
        <v>33139</v>
      </c>
      <c r="Q1043" s="131"/>
      <c r="R1043" s="250">
        <f>R1004</f>
        <v>1.2611312230026581</v>
      </c>
      <c r="S1043" s="229"/>
      <c r="T1043" s="131">
        <f>ROUND(R1043*$C1043,0)</f>
        <v>31970</v>
      </c>
      <c r="U1043" s="131"/>
      <c r="V1043" s="250">
        <f>V1004</f>
        <v>5.0916249026007181</v>
      </c>
      <c r="W1043" s="229"/>
      <c r="X1043" s="131">
        <f>ROUND(V1043*$C1043,0)</f>
        <v>129073</v>
      </c>
      <c r="Y1043" s="53"/>
      <c r="Z1043" s="110"/>
      <c r="AA1043" s="110"/>
      <c r="AB1043" s="110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</row>
    <row r="1044" spans="1:47" ht="16.5" hidden="1" thickTop="1">
      <c r="A1044" s="231" t="s">
        <v>183</v>
      </c>
      <c r="B1044" s="169"/>
      <c r="C1044" s="227"/>
      <c r="D1044" s="250" t="s">
        <v>0</v>
      </c>
      <c r="E1044" s="250"/>
      <c r="F1044" s="131"/>
      <c r="G1044" s="250" t="s">
        <v>0</v>
      </c>
      <c r="H1044" s="229"/>
      <c r="I1044" s="131"/>
      <c r="J1044" s="250" t="s">
        <v>0</v>
      </c>
      <c r="K1044" s="229"/>
      <c r="L1044" s="131"/>
      <c r="M1044" s="131"/>
      <c r="N1044" s="250" t="s">
        <v>0</v>
      </c>
      <c r="O1044" s="229"/>
      <c r="P1044" s="131"/>
      <c r="Q1044" s="131"/>
      <c r="R1044" s="250" t="s">
        <v>0</v>
      </c>
      <c r="S1044" s="229"/>
      <c r="T1044" s="131"/>
      <c r="U1044" s="131"/>
      <c r="V1044" s="250" t="s">
        <v>0</v>
      </c>
      <c r="W1044" s="229"/>
      <c r="X1044" s="131"/>
      <c r="Y1044" s="53"/>
      <c r="Z1044" s="110"/>
      <c r="AA1044" s="110"/>
      <c r="AB1044" s="110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</row>
    <row r="1045" spans="1:47" ht="16.5" hidden="1" thickTop="1">
      <c r="A1045" s="231" t="s">
        <v>222</v>
      </c>
      <c r="B1045" s="169"/>
      <c r="C1045" s="227">
        <v>7345800</v>
      </c>
      <c r="D1045" s="345">
        <v>4.1920000000000002</v>
      </c>
      <c r="E1045" s="229" t="s">
        <v>107</v>
      </c>
      <c r="F1045" s="131">
        <f>ROUND(D1045/100*$C1045,0)</f>
        <v>307936</v>
      </c>
      <c r="G1045" s="345">
        <v>4.4589999999999996</v>
      </c>
      <c r="H1045" s="229" t="s">
        <v>107</v>
      </c>
      <c r="I1045" s="131">
        <f>ROUND(G1045/100*C1045,0)</f>
        <v>327549</v>
      </c>
      <c r="J1045" s="345">
        <f>J1006</f>
        <v>4.6099999999999994</v>
      </c>
      <c r="K1045" s="229" t="s">
        <v>107</v>
      </c>
      <c r="L1045" s="131">
        <f>ROUND(J1045/100*$C1045,0)</f>
        <v>338641</v>
      </c>
      <c r="M1045" s="131"/>
      <c r="N1045" s="345" t="str">
        <f>N1006</f>
        <v xml:space="preserve"> </v>
      </c>
      <c r="O1045" s="229" t="s">
        <v>107</v>
      </c>
      <c r="P1045" s="131">
        <f>ROUND(N1045/100*$C1045,0)</f>
        <v>0</v>
      </c>
      <c r="Q1045" s="131"/>
      <c r="R1045" s="345">
        <f>R1006</f>
        <v>0.91400000000000003</v>
      </c>
      <c r="S1045" s="229" t="s">
        <v>107</v>
      </c>
      <c r="T1045" s="131">
        <f>ROUND(R1045/100*$C1045,0)</f>
        <v>67141</v>
      </c>
      <c r="U1045" s="131"/>
      <c r="V1045" s="345">
        <f>V1006</f>
        <v>3.6960000000000002</v>
      </c>
      <c r="W1045" s="229" t="s">
        <v>107</v>
      </c>
      <c r="X1045" s="131">
        <f>ROUND(V1045/100*$C1045,0)</f>
        <v>271501</v>
      </c>
      <c r="Y1045" s="53"/>
      <c r="Z1045" s="110"/>
      <c r="AA1045" s="110"/>
      <c r="AB1045" s="110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</row>
    <row r="1046" spans="1:47" ht="16.5" hidden="1" thickTop="1">
      <c r="A1046" s="231" t="s">
        <v>152</v>
      </c>
      <c r="B1046" s="169"/>
      <c r="C1046" s="227">
        <v>4395</v>
      </c>
      <c r="D1046" s="250">
        <v>0.54</v>
      </c>
      <c r="E1046" s="229"/>
      <c r="F1046" s="131">
        <f>ROUND(D1046*$C1046,0)</f>
        <v>2373</v>
      </c>
      <c r="G1046" s="250">
        <v>0.54</v>
      </c>
      <c r="H1046" s="229"/>
      <c r="I1046" s="131">
        <f>ROUND(G1046*C1046,0)</f>
        <v>2373</v>
      </c>
      <c r="J1046" s="250">
        <f>J1007</f>
        <v>0.54</v>
      </c>
      <c r="K1046" s="229"/>
      <c r="L1046" s="131">
        <f>ROUND(J1046*$C1046,0)</f>
        <v>2373</v>
      </c>
      <c r="M1046" s="131"/>
      <c r="N1046" s="250" t="str">
        <f>N1007</f>
        <v xml:space="preserve"> </v>
      </c>
      <c r="O1046" s="229"/>
      <c r="P1046" s="131">
        <f>ROUND(N1046*$C1046,0)</f>
        <v>0</v>
      </c>
      <c r="Q1046" s="131"/>
      <c r="R1046" s="250">
        <f>R1007</f>
        <v>0.11</v>
      </c>
      <c r="S1046" s="229"/>
      <c r="T1046" s="131">
        <f>ROUND(R1046*$C1046,0)</f>
        <v>483</v>
      </c>
      <c r="U1046" s="131"/>
      <c r="V1046" s="250">
        <f>V1007</f>
        <v>0.43</v>
      </c>
      <c r="W1046" s="229"/>
      <c r="X1046" s="131">
        <f>ROUND(V1046*$C1046,0)</f>
        <v>1890</v>
      </c>
      <c r="Y1046" s="53"/>
      <c r="Z1046" s="110"/>
      <c r="AA1046" s="110"/>
      <c r="AB1046" s="110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</row>
    <row r="1047" spans="1:47" s="141" customFormat="1" ht="16.5" hidden="1" thickTop="1">
      <c r="A1047" s="140" t="s">
        <v>223</v>
      </c>
      <c r="C1047" s="142">
        <f>C1045</f>
        <v>7345800</v>
      </c>
      <c r="D1047" s="138"/>
      <c r="E1047" s="143"/>
      <c r="F1047" s="144"/>
      <c r="G1047" s="138"/>
      <c r="H1047" s="143"/>
      <c r="I1047" s="144"/>
      <c r="J1047" s="145">
        <f>J1008</f>
        <v>0</v>
      </c>
      <c r="K1047" s="283" t="s">
        <v>107</v>
      </c>
      <c r="L1047" s="144">
        <f>ROUND(J1047/100*$C1047,0)</f>
        <v>0</v>
      </c>
      <c r="M1047" s="144"/>
      <c r="N1047" s="145" t="str">
        <f>N1008</f>
        <v xml:space="preserve"> </v>
      </c>
      <c r="O1047" s="283" t="s">
        <v>107</v>
      </c>
      <c r="P1047" s="144">
        <f>ROUND(N1047/100*$C1047,0)</f>
        <v>0</v>
      </c>
      <c r="Q1047" s="144"/>
      <c r="R1047" s="145" t="str">
        <f>R1008</f>
        <v xml:space="preserve"> </v>
      </c>
      <c r="S1047" s="283" t="s">
        <v>107</v>
      </c>
      <c r="T1047" s="144">
        <f>ROUND(R1047/100*$C1047,0)</f>
        <v>0</v>
      </c>
      <c r="U1047" s="144"/>
      <c r="V1047" s="145">
        <f>V1008</f>
        <v>0</v>
      </c>
      <c r="W1047" s="283" t="s">
        <v>107</v>
      </c>
      <c r="X1047" s="144">
        <f>ROUND(V1047/100*$C1047,0)</f>
        <v>0</v>
      </c>
      <c r="Z1047" s="132"/>
      <c r="AC1047" s="148"/>
      <c r="AD1047" s="148"/>
      <c r="AI1047" s="143"/>
      <c r="AJ1047" s="143"/>
      <c r="AK1047" s="143"/>
      <c r="AL1047" s="143"/>
      <c r="AM1047" s="143"/>
      <c r="AN1047" s="143"/>
      <c r="AO1047" s="143"/>
      <c r="AP1047" s="143"/>
      <c r="AQ1047" s="143"/>
      <c r="AR1047" s="143"/>
      <c r="AS1047" s="143"/>
      <c r="AU1047" s="147"/>
    </row>
    <row r="1048" spans="1:47" ht="16.5" hidden="1" thickTop="1">
      <c r="A1048" s="169" t="s">
        <v>133</v>
      </c>
      <c r="B1048" s="169"/>
      <c r="C1048" s="227">
        <f>C1045</f>
        <v>7345800</v>
      </c>
      <c r="D1048" s="237"/>
      <c r="E1048" s="131"/>
      <c r="F1048" s="131">
        <f>SUM(F1038:F1046)</f>
        <v>537382</v>
      </c>
      <c r="G1048" s="237"/>
      <c r="H1048" s="169"/>
      <c r="I1048" s="131">
        <f>SUM(I1038:I1046)</f>
        <v>567388</v>
      </c>
      <c r="J1048" s="237"/>
      <c r="K1048" s="169"/>
      <c r="L1048" s="131">
        <f>SUM(L1038:L1047)</f>
        <v>586220</v>
      </c>
      <c r="M1048" s="131"/>
      <c r="N1048" s="237"/>
      <c r="O1048" s="169"/>
      <c r="P1048" s="131">
        <f>SUM(P1038:P1047)</f>
        <v>83910</v>
      </c>
      <c r="Q1048" s="131"/>
      <c r="R1048" s="237"/>
      <c r="S1048" s="169"/>
      <c r="T1048" s="131">
        <f>SUM(T1038:T1047)</f>
        <v>99594</v>
      </c>
      <c r="U1048" s="131"/>
      <c r="V1048" s="237"/>
      <c r="W1048" s="169"/>
      <c r="X1048" s="131">
        <f>SUM(X1038:X1047)</f>
        <v>402464</v>
      </c>
      <c r="Y1048" s="53"/>
      <c r="Z1048" s="110"/>
      <c r="AA1048" s="110"/>
      <c r="AB1048" s="110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</row>
    <row r="1049" spans="1:47" ht="16.5" hidden="1" thickTop="1">
      <c r="A1049" s="169" t="s">
        <v>111</v>
      </c>
      <c r="B1049" s="169"/>
      <c r="C1049" s="227">
        <f>C1048/($C$990+$C$1048)*$C$1086</f>
        <v>-117661.64496301836</v>
      </c>
      <c r="D1049" s="154"/>
      <c r="E1049" s="154"/>
      <c r="F1049" s="342">
        <f>I1049</f>
        <v>-11733.223108436829</v>
      </c>
      <c r="G1049" s="154"/>
      <c r="H1049" s="154"/>
      <c r="I1049" s="253">
        <f>I1048/($I$990+$I$1048)*$I$1086</f>
        <v>-11733.223108436829</v>
      </c>
      <c r="J1049" s="154"/>
      <c r="K1049" s="154"/>
      <c r="L1049" s="254">
        <f>I1049</f>
        <v>-11733.223108436829</v>
      </c>
      <c r="M1049" s="230"/>
      <c r="N1049" s="154"/>
      <c r="O1049" s="154"/>
      <c r="P1049" s="254">
        <f>$L$1049*Y1014/(Y1014+$Z$1014+$AA$1014)</f>
        <v>-1286.9068245327248</v>
      </c>
      <c r="Q1049" s="153"/>
      <c r="R1049" s="154"/>
      <c r="S1049" s="154"/>
      <c r="T1049" s="254">
        <f>$L$1049*Z1014/(Y1014+$Z$1014+$AA$1014)</f>
        <v>-2070.5139991112369</v>
      </c>
      <c r="U1049" s="153"/>
      <c r="V1049" s="154"/>
      <c r="W1049" s="154"/>
      <c r="X1049" s="254">
        <f>$L$1049*AA1014/(Y1014+$Z$1014+$AA$1014)</f>
        <v>-8375.802284792866</v>
      </c>
      <c r="Y1049" s="185"/>
      <c r="Z1049" s="183"/>
      <c r="AA1049" s="110"/>
      <c r="AB1049" s="110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</row>
    <row r="1050" spans="1:47" ht="17.25" hidden="1" thickTop="1" thickBot="1">
      <c r="A1050" s="169" t="s">
        <v>134</v>
      </c>
      <c r="B1050" s="169"/>
      <c r="C1050" s="343">
        <f>SUM(C1048)+C1049</f>
        <v>7228138.3550369814</v>
      </c>
      <c r="D1050" s="272"/>
      <c r="E1050" s="256"/>
      <c r="F1050" s="257">
        <f>F1048+F1049</f>
        <v>525648.7768915632</v>
      </c>
      <c r="G1050" s="272"/>
      <c r="H1050" s="258"/>
      <c r="I1050" s="257">
        <f>I1048+I1049</f>
        <v>555654.7768915632</v>
      </c>
      <c r="J1050" s="272"/>
      <c r="K1050" s="258"/>
      <c r="L1050" s="257">
        <f>L1048+L1049</f>
        <v>574486.7768915632</v>
      </c>
      <c r="M1050" s="257"/>
      <c r="N1050" s="272"/>
      <c r="O1050" s="258"/>
      <c r="P1050" s="257">
        <f>P1048+P1049</f>
        <v>82623.093175467278</v>
      </c>
      <c r="Q1050" s="257"/>
      <c r="R1050" s="272"/>
      <c r="S1050" s="258"/>
      <c r="T1050" s="257">
        <f>T1048+T1049</f>
        <v>97523.486000888763</v>
      </c>
      <c r="U1050" s="257"/>
      <c r="V1050" s="272"/>
      <c r="W1050" s="258"/>
      <c r="X1050" s="257">
        <f>X1048+X1049</f>
        <v>394088.19771520712</v>
      </c>
      <c r="Y1050" s="186" t="s">
        <v>0</v>
      </c>
      <c r="Z1050" s="187"/>
      <c r="AA1050" s="110"/>
      <c r="AB1050" s="110"/>
      <c r="AC1050" s="93" t="s">
        <v>0</v>
      </c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</row>
    <row r="1051" spans="1:47" ht="16.5" hidden="1" thickTop="1">
      <c r="A1051" s="169"/>
      <c r="B1051" s="169"/>
      <c r="C1051" s="189"/>
      <c r="D1051" s="250" t="s">
        <v>0</v>
      </c>
      <c r="E1051" s="131"/>
      <c r="F1051" s="131"/>
      <c r="G1051" s="250" t="s">
        <v>0</v>
      </c>
      <c r="H1051" s="169"/>
      <c r="I1051" s="131"/>
      <c r="J1051" s="277" t="s">
        <v>0</v>
      </c>
      <c r="K1051" s="169"/>
      <c r="L1051" s="131" t="s">
        <v>0</v>
      </c>
      <c r="M1051" s="131"/>
      <c r="N1051" s="277" t="s">
        <v>0</v>
      </c>
      <c r="O1051" s="169"/>
      <c r="P1051" s="131" t="s">
        <v>0</v>
      </c>
      <c r="Q1051" s="131"/>
      <c r="R1051" s="277" t="s">
        <v>0</v>
      </c>
      <c r="S1051" s="169"/>
      <c r="T1051" s="131" t="s">
        <v>0</v>
      </c>
      <c r="U1051" s="131"/>
      <c r="V1051" s="277" t="s">
        <v>0</v>
      </c>
      <c r="W1051" s="169"/>
      <c r="X1051" s="131" t="s">
        <v>0</v>
      </c>
      <c r="Y1051" s="53"/>
      <c r="Z1051" s="110"/>
      <c r="AA1051" s="110"/>
      <c r="AB1051" s="110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</row>
    <row r="1052" spans="1:47" ht="16.5" hidden="1" thickTop="1">
      <c r="A1052" s="188" t="s">
        <v>235</v>
      </c>
      <c r="B1052" s="169"/>
      <c r="C1052" s="169"/>
      <c r="D1052" s="131"/>
      <c r="E1052" s="131"/>
      <c r="F1052" s="169"/>
      <c r="G1052" s="131"/>
      <c r="H1052" s="169"/>
      <c r="I1052" s="169"/>
      <c r="J1052" s="131"/>
      <c r="K1052" s="169"/>
      <c r="L1052" s="169"/>
      <c r="M1052" s="169"/>
      <c r="N1052" s="131"/>
      <c r="O1052" s="169"/>
      <c r="P1052" s="169"/>
      <c r="Q1052" s="169"/>
      <c r="R1052" s="131"/>
      <c r="S1052" s="169"/>
      <c r="T1052" s="169"/>
      <c r="U1052" s="169"/>
      <c r="V1052" s="131"/>
      <c r="W1052" s="169"/>
      <c r="X1052" s="169"/>
      <c r="Y1052" s="53"/>
      <c r="Z1052" s="110"/>
      <c r="AA1052" s="110"/>
      <c r="AB1052" s="110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</row>
    <row r="1053" spans="1:47" ht="16.5" hidden="1" thickTop="1">
      <c r="A1053" s="154" t="s">
        <v>246</v>
      </c>
      <c r="B1053" s="169"/>
      <c r="C1053" s="169"/>
      <c r="D1053" s="131"/>
      <c r="E1053" s="131"/>
      <c r="F1053" s="169"/>
      <c r="G1053" s="131"/>
      <c r="H1053" s="169"/>
      <c r="I1053" s="169"/>
      <c r="J1053" s="131"/>
      <c r="K1053" s="169"/>
      <c r="L1053" s="169"/>
      <c r="M1053" s="169"/>
      <c r="N1053" s="131"/>
      <c r="O1053" s="169"/>
      <c r="P1053" s="169"/>
      <c r="Q1053" s="169"/>
      <c r="R1053" s="131"/>
      <c r="S1053" s="169"/>
      <c r="T1053" s="169"/>
      <c r="U1053" s="169"/>
      <c r="V1053" s="131"/>
      <c r="W1053" s="169"/>
      <c r="X1053" s="169"/>
      <c r="Y1053" s="53"/>
      <c r="Z1053" s="110"/>
      <c r="AA1053" s="110"/>
      <c r="AB1053" s="110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</row>
    <row r="1054" spans="1:47" ht="16.5" hidden="1" thickTop="1">
      <c r="A1054" s="231"/>
      <c r="B1054" s="169"/>
      <c r="C1054" s="169"/>
      <c r="D1054" s="131"/>
      <c r="E1054" s="131"/>
      <c r="F1054" s="169"/>
      <c r="G1054" s="131"/>
      <c r="H1054" s="169"/>
      <c r="I1054" s="169"/>
      <c r="J1054" s="131"/>
      <c r="K1054" s="169"/>
      <c r="L1054" s="169"/>
      <c r="M1054" s="169"/>
      <c r="N1054" s="131"/>
      <c r="O1054" s="169"/>
      <c r="P1054" s="169"/>
      <c r="Q1054" s="169"/>
      <c r="R1054" s="131"/>
      <c r="S1054" s="169"/>
      <c r="T1054" s="169"/>
      <c r="U1054" s="169"/>
      <c r="V1054" s="131"/>
      <c r="W1054" s="169"/>
      <c r="X1054" s="169"/>
      <c r="Y1054" s="53"/>
      <c r="Z1054" s="110"/>
      <c r="AA1054" s="110"/>
      <c r="AB1054" s="110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</row>
    <row r="1055" spans="1:47" ht="16.5" hidden="1" thickTop="1">
      <c r="A1055" s="231" t="s">
        <v>146</v>
      </c>
      <c r="B1055" s="169"/>
      <c r="C1055" s="227"/>
      <c r="D1055" s="131"/>
      <c r="E1055" s="131"/>
      <c r="F1055" s="169"/>
      <c r="G1055" s="131"/>
      <c r="H1055" s="169"/>
      <c r="I1055" s="169"/>
      <c r="J1055" s="131"/>
      <c r="K1055" s="169"/>
      <c r="L1055" s="169"/>
      <c r="M1055" s="169"/>
      <c r="N1055" s="131"/>
      <c r="O1055" s="169"/>
      <c r="P1055" s="169"/>
      <c r="Q1055" s="169"/>
      <c r="R1055" s="131"/>
      <c r="S1055" s="169"/>
      <c r="T1055" s="169"/>
      <c r="U1055" s="169"/>
      <c r="V1055" s="131"/>
      <c r="W1055" s="169"/>
      <c r="X1055" s="169"/>
      <c r="Y1055" s="53"/>
      <c r="Z1055" s="110"/>
      <c r="AA1055" s="110"/>
      <c r="AB1055" s="110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</row>
    <row r="1056" spans="1:47" ht="16.5" hidden="1" thickTop="1">
      <c r="A1056" s="231" t="s">
        <v>231</v>
      </c>
      <c r="B1056" s="169"/>
      <c r="C1056" s="227">
        <f t="shared" ref="C1056:C1061" si="246">C1020+C962</f>
        <v>369.66666666666595</v>
      </c>
      <c r="D1056" s="250"/>
      <c r="E1056" s="250"/>
      <c r="F1056" s="131">
        <f>F1020+F962</f>
        <v>515865</v>
      </c>
      <c r="G1056" s="250"/>
      <c r="H1056" s="229"/>
      <c r="I1056" s="131">
        <f>I1020+I962</f>
        <v>515865</v>
      </c>
      <c r="J1056" s="250"/>
      <c r="K1056" s="229"/>
      <c r="L1056" s="131">
        <f>L1020+L962</f>
        <v>515865</v>
      </c>
      <c r="M1056" s="131"/>
      <c r="N1056" s="250"/>
      <c r="O1056" s="229"/>
      <c r="P1056" s="131">
        <f>P1020+P962</f>
        <v>515865</v>
      </c>
      <c r="Q1056" s="131"/>
      <c r="R1056" s="250"/>
      <c r="S1056" s="229"/>
      <c r="T1056" s="131">
        <f>T1020+T962</f>
        <v>0</v>
      </c>
      <c r="U1056" s="131"/>
      <c r="V1056" s="250"/>
      <c r="W1056" s="229"/>
      <c r="X1056" s="131">
        <f>X1020+X962</f>
        <v>0</v>
      </c>
      <c r="Y1056" s="53"/>
      <c r="Z1056" s="110"/>
      <c r="AA1056" s="110"/>
      <c r="AB1056" s="110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</row>
    <row r="1057" spans="1:47" ht="16.5" hidden="1" thickTop="1">
      <c r="A1057" s="231" t="s">
        <v>232</v>
      </c>
      <c r="B1057" s="169"/>
      <c r="C1057" s="227">
        <f t="shared" si="246"/>
        <v>0</v>
      </c>
      <c r="D1057" s="250"/>
      <c r="E1057" s="250"/>
      <c r="F1057" s="131">
        <f>F1021+F963</f>
        <v>0</v>
      </c>
      <c r="G1057" s="250"/>
      <c r="H1057" s="232"/>
      <c r="I1057" s="131">
        <f>I1021+I963</f>
        <v>0</v>
      </c>
      <c r="J1057" s="250"/>
      <c r="K1057" s="232"/>
      <c r="L1057" s="131">
        <f>L1021+L963</f>
        <v>0</v>
      </c>
      <c r="M1057" s="131"/>
      <c r="N1057" s="250"/>
      <c r="O1057" s="232"/>
      <c r="P1057" s="131">
        <f>P1021+P963</f>
        <v>0</v>
      </c>
      <c r="Q1057" s="131"/>
      <c r="R1057" s="250"/>
      <c r="S1057" s="232"/>
      <c r="T1057" s="131">
        <f>T1021+T963</f>
        <v>0</v>
      </c>
      <c r="U1057" s="131"/>
      <c r="V1057" s="250"/>
      <c r="W1057" s="232"/>
      <c r="X1057" s="131">
        <f>X1021+X963</f>
        <v>0</v>
      </c>
      <c r="Y1057" s="53"/>
      <c r="Z1057" s="110"/>
      <c r="AA1057" s="110"/>
      <c r="AB1057" s="110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</row>
    <row r="1058" spans="1:47" ht="16.5" hidden="1" thickTop="1">
      <c r="A1058" s="231" t="s">
        <v>147</v>
      </c>
      <c r="B1058" s="169"/>
      <c r="C1058" s="227">
        <f t="shared" si="246"/>
        <v>369.66666666666595</v>
      </c>
      <c r="D1058" s="250"/>
      <c r="E1058" s="250"/>
      <c r="F1058" s="131" t="s">
        <v>0</v>
      </c>
      <c r="G1058" s="250"/>
      <c r="H1058" s="229"/>
      <c r="I1058" s="131" t="s">
        <v>0</v>
      </c>
      <c r="J1058" s="250"/>
      <c r="K1058" s="229"/>
      <c r="L1058" s="131" t="s">
        <v>0</v>
      </c>
      <c r="M1058" s="131"/>
      <c r="N1058" s="250"/>
      <c r="O1058" s="229"/>
      <c r="P1058" s="131" t="s">
        <v>0</v>
      </c>
      <c r="Q1058" s="131"/>
      <c r="R1058" s="250"/>
      <c r="S1058" s="229"/>
      <c r="T1058" s="131" t="s">
        <v>0</v>
      </c>
      <c r="U1058" s="131"/>
      <c r="V1058" s="250"/>
      <c r="W1058" s="229"/>
      <c r="X1058" s="131" t="s">
        <v>0</v>
      </c>
      <c r="Y1058" s="53"/>
      <c r="Z1058" s="110"/>
      <c r="AA1058" s="110"/>
      <c r="AB1058" s="110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</row>
    <row r="1059" spans="1:47" ht="16.5" hidden="1" thickTop="1">
      <c r="A1059" s="231" t="s">
        <v>233</v>
      </c>
      <c r="B1059" s="169"/>
      <c r="C1059" s="227">
        <f t="shared" si="246"/>
        <v>507003.60606060602</v>
      </c>
      <c r="D1059" s="250"/>
      <c r="E1059" s="250"/>
      <c r="F1059" s="131">
        <f>F1023+F965</f>
        <v>435751</v>
      </c>
      <c r="G1059" s="250"/>
      <c r="H1059" s="229"/>
      <c r="I1059" s="131">
        <f>I1023+I965</f>
        <v>435751</v>
      </c>
      <c r="J1059" s="250"/>
      <c r="K1059" s="229"/>
      <c r="L1059" s="131">
        <f>L1023+L965</f>
        <v>454113</v>
      </c>
      <c r="M1059" s="131"/>
      <c r="N1059" s="250"/>
      <c r="O1059" s="229"/>
      <c r="P1059" s="131">
        <f>P1023+P965</f>
        <v>454113</v>
      </c>
      <c r="Q1059" s="131"/>
      <c r="R1059" s="250"/>
      <c r="S1059" s="229"/>
      <c r="T1059" s="131">
        <f>T1023+T965</f>
        <v>0</v>
      </c>
      <c r="U1059" s="131"/>
      <c r="V1059" s="250"/>
      <c r="W1059" s="229"/>
      <c r="X1059" s="131">
        <f>X1023+X965</f>
        <v>0</v>
      </c>
      <c r="Y1059" s="53"/>
      <c r="Z1059" s="110"/>
      <c r="AA1059" s="110"/>
      <c r="AB1059" s="110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</row>
    <row r="1060" spans="1:47" ht="16.5" hidden="1" thickTop="1">
      <c r="A1060" s="231" t="s">
        <v>234</v>
      </c>
      <c r="B1060" s="169"/>
      <c r="C1060" s="227">
        <f t="shared" si="246"/>
        <v>0</v>
      </c>
      <c r="D1060" s="250"/>
      <c r="E1060" s="250"/>
      <c r="F1060" s="131">
        <f>F1024+F966</f>
        <v>0</v>
      </c>
      <c r="G1060" s="250"/>
      <c r="H1060" s="229"/>
      <c r="I1060" s="131">
        <f>I1024+I966</f>
        <v>0</v>
      </c>
      <c r="J1060" s="250"/>
      <c r="K1060" s="229"/>
      <c r="L1060" s="131">
        <f>L1024+L966</f>
        <v>0</v>
      </c>
      <c r="M1060" s="131"/>
      <c r="N1060" s="250"/>
      <c r="O1060" s="229"/>
      <c r="P1060" s="131">
        <f>P1024+P966</f>
        <v>0</v>
      </c>
      <c r="Q1060" s="131"/>
      <c r="R1060" s="250"/>
      <c r="S1060" s="229"/>
      <c r="T1060" s="131">
        <f>T1024+T966</f>
        <v>0</v>
      </c>
      <c r="U1060" s="131"/>
      <c r="V1060" s="250"/>
      <c r="W1060" s="229"/>
      <c r="X1060" s="131">
        <f>X1024+X966</f>
        <v>0</v>
      </c>
      <c r="Y1060" s="53"/>
      <c r="Z1060" s="110"/>
      <c r="AA1060" s="110"/>
      <c r="AB1060" s="110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</row>
    <row r="1061" spans="1:47" ht="16.5" hidden="1" thickTop="1">
      <c r="A1061" s="154" t="s">
        <v>161</v>
      </c>
      <c r="B1061" s="169"/>
      <c r="C1061" s="227">
        <f t="shared" si="246"/>
        <v>386745.84848484898</v>
      </c>
      <c r="D1061" s="250"/>
      <c r="E1061" s="250"/>
      <c r="F1061" s="131">
        <f>F1025+F967</f>
        <v>2733776</v>
      </c>
      <c r="G1061" s="250"/>
      <c r="H1061" s="229"/>
      <c r="I1061" s="131">
        <f>I1025+I967</f>
        <v>2897022</v>
      </c>
      <c r="J1061" s="250"/>
      <c r="K1061" s="229"/>
      <c r="L1061" s="131">
        <f>L1025+L967</f>
        <v>3003784</v>
      </c>
      <c r="M1061" s="131"/>
      <c r="N1061" s="250"/>
      <c r="O1061" s="229"/>
      <c r="P1061" s="131">
        <f>P1025+P967</f>
        <v>421969</v>
      </c>
      <c r="Q1061" s="131"/>
      <c r="R1061" s="250"/>
      <c r="S1061" s="229"/>
      <c r="T1061" s="131">
        <f>T1025+T967</f>
        <v>510874</v>
      </c>
      <c r="U1061" s="131"/>
      <c r="V1061" s="250"/>
      <c r="W1061" s="229"/>
      <c r="X1061" s="131">
        <f>X1025+X967</f>
        <v>2069413</v>
      </c>
      <c r="Y1061" s="53"/>
      <c r="Z1061" s="110"/>
      <c r="AA1061" s="110"/>
      <c r="AB1061" s="110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</row>
    <row r="1062" spans="1:47" ht="16.5" hidden="1" thickTop="1">
      <c r="A1062" s="231" t="s">
        <v>183</v>
      </c>
      <c r="B1062" s="169"/>
      <c r="C1062" s="227"/>
      <c r="D1062" s="250"/>
      <c r="E1062" s="250"/>
      <c r="F1062" s="131"/>
      <c r="G1062" s="250"/>
      <c r="H1062" s="229"/>
      <c r="I1062" s="131"/>
      <c r="J1062" s="250"/>
      <c r="K1062" s="229"/>
      <c r="L1062" s="131"/>
      <c r="M1062" s="131"/>
      <c r="N1062" s="250"/>
      <c r="O1062" s="229"/>
      <c r="P1062" s="131"/>
      <c r="Q1062" s="131"/>
      <c r="R1062" s="250"/>
      <c r="S1062" s="229"/>
      <c r="T1062" s="131"/>
      <c r="U1062" s="131"/>
      <c r="V1062" s="250"/>
      <c r="W1062" s="229"/>
      <c r="X1062" s="131"/>
      <c r="Y1062" s="53"/>
      <c r="Z1062" s="110"/>
      <c r="AA1062" s="110"/>
      <c r="AB1062" s="110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</row>
    <row r="1063" spans="1:47" ht="16.5" hidden="1" thickTop="1">
      <c r="A1063" s="231" t="s">
        <v>222</v>
      </c>
      <c r="B1063" s="169"/>
      <c r="C1063" s="227">
        <f>C1027+C969</f>
        <v>169799417.82823953</v>
      </c>
      <c r="D1063" s="345"/>
      <c r="E1063" s="128" t="s">
        <v>0</v>
      </c>
      <c r="F1063" s="131">
        <f>F1027+F969</f>
        <v>7175516</v>
      </c>
      <c r="G1063" s="345"/>
      <c r="H1063" s="229"/>
      <c r="I1063" s="131">
        <f>I1027+I969</f>
        <v>7629946</v>
      </c>
      <c r="J1063" s="345"/>
      <c r="K1063" s="229"/>
      <c r="L1063" s="131">
        <f>L1027+L969</f>
        <v>7884213</v>
      </c>
      <c r="M1063" s="131"/>
      <c r="N1063" s="345"/>
      <c r="O1063" s="229"/>
      <c r="P1063" s="131">
        <f>P1027+P969</f>
        <v>0</v>
      </c>
      <c r="Q1063" s="131"/>
      <c r="R1063" s="345"/>
      <c r="S1063" s="229"/>
      <c r="T1063" s="131">
        <f>T1027+T969</f>
        <v>1562619</v>
      </c>
      <c r="U1063" s="131"/>
      <c r="V1063" s="345"/>
      <c r="W1063" s="229"/>
      <c r="X1063" s="131">
        <f>X1027+X969</f>
        <v>6321593</v>
      </c>
      <c r="Y1063" s="53"/>
      <c r="Z1063" s="110"/>
      <c r="AA1063" s="110"/>
      <c r="AB1063" s="110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</row>
    <row r="1064" spans="1:47" ht="16.5" hidden="1" thickTop="1">
      <c r="A1064" s="231" t="s">
        <v>152</v>
      </c>
      <c r="B1064" s="169"/>
      <c r="C1064" s="227">
        <f>C1028+C970</f>
        <v>42303.333333333299</v>
      </c>
      <c r="D1064" s="250"/>
      <c r="E1064" s="229"/>
      <c r="F1064" s="131">
        <f>F1028+F970</f>
        <v>23138</v>
      </c>
      <c r="G1064" s="250"/>
      <c r="H1064" s="229"/>
      <c r="I1064" s="131">
        <f>I1028+I970</f>
        <v>23138</v>
      </c>
      <c r="J1064" s="250"/>
      <c r="K1064" s="229"/>
      <c r="L1064" s="131">
        <f>L1028+L970</f>
        <v>23138</v>
      </c>
      <c r="M1064" s="131"/>
      <c r="N1064" s="250"/>
      <c r="O1064" s="229"/>
      <c r="P1064" s="131">
        <f>P1028+P970</f>
        <v>0</v>
      </c>
      <c r="Q1064" s="131"/>
      <c r="R1064" s="250"/>
      <c r="S1064" s="229"/>
      <c r="T1064" s="131">
        <f>T1028+T970</f>
        <v>4654</v>
      </c>
      <c r="U1064" s="131"/>
      <c r="V1064" s="250"/>
      <c r="W1064" s="229"/>
      <c r="X1064" s="131">
        <f>X1028+X970</f>
        <v>18484</v>
      </c>
      <c r="Y1064" s="53"/>
      <c r="Z1064" s="110"/>
      <c r="AA1064" s="110"/>
      <c r="AB1064" s="110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</row>
    <row r="1065" spans="1:47" s="141" customFormat="1" ht="16.5" hidden="1" thickTop="1">
      <c r="A1065" s="140" t="s">
        <v>223</v>
      </c>
      <c r="C1065" s="239">
        <f>C1029+C971</f>
        <v>169799417.82823953</v>
      </c>
      <c r="D1065" s="138"/>
      <c r="E1065" s="143"/>
      <c r="F1065" s="144"/>
      <c r="G1065" s="138"/>
      <c r="H1065" s="143"/>
      <c r="I1065" s="144"/>
      <c r="J1065" s="130"/>
      <c r="K1065" s="143"/>
      <c r="L1065" s="144">
        <f>L1029+L971</f>
        <v>0</v>
      </c>
      <c r="M1065" s="144"/>
      <c r="N1065" s="130"/>
      <c r="O1065" s="143"/>
      <c r="P1065" s="144">
        <f>P1029+P971</f>
        <v>0</v>
      </c>
      <c r="Q1065" s="144"/>
      <c r="R1065" s="130"/>
      <c r="S1065" s="143"/>
      <c r="T1065" s="144">
        <f>T1029+T971</f>
        <v>0</v>
      </c>
      <c r="U1065" s="144"/>
      <c r="V1065" s="130"/>
      <c r="W1065" s="143"/>
      <c r="X1065" s="144">
        <f>X1029+X971</f>
        <v>0</v>
      </c>
      <c r="Z1065" s="132"/>
      <c r="AC1065" s="148"/>
      <c r="AD1065" s="148"/>
      <c r="AI1065" s="143"/>
      <c r="AJ1065" s="143"/>
      <c r="AK1065" s="143"/>
      <c r="AL1065" s="143"/>
      <c r="AM1065" s="143"/>
      <c r="AN1065" s="143"/>
      <c r="AO1065" s="143"/>
      <c r="AP1065" s="143"/>
      <c r="AQ1065" s="143"/>
      <c r="AR1065" s="143"/>
      <c r="AS1065" s="143"/>
      <c r="AU1065" s="147"/>
    </row>
    <row r="1066" spans="1:47" ht="16.5" hidden="1" thickTop="1">
      <c r="A1066" s="169" t="s">
        <v>133</v>
      </c>
      <c r="B1066" s="169"/>
      <c r="C1066" s="227">
        <f>C1030+C972</f>
        <v>169799417.82823953</v>
      </c>
      <c r="D1066" s="237"/>
      <c r="E1066" s="131"/>
      <c r="F1066" s="131">
        <f>F1030+F972</f>
        <v>10884046</v>
      </c>
      <c r="G1066" s="237"/>
      <c r="H1066" s="169"/>
      <c r="I1066" s="131">
        <f>I1030+I972</f>
        <v>11501722</v>
      </c>
      <c r="J1066" s="237"/>
      <c r="K1066" s="169"/>
      <c r="L1066" s="131">
        <f>L1030+L972</f>
        <v>11881113</v>
      </c>
      <c r="M1066" s="131"/>
      <c r="N1066" s="237"/>
      <c r="O1066" s="169"/>
      <c r="P1066" s="131">
        <f>P1030+P972</f>
        <v>1391947</v>
      </c>
      <c r="Q1066" s="131"/>
      <c r="R1066" s="237"/>
      <c r="S1066" s="169"/>
      <c r="T1066" s="131">
        <f>T1030+T972</f>
        <v>2078147</v>
      </c>
      <c r="U1066" s="131"/>
      <c r="V1066" s="237"/>
      <c r="W1066" s="169"/>
      <c r="X1066" s="131">
        <f>X1030+X972</f>
        <v>8409490</v>
      </c>
      <c r="Y1066" s="53"/>
      <c r="Z1066" s="110"/>
      <c r="AA1066" s="110"/>
      <c r="AB1066" s="110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</row>
    <row r="1067" spans="1:47" ht="16.5" hidden="1" thickTop="1">
      <c r="A1067" s="169" t="s">
        <v>111</v>
      </c>
      <c r="B1067" s="169"/>
      <c r="C1067" s="253">
        <v>-487369.75745244743</v>
      </c>
      <c r="D1067" s="154"/>
      <c r="E1067" s="154"/>
      <c r="F1067" s="342">
        <f>I1067</f>
        <v>-27264.051948029541</v>
      </c>
      <c r="G1067" s="154"/>
      <c r="H1067" s="154"/>
      <c r="I1067" s="342">
        <v>-27264.051948029541</v>
      </c>
      <c r="J1067" s="154"/>
      <c r="K1067" s="154"/>
      <c r="L1067" s="342">
        <f>I1067</f>
        <v>-27264.051948029541</v>
      </c>
      <c r="M1067" s="153"/>
      <c r="N1067" s="154"/>
      <c r="O1067" s="154"/>
      <c r="P1067" s="342">
        <f>$L$1067*Y1014/(Y1014+$Z$1014+$AA$1014)</f>
        <v>-2990.337283461778</v>
      </c>
      <c r="Q1067" s="153"/>
      <c r="R1067" s="154"/>
      <c r="S1067" s="154"/>
      <c r="T1067" s="342">
        <f>$L$1067*Z1014/(Y1014+$Z$1014+$AA$1014)</f>
        <v>-4811.1759837158552</v>
      </c>
      <c r="U1067" s="153"/>
      <c r="V1067" s="154"/>
      <c r="W1067" s="154"/>
      <c r="X1067" s="342">
        <f>$L$1067*AA1014/(Y1014+$Z$1014+$AA$1014)</f>
        <v>-19462.538680851907</v>
      </c>
      <c r="Y1067" s="185"/>
      <c r="Z1067" s="183"/>
      <c r="AA1067" s="110"/>
      <c r="AB1067" s="110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</row>
    <row r="1068" spans="1:47" ht="17.25" hidden="1" thickTop="1" thickBot="1">
      <c r="A1068" s="169" t="s">
        <v>134</v>
      </c>
      <c r="B1068" s="169"/>
      <c r="C1068" s="370">
        <f>C1066+C1067</f>
        <v>169312048.07078707</v>
      </c>
      <c r="D1068" s="272"/>
      <c r="E1068" s="256"/>
      <c r="F1068" s="353">
        <f>F1066+F1067</f>
        <v>10856781.94805197</v>
      </c>
      <c r="G1068" s="272"/>
      <c r="H1068" s="258"/>
      <c r="I1068" s="353">
        <f>I1066+I1067</f>
        <v>11474457.94805197</v>
      </c>
      <c r="J1068" s="272"/>
      <c r="K1068" s="258"/>
      <c r="L1068" s="353">
        <f>L1066+L1067</f>
        <v>11853848.94805197</v>
      </c>
      <c r="M1068" s="153"/>
      <c r="N1068" s="272"/>
      <c r="O1068" s="258"/>
      <c r="P1068" s="353">
        <f>P1066+P1067</f>
        <v>1388956.6627165382</v>
      </c>
      <c r="Q1068" s="153"/>
      <c r="R1068" s="272"/>
      <c r="S1068" s="258"/>
      <c r="T1068" s="353">
        <f>T1066+T1067</f>
        <v>2073335.8240162842</v>
      </c>
      <c r="U1068" s="153"/>
      <c r="V1068" s="272"/>
      <c r="W1068" s="258"/>
      <c r="X1068" s="353">
        <f>X1066+X1067</f>
        <v>8390027.4613191485</v>
      </c>
      <c r="Y1068" s="186"/>
      <c r="Z1068" s="187"/>
      <c r="AA1068" s="110"/>
      <c r="AB1068" s="110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</row>
    <row r="1069" spans="1:47" ht="16.5" hidden="1" thickTop="1">
      <c r="A1069" s="169"/>
      <c r="B1069" s="169"/>
      <c r="C1069" s="189"/>
      <c r="D1069" s="250" t="s">
        <v>0</v>
      </c>
      <c r="E1069" s="131"/>
      <c r="F1069" s="131"/>
      <c r="G1069" s="250" t="s">
        <v>0</v>
      </c>
      <c r="H1069" s="169"/>
      <c r="I1069" s="131"/>
      <c r="J1069" s="277" t="s">
        <v>0</v>
      </c>
      <c r="K1069" s="169"/>
      <c r="L1069" s="131" t="s">
        <v>0</v>
      </c>
      <c r="M1069" s="131"/>
      <c r="N1069" s="277" t="s">
        <v>0</v>
      </c>
      <c r="O1069" s="169"/>
      <c r="P1069" s="131" t="s">
        <v>0</v>
      </c>
      <c r="Q1069" s="131"/>
      <c r="R1069" s="277" t="s">
        <v>0</v>
      </c>
      <c r="S1069" s="169"/>
      <c r="T1069" s="131" t="s">
        <v>0</v>
      </c>
      <c r="U1069" s="131"/>
      <c r="V1069" s="277" t="s">
        <v>0</v>
      </c>
      <c r="W1069" s="169"/>
      <c r="X1069" s="131" t="s">
        <v>0</v>
      </c>
      <c r="Y1069" s="53"/>
      <c r="Z1069" s="110"/>
      <c r="AA1069" s="110"/>
      <c r="AB1069" s="110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</row>
    <row r="1070" spans="1:47" ht="16.5" hidden="1" thickTop="1">
      <c r="A1070" s="169"/>
      <c r="B1070" s="169"/>
      <c r="C1070" s="189"/>
      <c r="D1070" s="250"/>
      <c r="E1070" s="131"/>
      <c r="F1070" s="131"/>
      <c r="G1070" s="250"/>
      <c r="H1070" s="169"/>
      <c r="I1070" s="131"/>
      <c r="J1070" s="250"/>
      <c r="K1070" s="169"/>
      <c r="L1070" s="273"/>
      <c r="M1070" s="273"/>
      <c r="N1070" s="250"/>
      <c r="O1070" s="169"/>
      <c r="P1070" s="273"/>
      <c r="Q1070" s="273"/>
      <c r="R1070" s="250"/>
      <c r="S1070" s="169"/>
      <c r="T1070" s="273"/>
      <c r="U1070" s="273"/>
      <c r="V1070" s="250"/>
      <c r="W1070" s="169"/>
      <c r="X1070" s="273"/>
      <c r="Y1070" s="53"/>
      <c r="Z1070" s="110"/>
      <c r="AA1070" s="110"/>
      <c r="AB1070" s="110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</row>
    <row r="1071" spans="1:47" ht="16.5" hidden="1" thickTop="1">
      <c r="A1071" s="188" t="s">
        <v>235</v>
      </c>
      <c r="B1071" s="169"/>
      <c r="C1071" s="169"/>
      <c r="D1071" s="131"/>
      <c r="E1071" s="131"/>
      <c r="F1071" s="169"/>
      <c r="G1071" s="131"/>
      <c r="H1071" s="169"/>
      <c r="I1071" s="169"/>
      <c r="J1071" s="131"/>
      <c r="K1071" s="169"/>
      <c r="L1071" s="169"/>
      <c r="M1071" s="169"/>
      <c r="N1071" s="131"/>
      <c r="O1071" s="169"/>
      <c r="P1071" s="169"/>
      <c r="Q1071" s="169"/>
      <c r="R1071" s="131"/>
      <c r="S1071" s="169"/>
      <c r="T1071" s="169"/>
      <c r="U1071" s="169"/>
      <c r="V1071" s="131"/>
      <c r="W1071" s="169"/>
      <c r="X1071" s="169"/>
      <c r="Y1071" s="53"/>
      <c r="Z1071" s="110"/>
      <c r="AA1071" s="110"/>
      <c r="AB1071" s="110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</row>
    <row r="1072" spans="1:47" ht="16.5" hidden="1" thickTop="1">
      <c r="A1072" s="154" t="s">
        <v>247</v>
      </c>
      <c r="B1072" s="169"/>
      <c r="C1072" s="169"/>
      <c r="D1072" s="131"/>
      <c r="E1072" s="131"/>
      <c r="F1072" s="169"/>
      <c r="G1072" s="131"/>
      <c r="H1072" s="169"/>
      <c r="I1072" s="169"/>
      <c r="J1072" s="131"/>
      <c r="K1072" s="169"/>
      <c r="L1072" s="169"/>
      <c r="M1072" s="169"/>
      <c r="N1072" s="131"/>
      <c r="O1072" s="169"/>
      <c r="P1072" s="169"/>
      <c r="Q1072" s="169"/>
      <c r="R1072" s="131"/>
      <c r="S1072" s="169"/>
      <c r="T1072" s="169"/>
      <c r="U1072" s="169"/>
      <c r="V1072" s="131"/>
      <c r="W1072" s="169"/>
      <c r="X1072" s="169"/>
      <c r="Y1072" s="53"/>
      <c r="Z1072" s="110"/>
      <c r="AA1072" s="110"/>
      <c r="AB1072" s="110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</row>
    <row r="1073" spans="1:47" ht="16.5" hidden="1" thickTop="1">
      <c r="A1073" s="231"/>
      <c r="B1073" s="169"/>
      <c r="C1073" s="169"/>
      <c r="D1073" s="131"/>
      <c r="E1073" s="131"/>
      <c r="F1073" s="169"/>
      <c r="G1073" s="131"/>
      <c r="H1073" s="169"/>
      <c r="I1073" s="169"/>
      <c r="J1073" s="131"/>
      <c r="K1073" s="169"/>
      <c r="L1073" s="169"/>
      <c r="M1073" s="169"/>
      <c r="N1073" s="131"/>
      <c r="O1073" s="169"/>
      <c r="P1073" s="169"/>
      <c r="Q1073" s="169"/>
      <c r="R1073" s="131"/>
      <c r="S1073" s="169"/>
      <c r="T1073" s="169"/>
      <c r="U1073" s="169"/>
      <c r="V1073" s="131"/>
      <c r="W1073" s="169"/>
      <c r="X1073" s="169"/>
      <c r="Y1073" s="53"/>
      <c r="Z1073" s="110"/>
      <c r="AA1073" s="110"/>
      <c r="AB1073" s="110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</row>
    <row r="1074" spans="1:47" ht="16.5" hidden="1" thickTop="1">
      <c r="A1074" s="231" t="s">
        <v>146</v>
      </c>
      <c r="B1074" s="169"/>
      <c r="C1074" s="227"/>
      <c r="D1074" s="131"/>
      <c r="E1074" s="131"/>
      <c r="F1074" s="169"/>
      <c r="G1074" s="131"/>
      <c r="H1074" s="169"/>
      <c r="I1074" s="169"/>
      <c r="J1074" s="131"/>
      <c r="K1074" s="169"/>
      <c r="L1074" s="169"/>
      <c r="M1074" s="169"/>
      <c r="N1074" s="131"/>
      <c r="O1074" s="169"/>
      <c r="P1074" s="169"/>
      <c r="Q1074" s="169"/>
      <c r="R1074" s="131"/>
      <c r="S1074" s="169"/>
      <c r="T1074" s="169"/>
      <c r="U1074" s="169"/>
      <c r="V1074" s="131"/>
      <c r="W1074" s="169"/>
      <c r="X1074" s="169"/>
      <c r="Y1074" s="53"/>
      <c r="Z1074" s="110"/>
      <c r="AA1074" s="110"/>
      <c r="AB1074" s="110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</row>
    <row r="1075" spans="1:47" ht="16.5" hidden="1" thickTop="1">
      <c r="A1075" s="231" t="s">
        <v>231</v>
      </c>
      <c r="B1075" s="169"/>
      <c r="C1075" s="227">
        <f t="shared" ref="C1075:C1080" si="247">C1038+C980</f>
        <v>362.48484848484901</v>
      </c>
      <c r="D1075" s="250"/>
      <c r="E1075" s="250"/>
      <c r="F1075" s="131">
        <f>F1038+F980</f>
        <v>503196</v>
      </c>
      <c r="G1075" s="250"/>
      <c r="H1075" s="229"/>
      <c r="I1075" s="131">
        <f>I1038+I980</f>
        <v>503196</v>
      </c>
      <c r="J1075" s="250"/>
      <c r="K1075" s="229"/>
      <c r="L1075" s="131">
        <f>L1038+L980</f>
        <v>503196</v>
      </c>
      <c r="M1075" s="131"/>
      <c r="N1075" s="250"/>
      <c r="O1075" s="229"/>
      <c r="P1075" s="131">
        <f>P1038+P980</f>
        <v>503196</v>
      </c>
      <c r="Q1075" s="131"/>
      <c r="R1075" s="250"/>
      <c r="S1075" s="229"/>
      <c r="T1075" s="131">
        <f>T1038+T980</f>
        <v>0</v>
      </c>
      <c r="U1075" s="131"/>
      <c r="V1075" s="250"/>
      <c r="W1075" s="229"/>
      <c r="X1075" s="131">
        <f>X1038+X980</f>
        <v>0</v>
      </c>
      <c r="Y1075" s="53"/>
      <c r="Z1075" s="110"/>
      <c r="AA1075" s="110"/>
      <c r="AB1075" s="110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</row>
    <row r="1076" spans="1:47" ht="16.5" hidden="1" thickTop="1">
      <c r="A1076" s="231" t="s">
        <v>232</v>
      </c>
      <c r="B1076" s="169"/>
      <c r="C1076" s="227">
        <f t="shared" si="247"/>
        <v>0</v>
      </c>
      <c r="D1076" s="250"/>
      <c r="E1076" s="250"/>
      <c r="F1076" s="131">
        <f>F1039+F981</f>
        <v>0</v>
      </c>
      <c r="G1076" s="250"/>
      <c r="H1076" s="232"/>
      <c r="I1076" s="131">
        <f>I1039+I981</f>
        <v>0</v>
      </c>
      <c r="J1076" s="250"/>
      <c r="K1076" s="232"/>
      <c r="L1076" s="131">
        <f>L1039+L981</f>
        <v>0</v>
      </c>
      <c r="M1076" s="131"/>
      <c r="N1076" s="250"/>
      <c r="O1076" s="232"/>
      <c r="P1076" s="131">
        <f>P1039+P981</f>
        <v>0</v>
      </c>
      <c r="Q1076" s="131"/>
      <c r="R1076" s="250"/>
      <c r="S1076" s="232"/>
      <c r="T1076" s="131">
        <f>T1039+T981</f>
        <v>0</v>
      </c>
      <c r="U1076" s="131"/>
      <c r="V1076" s="250"/>
      <c r="W1076" s="232"/>
      <c r="X1076" s="131">
        <f>X1039+X981</f>
        <v>0</v>
      </c>
      <c r="Y1076" s="53"/>
      <c r="Z1076" s="110"/>
      <c r="AA1076" s="110"/>
      <c r="AB1076" s="110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</row>
    <row r="1077" spans="1:47" ht="16.5" hidden="1" thickTop="1">
      <c r="A1077" s="231" t="s">
        <v>147</v>
      </c>
      <c r="B1077" s="169"/>
      <c r="C1077" s="227">
        <f t="shared" si="247"/>
        <v>362.48484848484901</v>
      </c>
      <c r="D1077" s="250"/>
      <c r="E1077" s="250"/>
      <c r="F1077" s="131" t="s">
        <v>0</v>
      </c>
      <c r="G1077" s="250"/>
      <c r="H1077" s="229"/>
      <c r="I1077" s="131" t="s">
        <v>0</v>
      </c>
      <c r="J1077" s="250"/>
      <c r="K1077" s="229"/>
      <c r="L1077" s="131" t="s">
        <v>0</v>
      </c>
      <c r="M1077" s="131"/>
      <c r="N1077" s="250"/>
      <c r="O1077" s="229"/>
      <c r="P1077" s="131" t="s">
        <v>0</v>
      </c>
      <c r="Q1077" s="131"/>
      <c r="R1077" s="250"/>
      <c r="S1077" s="229"/>
      <c r="T1077" s="131" t="s">
        <v>0</v>
      </c>
      <c r="U1077" s="131"/>
      <c r="V1077" s="250"/>
      <c r="W1077" s="229"/>
      <c r="X1077" s="131" t="s">
        <v>0</v>
      </c>
      <c r="Y1077" s="53"/>
      <c r="Z1077" s="110"/>
      <c r="AA1077" s="110"/>
      <c r="AB1077" s="110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</row>
    <row r="1078" spans="1:47" ht="16.5" hidden="1" thickTop="1">
      <c r="A1078" s="231" t="s">
        <v>233</v>
      </c>
      <c r="B1078" s="169"/>
      <c r="C1078" s="227">
        <f t="shared" si="247"/>
        <v>576304.24242424197</v>
      </c>
      <c r="D1078" s="250"/>
      <c r="E1078" s="250"/>
      <c r="F1078" s="131">
        <f>F1041+F983</f>
        <v>595063</v>
      </c>
      <c r="G1078" s="250"/>
      <c r="H1078" s="229"/>
      <c r="I1078" s="131">
        <f>I1041+I983</f>
        <v>595063</v>
      </c>
      <c r="J1078" s="250"/>
      <c r="K1078" s="229"/>
      <c r="L1078" s="131">
        <f>L1041+L983</f>
        <v>617816</v>
      </c>
      <c r="M1078" s="131"/>
      <c r="N1078" s="250"/>
      <c r="O1078" s="229"/>
      <c r="P1078" s="131">
        <f>P1041+P983</f>
        <v>617816</v>
      </c>
      <c r="Q1078" s="131"/>
      <c r="R1078" s="250"/>
      <c r="S1078" s="229"/>
      <c r="T1078" s="131">
        <f>T1041+T983</f>
        <v>0</v>
      </c>
      <c r="U1078" s="131"/>
      <c r="V1078" s="250"/>
      <c r="W1078" s="229"/>
      <c r="X1078" s="131">
        <f>X1041+X983</f>
        <v>0</v>
      </c>
      <c r="Y1078" s="53"/>
      <c r="Z1078" s="110"/>
      <c r="AA1078" s="110"/>
      <c r="AB1078" s="110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</row>
    <row r="1079" spans="1:47" ht="16.5" hidden="1" thickTop="1">
      <c r="A1079" s="231" t="s">
        <v>234</v>
      </c>
      <c r="B1079" s="169"/>
      <c r="C1079" s="227">
        <f t="shared" si="247"/>
        <v>0</v>
      </c>
      <c r="D1079" s="250"/>
      <c r="E1079" s="250"/>
      <c r="F1079" s="131">
        <f>F1042+F984</f>
        <v>0</v>
      </c>
      <c r="G1079" s="250"/>
      <c r="H1079" s="229"/>
      <c r="I1079" s="131">
        <f>I1042+I984</f>
        <v>0</v>
      </c>
      <c r="J1079" s="250"/>
      <c r="K1079" s="229"/>
      <c r="L1079" s="131">
        <f>L1042+L984</f>
        <v>0</v>
      </c>
      <c r="M1079" s="131"/>
      <c r="N1079" s="250"/>
      <c r="O1079" s="229"/>
      <c r="P1079" s="131">
        <f>P1042+P984</f>
        <v>0</v>
      </c>
      <c r="Q1079" s="131"/>
      <c r="R1079" s="250"/>
      <c r="S1079" s="229"/>
      <c r="T1079" s="131">
        <f>T1042+T984</f>
        <v>0</v>
      </c>
      <c r="U1079" s="131"/>
      <c r="V1079" s="250"/>
      <c r="W1079" s="229"/>
      <c r="X1079" s="131">
        <f>X1042+X984</f>
        <v>0</v>
      </c>
      <c r="Y1079" s="53"/>
      <c r="Z1079" s="110"/>
      <c r="AA1079" s="110"/>
      <c r="AB1079" s="110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</row>
    <row r="1080" spans="1:47" ht="16.5" hidden="1" thickTop="1">
      <c r="A1080" s="154" t="s">
        <v>161</v>
      </c>
      <c r="B1080" s="169"/>
      <c r="C1080" s="227">
        <f t="shared" si="247"/>
        <v>492609.454545455</v>
      </c>
      <c r="D1080" s="250"/>
      <c r="E1080" s="250"/>
      <c r="F1080" s="131">
        <f>F1043+F985</f>
        <v>3504084</v>
      </c>
      <c r="G1080" s="250"/>
      <c r="H1080" s="229"/>
      <c r="I1080" s="131">
        <f>I1043+I985</f>
        <v>3715399</v>
      </c>
      <c r="J1080" s="250"/>
      <c r="K1080" s="229"/>
      <c r="L1080" s="131">
        <f>L1043+L985</f>
        <v>3853077</v>
      </c>
      <c r="M1080" s="131"/>
      <c r="N1080" s="250"/>
      <c r="O1080" s="229"/>
      <c r="P1080" s="131">
        <f>P1043+P985</f>
        <v>477035</v>
      </c>
      <c r="Q1080" s="131"/>
      <c r="R1080" s="250"/>
      <c r="S1080" s="229"/>
      <c r="T1080" s="131">
        <f>T1043+T985</f>
        <v>667443</v>
      </c>
      <c r="U1080" s="131"/>
      <c r="V1080" s="250"/>
      <c r="W1080" s="229"/>
      <c r="X1080" s="131">
        <f>X1043+X985</f>
        <v>2708345</v>
      </c>
      <c r="Y1080" s="53"/>
      <c r="Z1080" s="110"/>
      <c r="AA1080" s="110"/>
      <c r="AB1080" s="110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</row>
    <row r="1081" spans="1:47" ht="16.5" hidden="1" thickTop="1">
      <c r="A1081" s="231" t="s">
        <v>183</v>
      </c>
      <c r="B1081" s="169"/>
      <c r="C1081" s="227"/>
      <c r="D1081" s="250"/>
      <c r="E1081" s="250"/>
      <c r="F1081" s="131"/>
      <c r="G1081" s="250"/>
      <c r="H1081" s="229"/>
      <c r="I1081" s="131"/>
      <c r="J1081" s="250"/>
      <c r="K1081" s="229"/>
      <c r="L1081" s="131"/>
      <c r="M1081" s="131"/>
      <c r="N1081" s="250"/>
      <c r="O1081" s="229"/>
      <c r="P1081" s="131"/>
      <c r="Q1081" s="131"/>
      <c r="R1081" s="250"/>
      <c r="S1081" s="229"/>
      <c r="T1081" s="131"/>
      <c r="U1081" s="131"/>
      <c r="V1081" s="250"/>
      <c r="W1081" s="229"/>
      <c r="X1081" s="131"/>
      <c r="Y1081" s="53"/>
      <c r="Z1081" s="110"/>
      <c r="AA1081" s="110"/>
      <c r="AB1081" s="110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</row>
    <row r="1082" spans="1:47" ht="16.5" hidden="1" thickTop="1">
      <c r="A1082" s="231" t="s">
        <v>222</v>
      </c>
      <c r="B1082" s="169"/>
      <c r="C1082" s="227">
        <f>C1045+C987</f>
        <v>221132355</v>
      </c>
      <c r="D1082" s="345"/>
      <c r="E1082" s="229"/>
      <c r="F1082" s="131">
        <f>F1045+F987</f>
        <v>9385313</v>
      </c>
      <c r="G1082" s="345"/>
      <c r="H1082" s="229"/>
      <c r="I1082" s="131">
        <f>I1045+I987</f>
        <v>9977874</v>
      </c>
      <c r="J1082" s="345"/>
      <c r="K1082" s="229"/>
      <c r="L1082" s="131">
        <f>L1045+L987</f>
        <v>10307508</v>
      </c>
      <c r="M1082" s="131"/>
      <c r="N1082" s="345"/>
      <c r="O1082" s="229"/>
      <c r="P1082" s="131">
        <f>P1045+P987</f>
        <v>0</v>
      </c>
      <c r="Q1082" s="131"/>
      <c r="R1082" s="345"/>
      <c r="S1082" s="229"/>
      <c r="T1082" s="131">
        <f>T1045+T987</f>
        <v>2042529</v>
      </c>
      <c r="U1082" s="131"/>
      <c r="V1082" s="345"/>
      <c r="W1082" s="229"/>
      <c r="X1082" s="131">
        <f>X1045+X987</f>
        <v>8264980</v>
      </c>
      <c r="Y1082" s="53"/>
      <c r="Z1082" s="110"/>
      <c r="AA1082" s="110"/>
      <c r="AB1082" s="110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</row>
    <row r="1083" spans="1:47" ht="16.5" hidden="1" thickTop="1">
      <c r="A1083" s="231" t="s">
        <v>152</v>
      </c>
      <c r="B1083" s="169"/>
      <c r="C1083" s="227">
        <f>C1046+C988</f>
        <v>140251.12121212101</v>
      </c>
      <c r="D1083" s="250"/>
      <c r="E1083" s="229"/>
      <c r="F1083" s="131">
        <f>F1046+F988</f>
        <v>77094</v>
      </c>
      <c r="G1083" s="250"/>
      <c r="H1083" s="229"/>
      <c r="I1083" s="131">
        <f>I1046+I988</f>
        <v>77094</v>
      </c>
      <c r="J1083" s="250"/>
      <c r="K1083" s="229"/>
      <c r="L1083" s="131">
        <f>L1046+L988</f>
        <v>77094</v>
      </c>
      <c r="M1083" s="131"/>
      <c r="N1083" s="250"/>
      <c r="O1083" s="229"/>
      <c r="P1083" s="131">
        <f>P1046+P988</f>
        <v>0</v>
      </c>
      <c r="Q1083" s="131"/>
      <c r="R1083" s="250"/>
      <c r="S1083" s="229"/>
      <c r="T1083" s="131">
        <f>T1046+T988</f>
        <v>15427</v>
      </c>
      <c r="U1083" s="131"/>
      <c r="V1083" s="250"/>
      <c r="W1083" s="229"/>
      <c r="X1083" s="131">
        <f>X1046+X988</f>
        <v>61667</v>
      </c>
      <c r="Y1083" s="53"/>
      <c r="Z1083" s="110"/>
      <c r="AA1083" s="110"/>
      <c r="AB1083" s="110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</row>
    <row r="1084" spans="1:47" s="141" customFormat="1" ht="16.5" hidden="1" thickTop="1">
      <c r="A1084" s="140" t="s">
        <v>223</v>
      </c>
      <c r="C1084" s="239">
        <f>C1047+C989</f>
        <v>221132355</v>
      </c>
      <c r="D1084" s="138"/>
      <c r="E1084" s="143"/>
      <c r="F1084" s="144"/>
      <c r="G1084" s="138"/>
      <c r="H1084" s="143"/>
      <c r="I1084" s="144"/>
      <c r="J1084" s="130"/>
      <c r="K1084" s="143"/>
      <c r="L1084" s="144">
        <f>L1047+L989</f>
        <v>0</v>
      </c>
      <c r="M1084" s="144"/>
      <c r="N1084" s="130"/>
      <c r="O1084" s="143"/>
      <c r="P1084" s="144">
        <f>P1047+P989</f>
        <v>0</v>
      </c>
      <c r="Q1084" s="144"/>
      <c r="R1084" s="130"/>
      <c r="S1084" s="143"/>
      <c r="T1084" s="144">
        <f>T1047+T989</f>
        <v>0</v>
      </c>
      <c r="U1084" s="144"/>
      <c r="V1084" s="130"/>
      <c r="W1084" s="143"/>
      <c r="X1084" s="144">
        <f>X1047+X989</f>
        <v>0</v>
      </c>
      <c r="Z1084" s="132"/>
      <c r="AC1084" s="148"/>
      <c r="AD1084" s="148"/>
      <c r="AI1084" s="143"/>
      <c r="AJ1084" s="143"/>
      <c r="AK1084" s="143"/>
      <c r="AL1084" s="143"/>
      <c r="AM1084" s="143"/>
      <c r="AN1084" s="143"/>
      <c r="AO1084" s="143"/>
      <c r="AP1084" s="143"/>
      <c r="AQ1084" s="143"/>
      <c r="AR1084" s="143"/>
      <c r="AS1084" s="143"/>
      <c r="AU1084" s="147"/>
    </row>
    <row r="1085" spans="1:47" ht="16.5" hidden="1" thickTop="1">
      <c r="A1085" s="169" t="s">
        <v>133</v>
      </c>
      <c r="B1085" s="169"/>
      <c r="C1085" s="164">
        <f>C1048+C990</f>
        <v>221132355</v>
      </c>
      <c r="D1085" s="237"/>
      <c r="E1085" s="131"/>
      <c r="F1085" s="153">
        <f>F1048+F990</f>
        <v>14064750</v>
      </c>
      <c r="G1085" s="237"/>
      <c r="H1085" s="169"/>
      <c r="I1085" s="153">
        <f>I1048+I990</f>
        <v>14868626</v>
      </c>
      <c r="J1085" s="237"/>
      <c r="K1085" s="169"/>
      <c r="L1085" s="153">
        <f>L1048+L990</f>
        <v>15358691</v>
      </c>
      <c r="M1085" s="153"/>
      <c r="N1085" s="237"/>
      <c r="O1085" s="169"/>
      <c r="P1085" s="153">
        <f>P1048+P990</f>
        <v>1598047</v>
      </c>
      <c r="Q1085" s="153"/>
      <c r="R1085" s="237"/>
      <c r="S1085" s="169"/>
      <c r="T1085" s="153">
        <f>T1048+T990</f>
        <v>2725399</v>
      </c>
      <c r="U1085" s="153"/>
      <c r="V1085" s="237"/>
      <c r="W1085" s="169"/>
      <c r="X1085" s="153">
        <f>X1048+X990</f>
        <v>11034992</v>
      </c>
      <c r="Y1085" s="53"/>
      <c r="Z1085" s="110"/>
      <c r="AA1085" s="110"/>
      <c r="AB1085" s="110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</row>
    <row r="1086" spans="1:47" ht="16.5" hidden="1" thickTop="1">
      <c r="A1086" s="169" t="s">
        <v>111</v>
      </c>
      <c r="B1086" s="169"/>
      <c r="C1086" s="253">
        <v>-3541996.3303991579</v>
      </c>
      <c r="D1086" s="154"/>
      <c r="E1086" s="154"/>
      <c r="F1086" s="342">
        <f>I1086</f>
        <v>-307473.73256731662</v>
      </c>
      <c r="G1086" s="154"/>
      <c r="H1086" s="154"/>
      <c r="I1086" s="342">
        <v>-307473.73256731662</v>
      </c>
      <c r="J1086" s="154"/>
      <c r="K1086" s="154"/>
      <c r="L1086" s="342">
        <f>I1086</f>
        <v>-307473.73256731662</v>
      </c>
      <c r="M1086" s="153"/>
      <c r="N1086" s="154"/>
      <c r="O1086" s="154"/>
      <c r="P1086" s="342">
        <f>$L$1086*Y1014/(Y1014+$Z$1014+$AA$1014)</f>
        <v>-33723.900172059875</v>
      </c>
      <c r="Q1086" s="153"/>
      <c r="R1086" s="154"/>
      <c r="S1086" s="154"/>
      <c r="T1086" s="342">
        <f>$L$1086*Z1014/(Y1014+$Z$1014+$AA$1014)</f>
        <v>-54258.634797615239</v>
      </c>
      <c r="U1086" s="153"/>
      <c r="V1086" s="154"/>
      <c r="W1086" s="154"/>
      <c r="X1086" s="342">
        <f>$L$1086*AA1014/(Y1014+$Z$1014+$AA$1014)</f>
        <v>-219491.19759764153</v>
      </c>
      <c r="Y1086" s="185"/>
      <c r="Z1086" s="183"/>
      <c r="AA1086" s="110"/>
      <c r="AB1086" s="110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</row>
    <row r="1087" spans="1:47" ht="17.25" hidden="1" thickTop="1" thickBot="1">
      <c r="A1087" s="169" t="s">
        <v>134</v>
      </c>
      <c r="B1087" s="169"/>
      <c r="C1087" s="370">
        <f>C1085+C1086</f>
        <v>217590358.66960084</v>
      </c>
      <c r="D1087" s="272"/>
      <c r="E1087" s="256"/>
      <c r="F1087" s="347">
        <f>F1085+F1086</f>
        <v>13757276.267432684</v>
      </c>
      <c r="G1087" s="272"/>
      <c r="H1087" s="258"/>
      <c r="I1087" s="347">
        <f>I1085+I1086</f>
        <v>14561152.267432684</v>
      </c>
      <c r="J1087" s="272"/>
      <c r="K1087" s="258"/>
      <c r="L1087" s="347">
        <f>L1085+L1086</f>
        <v>15051217.267432684</v>
      </c>
      <c r="M1087" s="153"/>
      <c r="N1087" s="272"/>
      <c r="O1087" s="258"/>
      <c r="P1087" s="347">
        <f>P1085+P1086</f>
        <v>1564323.0998279401</v>
      </c>
      <c r="Q1087" s="153"/>
      <c r="R1087" s="272"/>
      <c r="S1087" s="258"/>
      <c r="T1087" s="347">
        <f>T1085+T1086</f>
        <v>2671140.3652023845</v>
      </c>
      <c r="U1087" s="153"/>
      <c r="V1087" s="272"/>
      <c r="W1087" s="258"/>
      <c r="X1087" s="347">
        <f>X1085+X1086</f>
        <v>10815500.802402359</v>
      </c>
      <c r="Y1087" s="186"/>
      <c r="Z1087" s="187"/>
      <c r="AA1087" s="110"/>
      <c r="AB1087" s="110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</row>
    <row r="1088" spans="1:47" ht="16.5" hidden="1" thickTop="1">
      <c r="A1088" s="169"/>
      <c r="B1088" s="169"/>
      <c r="C1088" s="189"/>
      <c r="D1088" s="250" t="s">
        <v>0</v>
      </c>
      <c r="E1088" s="131"/>
      <c r="F1088" s="131"/>
      <c r="G1088" s="250" t="s">
        <v>0</v>
      </c>
      <c r="H1088" s="169"/>
      <c r="I1088" s="131"/>
      <c r="J1088" s="277" t="s">
        <v>0</v>
      </c>
      <c r="K1088" s="169"/>
      <c r="L1088" s="131" t="s">
        <v>0</v>
      </c>
      <c r="M1088" s="131"/>
      <c r="N1088" s="277" t="s">
        <v>0</v>
      </c>
      <c r="O1088" s="169"/>
      <c r="P1088" s="131" t="s">
        <v>0</v>
      </c>
      <c r="Q1088" s="131"/>
      <c r="R1088" s="277" t="s">
        <v>0</v>
      </c>
      <c r="S1088" s="169"/>
      <c r="T1088" s="131" t="s">
        <v>0</v>
      </c>
      <c r="U1088" s="131"/>
      <c r="V1088" s="277" t="s">
        <v>0</v>
      </c>
      <c r="W1088" s="169"/>
      <c r="X1088" s="131" t="s">
        <v>0</v>
      </c>
      <c r="Y1088" s="53"/>
      <c r="Z1088" s="110"/>
      <c r="AA1088" s="110"/>
      <c r="AB1088" s="110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</row>
    <row r="1089" spans="1:47" ht="16.5" thickTop="1">
      <c r="A1089" s="188" t="s">
        <v>235</v>
      </c>
      <c r="B1089" s="169"/>
      <c r="C1089" s="169"/>
      <c r="D1089" s="131"/>
      <c r="E1089" s="131"/>
      <c r="F1089" s="169"/>
      <c r="G1089" s="131"/>
      <c r="H1089" s="169"/>
      <c r="I1089" s="169"/>
      <c r="J1089" s="131"/>
      <c r="K1089" s="169"/>
      <c r="L1089" s="169"/>
      <c r="M1089" s="169"/>
      <c r="N1089" s="131"/>
      <c r="O1089" s="169"/>
      <c r="P1089" s="169"/>
      <c r="Q1089" s="169"/>
      <c r="R1089" s="131"/>
      <c r="S1089" s="169"/>
      <c r="T1089" s="169"/>
      <c r="U1089" s="169"/>
      <c r="V1089" s="131"/>
      <c r="W1089" s="169"/>
      <c r="X1089" s="169"/>
      <c r="Y1089" s="53"/>
      <c r="Z1089" s="110"/>
      <c r="AA1089" s="110"/>
      <c r="AB1089" s="110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</row>
    <row r="1090" spans="1:47">
      <c r="A1090" s="327" t="s">
        <v>248</v>
      </c>
      <c r="B1090" s="169"/>
      <c r="C1090" s="169"/>
      <c r="D1090" s="131"/>
      <c r="E1090" s="131"/>
      <c r="F1090" s="169"/>
      <c r="G1090" s="131"/>
      <c r="H1090" s="169"/>
      <c r="I1090" s="169"/>
      <c r="J1090" s="131"/>
      <c r="K1090" s="169"/>
      <c r="L1090" s="169"/>
      <c r="M1090" s="169"/>
      <c r="N1090" s="131"/>
      <c r="O1090" s="169"/>
      <c r="P1090" s="169"/>
      <c r="Q1090" s="169"/>
      <c r="R1090" s="131"/>
      <c r="S1090" s="169"/>
      <c r="T1090" s="169"/>
      <c r="U1090" s="169"/>
      <c r="V1090" s="131"/>
      <c r="W1090" s="169"/>
      <c r="X1090" s="169"/>
      <c r="Y1090" s="53"/>
      <c r="Z1090" s="110"/>
      <c r="AA1090" s="110"/>
      <c r="AB1090" s="110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</row>
    <row r="1091" spans="1:47">
      <c r="A1091" s="231"/>
      <c r="B1091" s="169"/>
      <c r="C1091" s="169"/>
      <c r="D1091" s="131"/>
      <c r="E1091" s="131"/>
      <c r="F1091" s="169"/>
      <c r="G1091" s="131"/>
      <c r="H1091" s="169"/>
      <c r="I1091" s="169"/>
      <c r="J1091" s="131"/>
      <c r="K1091" s="169"/>
      <c r="L1091" s="169"/>
      <c r="M1091" s="169"/>
      <c r="N1091" s="131"/>
      <c r="O1091" s="169"/>
      <c r="P1091" s="169"/>
      <c r="Q1091" s="169"/>
      <c r="R1091" s="131"/>
      <c r="S1091" s="169"/>
      <c r="T1091" s="169"/>
      <c r="U1091" s="169"/>
      <c r="V1091" s="131"/>
      <c r="W1091" s="169"/>
      <c r="X1091" s="169"/>
      <c r="Y1091" s="53"/>
      <c r="Z1091" s="110"/>
      <c r="AA1091" s="110"/>
      <c r="AB1091" s="110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</row>
    <row r="1092" spans="1:47">
      <c r="A1092" s="231" t="s">
        <v>146</v>
      </c>
      <c r="B1092" s="169"/>
      <c r="C1092" s="227"/>
      <c r="D1092" s="131"/>
      <c r="E1092" s="131"/>
      <c r="F1092" s="169"/>
      <c r="G1092" s="131"/>
      <c r="H1092" s="169"/>
      <c r="I1092" s="169"/>
      <c r="J1092" s="131"/>
      <c r="K1092" s="169"/>
      <c r="L1092" s="169" t="s">
        <v>0</v>
      </c>
      <c r="M1092" s="169"/>
      <c r="N1092" s="131"/>
      <c r="O1092" s="169"/>
      <c r="P1092" s="169"/>
      <c r="Q1092" s="169"/>
      <c r="R1092" s="131"/>
      <c r="S1092" s="169"/>
      <c r="T1092" s="169"/>
      <c r="U1092" s="169"/>
      <c r="V1092" s="131"/>
      <c r="W1092" s="169"/>
      <c r="X1092" s="169"/>
      <c r="Y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</row>
    <row r="1093" spans="1:47">
      <c r="A1093" s="154" t="s">
        <v>249</v>
      </c>
      <c r="B1093" s="169"/>
      <c r="C1093" s="227">
        <v>0</v>
      </c>
      <c r="D1093" s="250" t="s">
        <v>0</v>
      </c>
      <c r="E1093" s="250"/>
      <c r="F1093" s="131">
        <f>ROUND(D1093*$C1093,0)</f>
        <v>0</v>
      </c>
      <c r="G1093" s="250" t="s">
        <v>0</v>
      </c>
      <c r="H1093" s="229"/>
      <c r="I1093" s="131">
        <f>ROUND(C1093*G1093,0)</f>
        <v>0</v>
      </c>
      <c r="J1093" s="250" t="s">
        <v>0</v>
      </c>
      <c r="K1093" s="229"/>
      <c r="L1093" s="131">
        <f>ROUND(J1093*$C1093,0)</f>
        <v>0</v>
      </c>
      <c r="M1093" s="131"/>
      <c r="N1093" s="250" t="s">
        <v>0</v>
      </c>
      <c r="O1093" s="229"/>
      <c r="P1093" s="131">
        <v>0</v>
      </c>
      <c r="Q1093" s="131"/>
      <c r="R1093" s="250" t="s">
        <v>0</v>
      </c>
      <c r="S1093" s="229"/>
      <c r="T1093" s="131">
        <v>0</v>
      </c>
      <c r="U1093" s="131"/>
      <c r="V1093" s="250" t="s">
        <v>0</v>
      </c>
      <c r="W1093" s="229"/>
      <c r="X1093" s="131">
        <v>0</v>
      </c>
      <c r="Y1093" s="53"/>
      <c r="AA1093" s="371"/>
      <c r="AB1093" s="371"/>
      <c r="AD1093" s="198"/>
      <c r="AE1093" s="350"/>
      <c r="AF1093" s="198"/>
      <c r="AG1093" s="350"/>
      <c r="AH1093" s="198"/>
      <c r="AI1093" s="198"/>
      <c r="AJ1093" s="350"/>
      <c r="AK1093" s="53"/>
      <c r="AL1093" s="53"/>
      <c r="AM1093" s="53"/>
      <c r="AN1093" s="53"/>
      <c r="AO1093" s="53"/>
      <c r="AP1093" s="53"/>
      <c r="AQ1093" s="53"/>
      <c r="AR1093" s="53"/>
      <c r="AS1093" s="53"/>
    </row>
    <row r="1094" spans="1:47">
      <c r="A1094" s="154" t="s">
        <v>250</v>
      </c>
      <c r="B1094" s="169"/>
      <c r="C1094" s="227">
        <v>12</v>
      </c>
      <c r="D1094" s="250">
        <v>2528</v>
      </c>
      <c r="E1094" s="250"/>
      <c r="F1094" s="131">
        <f>ROUND(D1094*$C1094,0)</f>
        <v>30336</v>
      </c>
      <c r="G1094" s="250">
        <v>2528</v>
      </c>
      <c r="H1094" s="232"/>
      <c r="I1094" s="131">
        <f>ROUND(C1094*G1094,0)</f>
        <v>30336</v>
      </c>
      <c r="J1094" s="250">
        <v>2577</v>
      </c>
      <c r="K1094" s="232"/>
      <c r="L1094" s="131">
        <f>ROUND(J1094*$C1094,0)</f>
        <v>30924</v>
      </c>
      <c r="M1094" s="131"/>
      <c r="N1094" s="250">
        <v>2577</v>
      </c>
      <c r="O1094" s="232"/>
      <c r="P1094" s="131">
        <v>30924</v>
      </c>
      <c r="Q1094" s="131"/>
      <c r="R1094" s="250" t="s">
        <v>0</v>
      </c>
      <c r="S1094" s="232"/>
      <c r="T1094" s="131">
        <v>0</v>
      </c>
      <c r="U1094" s="131"/>
      <c r="V1094" s="250" t="s">
        <v>0</v>
      </c>
      <c r="W1094" s="232"/>
      <c r="X1094" s="131">
        <v>0</v>
      </c>
      <c r="Y1094" s="53"/>
      <c r="AA1094" s="357">
        <f>(J1094-G1094)/G1094</f>
        <v>1.9382911392405063E-2</v>
      </c>
      <c r="AB1094" s="162"/>
      <c r="AD1094" s="198"/>
      <c r="AE1094" s="350"/>
      <c r="AF1094" s="198"/>
      <c r="AG1094" s="350"/>
      <c r="AH1094" s="198"/>
      <c r="AI1094" s="198"/>
      <c r="AJ1094" s="350"/>
      <c r="AK1094" s="53"/>
      <c r="AL1094" s="53"/>
      <c r="AM1094" s="53"/>
      <c r="AN1094" s="53"/>
      <c r="AO1094" s="53"/>
      <c r="AP1094" s="53"/>
      <c r="AQ1094" s="53"/>
      <c r="AR1094" s="53"/>
      <c r="AS1094" s="53"/>
    </row>
    <row r="1095" spans="1:47">
      <c r="A1095" s="231" t="s">
        <v>147</v>
      </c>
      <c r="B1095" s="169"/>
      <c r="C1095" s="227">
        <f>SUM(C1093:C1094)</f>
        <v>12</v>
      </c>
      <c r="D1095" s="250" t="s">
        <v>0</v>
      </c>
      <c r="E1095" s="250"/>
      <c r="F1095" s="131" t="s">
        <v>0</v>
      </c>
      <c r="G1095" s="250" t="s">
        <v>0</v>
      </c>
      <c r="H1095" s="229"/>
      <c r="I1095" s="131" t="s">
        <v>0</v>
      </c>
      <c r="J1095" s="250" t="s">
        <v>0</v>
      </c>
      <c r="K1095" s="229"/>
      <c r="L1095" s="131" t="s">
        <v>0</v>
      </c>
      <c r="M1095" s="131"/>
      <c r="N1095" s="250" t="s">
        <v>0</v>
      </c>
      <c r="O1095" s="229"/>
      <c r="P1095" s="131" t="s">
        <v>0</v>
      </c>
      <c r="Q1095" s="131"/>
      <c r="R1095" s="250" t="s">
        <v>0</v>
      </c>
      <c r="S1095" s="229"/>
      <c r="T1095" s="131" t="s">
        <v>0</v>
      </c>
      <c r="U1095" s="131"/>
      <c r="V1095" s="250" t="s">
        <v>0</v>
      </c>
      <c r="W1095" s="229"/>
      <c r="X1095" s="131" t="s">
        <v>0</v>
      </c>
      <c r="Y1095" s="53"/>
      <c r="AA1095" s="372"/>
      <c r="AD1095" s="198"/>
      <c r="AE1095" s="350"/>
      <c r="AF1095" s="198"/>
      <c r="AG1095" s="350"/>
      <c r="AH1095" s="198"/>
      <c r="AI1095" s="198"/>
      <c r="AJ1095" s="350"/>
      <c r="AK1095" s="53"/>
      <c r="AL1095" s="53"/>
      <c r="AM1095" s="53"/>
      <c r="AN1095" s="53"/>
      <c r="AO1095" s="53"/>
      <c r="AP1095" s="53"/>
      <c r="AQ1095" s="53"/>
      <c r="AR1095" s="53"/>
      <c r="AS1095" s="53"/>
    </row>
    <row r="1096" spans="1:47">
      <c r="A1096" s="231" t="s">
        <v>233</v>
      </c>
      <c r="B1096" s="169"/>
      <c r="C1096" s="227">
        <v>0</v>
      </c>
      <c r="D1096" s="250" t="s">
        <v>0</v>
      </c>
      <c r="E1096" s="250"/>
      <c r="F1096" s="131">
        <f>ROUND(D1096*$C1096,0)</f>
        <v>0</v>
      </c>
      <c r="G1096" s="250" t="s">
        <v>0</v>
      </c>
      <c r="H1096" s="229"/>
      <c r="I1096" s="131">
        <f t="shared" ref="I1096:I1098" si="248">ROUND(C1096*G1096,0)</f>
        <v>0</v>
      </c>
      <c r="J1096" s="250" t="s">
        <v>0</v>
      </c>
      <c r="K1096" s="229"/>
      <c r="L1096" s="131">
        <f>ROUND(J1096*$C1096,0)</f>
        <v>0</v>
      </c>
      <c r="M1096" s="131"/>
      <c r="N1096" s="250" t="s">
        <v>0</v>
      </c>
      <c r="O1096" s="229"/>
      <c r="P1096" s="131">
        <v>0</v>
      </c>
      <c r="Q1096" s="131"/>
      <c r="R1096" s="250" t="s">
        <v>0</v>
      </c>
      <c r="S1096" s="229"/>
      <c r="T1096" s="131">
        <v>0</v>
      </c>
      <c r="U1096" s="131"/>
      <c r="V1096" s="250" t="s">
        <v>0</v>
      </c>
      <c r="W1096" s="229"/>
      <c r="X1096" s="131">
        <v>0</v>
      </c>
      <c r="Y1096" s="53"/>
      <c r="AA1096" s="372"/>
      <c r="AD1096" s="198"/>
      <c r="AE1096" s="350"/>
      <c r="AF1096" s="198"/>
      <c r="AG1096" s="350"/>
      <c r="AH1096" s="198"/>
      <c r="AI1096" s="198"/>
      <c r="AJ1096" s="350"/>
      <c r="AK1096" s="53"/>
      <c r="AL1096" s="53"/>
      <c r="AM1096" s="53"/>
      <c r="AN1096" s="53"/>
      <c r="AO1096" s="53"/>
      <c r="AP1096" s="53"/>
      <c r="AQ1096" s="53"/>
      <c r="AR1096" s="53"/>
      <c r="AS1096" s="53"/>
    </row>
    <row r="1097" spans="1:47">
      <c r="A1097" s="154" t="s">
        <v>251</v>
      </c>
      <c r="B1097" s="169"/>
      <c r="C1097" s="227">
        <v>693243</v>
      </c>
      <c r="D1097" s="250">
        <v>0.23</v>
      </c>
      <c r="E1097" s="250"/>
      <c r="F1097" s="131">
        <f>ROUND(D1097*$C1097,0)</f>
        <v>159446</v>
      </c>
      <c r="G1097" s="250">
        <v>0.23</v>
      </c>
      <c r="H1097" s="229"/>
      <c r="I1097" s="131">
        <f t="shared" si="248"/>
        <v>159446</v>
      </c>
      <c r="J1097" s="250">
        <v>0.24</v>
      </c>
      <c r="K1097" s="229"/>
      <c r="L1097" s="131">
        <f>ROUND(J1097*$C1097,0)</f>
        <v>166378</v>
      </c>
      <c r="M1097" s="131"/>
      <c r="N1097" s="250">
        <v>0.24</v>
      </c>
      <c r="O1097" s="229"/>
      <c r="P1097" s="131">
        <v>166378</v>
      </c>
      <c r="Q1097" s="131"/>
      <c r="R1097" s="250" t="s">
        <v>0</v>
      </c>
      <c r="S1097" s="229"/>
      <c r="T1097" s="131">
        <v>0</v>
      </c>
      <c r="U1097" s="131"/>
      <c r="V1097" s="250" t="s">
        <v>0</v>
      </c>
      <c r="W1097" s="229"/>
      <c r="X1097" s="131">
        <v>0</v>
      </c>
      <c r="Y1097" s="53"/>
      <c r="AA1097" s="357">
        <f>(J1097-G1097)/G1097</f>
        <v>4.3478260869565133E-2</v>
      </c>
      <c r="AB1097" s="162"/>
      <c r="AD1097" s="198"/>
      <c r="AE1097" s="350"/>
      <c r="AF1097" s="198"/>
      <c r="AG1097" s="350"/>
      <c r="AH1097" s="198"/>
      <c r="AI1097" s="198"/>
      <c r="AJ1097" s="350"/>
      <c r="AK1097" s="53"/>
      <c r="AL1097" s="53"/>
      <c r="AM1097" s="53"/>
      <c r="AN1097" s="53"/>
      <c r="AO1097" s="53"/>
      <c r="AP1097" s="53"/>
      <c r="AQ1097" s="53"/>
      <c r="AR1097" s="53"/>
      <c r="AS1097" s="53"/>
    </row>
    <row r="1098" spans="1:47">
      <c r="A1098" s="154" t="s">
        <v>161</v>
      </c>
      <c r="B1098" s="169"/>
      <c r="C1098" s="227">
        <v>681696</v>
      </c>
      <c r="D1098" s="250">
        <v>6.95</v>
      </c>
      <c r="E1098" s="250"/>
      <c r="F1098" s="131">
        <f>ROUND(D1098*$C1098,0)</f>
        <v>4737787</v>
      </c>
      <c r="G1098" s="250">
        <v>7.35</v>
      </c>
      <c r="H1098" s="229"/>
      <c r="I1098" s="131">
        <f t="shared" si="248"/>
        <v>5010466</v>
      </c>
      <c r="J1098" s="250">
        <v>7.62</v>
      </c>
      <c r="K1098" s="229"/>
      <c r="L1098" s="131">
        <f>ROUND(J1098*$C1098,0)</f>
        <v>5194524</v>
      </c>
      <c r="M1098" s="131"/>
      <c r="N1098" s="250">
        <v>1.097189059710358</v>
      </c>
      <c r="O1098" s="229"/>
      <c r="P1098" s="131">
        <v>747949.39324831218</v>
      </c>
      <c r="Q1098" s="131"/>
      <c r="R1098" s="250">
        <v>1.2921135393602776</v>
      </c>
      <c r="S1098" s="229"/>
      <c r="T1098" s="131">
        <v>880828.63132774376</v>
      </c>
      <c r="U1098" s="131"/>
      <c r="V1098" s="250">
        <v>5.2306981050555441</v>
      </c>
      <c r="W1098" s="229"/>
      <c r="X1098" s="131">
        <v>3565745.9754239442</v>
      </c>
      <c r="Y1098" s="53"/>
      <c r="AA1098" s="357">
        <f>(J1098-G1098)/G1098</f>
        <v>3.6734693877551086E-2</v>
      </c>
      <c r="AB1098" s="162"/>
      <c r="AC1098" s="110"/>
      <c r="AD1098" s="351"/>
      <c r="AE1098" s="350"/>
      <c r="AF1098" s="351"/>
      <c r="AG1098" s="350"/>
      <c r="AH1098" s="351"/>
      <c r="AI1098" s="110"/>
      <c r="AJ1098" s="350"/>
      <c r="AK1098" s="53"/>
      <c r="AL1098" s="53"/>
      <c r="AM1098" s="53"/>
      <c r="AN1098" s="53"/>
      <c r="AO1098" s="53"/>
      <c r="AP1098" s="53"/>
      <c r="AQ1098" s="53"/>
      <c r="AR1098" s="53"/>
      <c r="AS1098" s="53"/>
    </row>
    <row r="1099" spans="1:47">
      <c r="A1099" s="231" t="s">
        <v>183</v>
      </c>
      <c r="B1099" s="169"/>
      <c r="C1099" s="168" t="s">
        <v>0</v>
      </c>
      <c r="D1099" s="250" t="s">
        <v>0</v>
      </c>
      <c r="E1099" s="250"/>
      <c r="F1099" s="131"/>
      <c r="G1099" s="349" t="s">
        <v>0</v>
      </c>
      <c r="H1099" s="229"/>
      <c r="I1099" s="131"/>
      <c r="J1099" s="349" t="s">
        <v>0</v>
      </c>
      <c r="K1099" s="229"/>
      <c r="L1099" s="131"/>
      <c r="M1099" s="131"/>
      <c r="N1099" s="349" t="s">
        <v>0</v>
      </c>
      <c r="O1099" s="229"/>
      <c r="P1099" s="131"/>
      <c r="Q1099" s="131"/>
      <c r="R1099" s="349" t="s">
        <v>0</v>
      </c>
      <c r="S1099" s="229"/>
      <c r="T1099" s="131"/>
      <c r="U1099" s="131"/>
      <c r="V1099" s="349" t="s">
        <v>0</v>
      </c>
      <c r="W1099" s="229"/>
      <c r="X1099" s="131"/>
      <c r="Y1099" s="53"/>
      <c r="AA1099" s="372"/>
      <c r="AC1099" s="110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</row>
    <row r="1100" spans="1:47">
      <c r="A1100" s="231" t="s">
        <v>222</v>
      </c>
      <c r="B1100" s="169"/>
      <c r="C1100" s="227">
        <v>455274000</v>
      </c>
      <c r="D1100" s="349">
        <v>4.1870000000000003</v>
      </c>
      <c r="E1100" s="229" t="s">
        <v>107</v>
      </c>
      <c r="F1100" s="131">
        <f>ROUND(D1100/100*$C1100,0)</f>
        <v>19062322</v>
      </c>
      <c r="G1100" s="335">
        <v>4.43</v>
      </c>
      <c r="H1100" s="229" t="s">
        <v>107</v>
      </c>
      <c r="I1100" s="131">
        <f>ROUND(C1100/100*G1100,0)</f>
        <v>20168638</v>
      </c>
      <c r="J1100" s="335">
        <v>4.5709999999999997</v>
      </c>
      <c r="K1100" s="229" t="s">
        <v>107</v>
      </c>
      <c r="L1100" s="131">
        <f>ROUND(J1100/100*$C1100,0)</f>
        <v>20810575</v>
      </c>
      <c r="M1100" s="131"/>
      <c r="N1100" s="335" t="s">
        <v>0</v>
      </c>
      <c r="O1100" s="323" t="s">
        <v>0</v>
      </c>
      <c r="P1100" s="131">
        <v>0</v>
      </c>
      <c r="Q1100" s="131"/>
      <c r="R1100" s="335">
        <v>0.90500000000000003</v>
      </c>
      <c r="S1100" s="229" t="s">
        <v>107</v>
      </c>
      <c r="T1100" s="131">
        <v>4122398.006447528</v>
      </c>
      <c r="U1100" s="131"/>
      <c r="V1100" s="335">
        <v>3.6659999999999999</v>
      </c>
      <c r="W1100" s="229" t="s">
        <v>107</v>
      </c>
      <c r="X1100" s="131">
        <v>16688176.993552471</v>
      </c>
      <c r="Y1100" s="53"/>
      <c r="AA1100" s="357">
        <f>((J1100+J1102)-G1100)/G1100</f>
        <v>3.1828442437923259E-2</v>
      </c>
      <c r="AB1100" s="162"/>
      <c r="AC1100" s="110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</row>
    <row r="1101" spans="1:47">
      <c r="A1101" s="231" t="s">
        <v>152</v>
      </c>
      <c r="B1101" s="169"/>
      <c r="C1101" s="227">
        <v>183315</v>
      </c>
      <c r="D1101" s="250">
        <v>0.53</v>
      </c>
      <c r="E1101" s="229"/>
      <c r="F1101" s="131">
        <f>ROUND(D1101*$C1101,0)</f>
        <v>97157</v>
      </c>
      <c r="G1101" s="250">
        <v>0.53</v>
      </c>
      <c r="H1101" s="229"/>
      <c r="I1101" s="131">
        <f>ROUND(C1101*G1101,0)</f>
        <v>97157</v>
      </c>
      <c r="J1101" s="250">
        <v>0.53</v>
      </c>
      <c r="K1101" s="229"/>
      <c r="L1101" s="131">
        <f>ROUND(J1101*$C1101,0)</f>
        <v>97157</v>
      </c>
      <c r="M1101" s="131"/>
      <c r="N1101" s="250" t="s">
        <v>0</v>
      </c>
      <c r="O1101" s="229"/>
      <c r="P1101" s="131">
        <v>0</v>
      </c>
      <c r="Q1101" s="131"/>
      <c r="R1101" s="250">
        <v>0.1</v>
      </c>
      <c r="S1101" s="229"/>
      <c r="T1101" s="131">
        <v>19245.975813374815</v>
      </c>
      <c r="U1101" s="131"/>
      <c r="V1101" s="250">
        <v>0.43</v>
      </c>
      <c r="W1101" s="229"/>
      <c r="X1101" s="131">
        <v>77911.024186625189</v>
      </c>
      <c r="Y1101" s="53"/>
      <c r="AA1101" s="357">
        <f>(J1101-G1101)/G1101</f>
        <v>0</v>
      </c>
      <c r="AB1101" s="162"/>
      <c r="AC1101" s="110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</row>
    <row r="1102" spans="1:47" s="141" customFormat="1" hidden="1">
      <c r="A1102" s="140" t="s">
        <v>223</v>
      </c>
      <c r="C1102" s="142">
        <f>C1100</f>
        <v>455274000</v>
      </c>
      <c r="D1102" s="138"/>
      <c r="E1102" s="143"/>
      <c r="F1102" s="144"/>
      <c r="G1102" s="138"/>
      <c r="H1102" s="143"/>
      <c r="I1102" s="144"/>
      <c r="J1102" s="145">
        <v>0</v>
      </c>
      <c r="K1102" s="283" t="s">
        <v>107</v>
      </c>
      <c r="L1102" s="283">
        <f>ROUND(J1102*$C1102/100,0)</f>
        <v>0</v>
      </c>
      <c r="M1102" s="283"/>
      <c r="N1102" s="145" t="s">
        <v>0</v>
      </c>
      <c r="O1102" s="283" t="s">
        <v>0</v>
      </c>
      <c r="P1102" s="131">
        <v>0</v>
      </c>
      <c r="Q1102" s="283"/>
      <c r="R1102" s="145" t="s">
        <v>0</v>
      </c>
      <c r="S1102" s="283" t="s">
        <v>0</v>
      </c>
      <c r="T1102" s="131">
        <v>0</v>
      </c>
      <c r="U1102" s="283"/>
      <c r="V1102" s="145">
        <v>0</v>
      </c>
      <c r="W1102" s="283" t="s">
        <v>107</v>
      </c>
      <c r="X1102" s="131">
        <v>0</v>
      </c>
      <c r="Y1102" s="147">
        <v>13164524.379283957</v>
      </c>
      <c r="Z1102" s="132" t="s">
        <v>108</v>
      </c>
      <c r="AC1102" s="148"/>
      <c r="AD1102" s="148"/>
      <c r="AI1102" s="143"/>
      <c r="AJ1102" s="143"/>
      <c r="AK1102" s="143"/>
      <c r="AL1102" s="143"/>
      <c r="AM1102" s="143"/>
      <c r="AN1102" s="143"/>
      <c r="AO1102" s="143"/>
      <c r="AP1102" s="143"/>
      <c r="AQ1102" s="143"/>
      <c r="AR1102" s="143"/>
      <c r="AS1102" s="143"/>
      <c r="AU1102" s="147"/>
    </row>
    <row r="1103" spans="1:47" s="141" customFormat="1" hidden="1">
      <c r="A1103" s="202" t="s">
        <v>224</v>
      </c>
      <c r="B1103" s="203"/>
      <c r="C1103" s="368"/>
      <c r="D1103" s="205"/>
      <c r="E1103" s="206"/>
      <c r="F1103" s="207"/>
      <c r="G1103" s="361">
        <f>G1100</f>
        <v>4.43</v>
      </c>
      <c r="H1103" s="299" t="s">
        <v>107</v>
      </c>
      <c r="I1103" s="207"/>
      <c r="J1103" s="361">
        <f>J1100+J1102</f>
        <v>4.5709999999999997</v>
      </c>
      <c r="K1103" s="299" t="s">
        <v>107</v>
      </c>
      <c r="L1103" s="299"/>
      <c r="M1103" s="299"/>
      <c r="N1103" s="361" t="s">
        <v>0</v>
      </c>
      <c r="O1103" s="299" t="s">
        <v>0</v>
      </c>
      <c r="P1103" s="299"/>
      <c r="Q1103" s="299"/>
      <c r="R1103" s="361">
        <f>R1100+R1102</f>
        <v>0.90500000000000003</v>
      </c>
      <c r="S1103" s="299" t="s">
        <v>107</v>
      </c>
      <c r="T1103" s="299"/>
      <c r="U1103" s="299"/>
      <c r="V1103" s="361">
        <f>V1100+V1102</f>
        <v>3.6659999999999999</v>
      </c>
      <c r="W1103" s="299" t="s">
        <v>107</v>
      </c>
      <c r="X1103" s="299"/>
      <c r="Y1103" s="147"/>
      <c r="Z1103" s="132"/>
      <c r="AA1103" s="357">
        <f>(J1103-G1103)/G1103</f>
        <v>3.1828442437923259E-2</v>
      </c>
      <c r="AC1103" s="148"/>
      <c r="AD1103" s="148"/>
      <c r="AI1103" s="143"/>
      <c r="AJ1103" s="143"/>
      <c r="AK1103" s="143"/>
      <c r="AL1103" s="143"/>
      <c r="AM1103" s="143"/>
      <c r="AN1103" s="143"/>
      <c r="AO1103" s="143"/>
      <c r="AP1103" s="143"/>
      <c r="AQ1103" s="143"/>
      <c r="AR1103" s="143"/>
      <c r="AS1103" s="143"/>
      <c r="AU1103" s="147"/>
    </row>
    <row r="1104" spans="1:47">
      <c r="A1104" s="169" t="s">
        <v>133</v>
      </c>
      <c r="B1104" s="169"/>
      <c r="C1104" s="227">
        <f>C1100</f>
        <v>455274000</v>
      </c>
      <c r="D1104" s="237"/>
      <c r="E1104" s="131"/>
      <c r="F1104" s="131">
        <f>SUM(F1093:F1101)</f>
        <v>24087048</v>
      </c>
      <c r="G1104" s="237"/>
      <c r="H1104" s="169"/>
      <c r="I1104" s="131">
        <f>SUM(I1093:I1101)</f>
        <v>25466043</v>
      </c>
      <c r="J1104" s="237"/>
      <c r="K1104" s="169"/>
      <c r="L1104" s="131">
        <f>SUM(L1093:L1103)</f>
        <v>26299558</v>
      </c>
      <c r="M1104" s="131"/>
      <c r="N1104" s="237"/>
      <c r="O1104" s="169"/>
      <c r="P1104" s="131">
        <f>SUM(P1093:P1103)</f>
        <v>945251.39324831218</v>
      </c>
      <c r="Q1104" s="131"/>
      <c r="R1104" s="237"/>
      <c r="S1104" s="169"/>
      <c r="T1104" s="131">
        <f>SUM(T1093:T1103)</f>
        <v>5022472.613588647</v>
      </c>
      <c r="U1104" s="131"/>
      <c r="V1104" s="237"/>
      <c r="W1104" s="169"/>
      <c r="X1104" s="131">
        <f>SUM(X1093:X1103)</f>
        <v>20331833.993163042</v>
      </c>
      <c r="Y1104" s="53"/>
      <c r="Z1104" s="110"/>
      <c r="AA1104" s="110"/>
      <c r="AB1104" s="110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</row>
    <row r="1105" spans="1:45">
      <c r="A1105" s="169" t="s">
        <v>111</v>
      </c>
      <c r="B1105" s="169"/>
      <c r="C1105" s="227">
        <v>-7292369.4830914559</v>
      </c>
      <c r="D1105" s="154"/>
      <c r="E1105" s="154"/>
      <c r="F1105" s="254">
        <f>I1105</f>
        <v>-525378.60504138179</v>
      </c>
      <c r="G1105" s="154"/>
      <c r="H1105" s="154"/>
      <c r="I1105" s="254">
        <v>-525378.60504138179</v>
      </c>
      <c r="J1105" s="154"/>
      <c r="K1105" s="154"/>
      <c r="L1105" s="254">
        <f>I1105</f>
        <v>-525378.60504138179</v>
      </c>
      <c r="M1105" s="230"/>
      <c r="N1105" s="154"/>
      <c r="O1105" s="154"/>
      <c r="P1105" s="254">
        <f>$L$1105*Y1108/($Y1108+$Z$1108+$AA$1108)</f>
        <v>-18883.011585146065</v>
      </c>
      <c r="Q1105" s="153"/>
      <c r="R1105" s="154"/>
      <c r="S1105" s="154"/>
      <c r="T1105" s="254">
        <f>$L$1105*Z1109/($Y$1109+$Z$1109+$AA$1109)</f>
        <v>-100332.47157939865</v>
      </c>
      <c r="U1105" s="153"/>
      <c r="V1105" s="154"/>
      <c r="W1105" s="154"/>
      <c r="X1105" s="254">
        <f>$L$1105*AA1109/($Y$1109+$Z$1109+$AA$1109)</f>
        <v>-406163.1218768371</v>
      </c>
      <c r="Y1105" s="185"/>
      <c r="Z1105" s="18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</row>
    <row r="1106" spans="1:45" ht="16.5" thickBot="1">
      <c r="A1106" s="169" t="s">
        <v>134</v>
      </c>
      <c r="B1106" s="169"/>
      <c r="C1106" s="343">
        <f>SUM(C1104)+C1105</f>
        <v>447981630.51690853</v>
      </c>
      <c r="D1106" s="272"/>
      <c r="E1106" s="256"/>
      <c r="F1106" s="257">
        <f>F1104+F1105</f>
        <v>23561669.394958619</v>
      </c>
      <c r="G1106" s="272"/>
      <c r="H1106" s="258"/>
      <c r="I1106" s="257">
        <f>I1104+I1105</f>
        <v>24940664.394958619</v>
      </c>
      <c r="J1106" s="272"/>
      <c r="K1106" s="258"/>
      <c r="L1106" s="257">
        <f>L1104+L1105</f>
        <v>25774179.394958619</v>
      </c>
      <c r="M1106" s="257"/>
      <c r="N1106" s="272"/>
      <c r="O1106" s="258"/>
      <c r="P1106" s="257">
        <f>P1104+P1105</f>
        <v>926368.3816631661</v>
      </c>
      <c r="Q1106" s="257"/>
      <c r="R1106" s="272"/>
      <c r="S1106" s="258"/>
      <c r="T1106" s="257">
        <f>T1104+T1105</f>
        <v>4922140.142009248</v>
      </c>
      <c r="U1106" s="257"/>
      <c r="V1106" s="272"/>
      <c r="W1106" s="258"/>
      <c r="X1106" s="257">
        <f>X1104+X1105</f>
        <v>19925670.871286206</v>
      </c>
      <c r="Y1106" s="159" t="s">
        <v>113</v>
      </c>
      <c r="Z1106" s="160">
        <v>25774176.661920805</v>
      </c>
      <c r="AA1106" s="161">
        <v>3.2519810064509207E-2</v>
      </c>
      <c r="AB1106" s="162"/>
      <c r="AC1106" s="93" t="s">
        <v>0</v>
      </c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</row>
    <row r="1107" spans="1:45" ht="16.5" thickTop="1">
      <c r="A1107" s="169"/>
      <c r="B1107" s="169"/>
      <c r="C1107" s="189"/>
      <c r="D1107" s="250" t="s">
        <v>0</v>
      </c>
      <c r="E1107" s="131"/>
      <c r="F1107" s="273" t="s">
        <v>0</v>
      </c>
      <c r="G1107" s="250" t="s">
        <v>0</v>
      </c>
      <c r="H1107" s="169"/>
      <c r="I1107" s="131"/>
      <c r="J1107" s="277" t="s">
        <v>0</v>
      </c>
      <c r="K1107" s="169"/>
      <c r="L1107" s="131" t="s">
        <v>0</v>
      </c>
      <c r="M1107" s="131"/>
      <c r="N1107" s="277" t="s">
        <v>0</v>
      </c>
      <c r="O1107" s="169"/>
      <c r="P1107" s="131" t="s">
        <v>0</v>
      </c>
      <c r="Q1107" s="131"/>
      <c r="R1107" s="277" t="s">
        <v>0</v>
      </c>
      <c r="S1107" s="169"/>
      <c r="T1107" s="131" t="s">
        <v>0</v>
      </c>
      <c r="U1107" s="131"/>
      <c r="V1107" s="277" t="s">
        <v>0</v>
      </c>
      <c r="W1107" s="169"/>
      <c r="X1107" s="131" t="s">
        <v>0</v>
      </c>
      <c r="Y1107" s="170" t="s">
        <v>115</v>
      </c>
      <c r="Z1107" s="355">
        <f>Z1106-L1106</f>
        <v>-2.7330378144979477</v>
      </c>
      <c r="AA1107" s="356"/>
      <c r="AB1107" s="110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</row>
    <row r="1108" spans="1:45" hidden="1">
      <c r="A1108" s="169"/>
      <c r="B1108" s="169"/>
      <c r="C1108" s="189"/>
      <c r="D1108" s="250"/>
      <c r="E1108" s="131"/>
      <c r="F1108" s="273"/>
      <c r="G1108" s="250"/>
      <c r="H1108" s="169"/>
      <c r="I1108" s="131"/>
      <c r="J1108" s="277"/>
      <c r="K1108" s="169"/>
      <c r="L1108" s="131"/>
      <c r="M1108" s="131"/>
      <c r="N1108" s="277"/>
      <c r="O1108" s="169"/>
      <c r="P1108" s="131"/>
      <c r="Q1108" s="131"/>
      <c r="R1108" s="277"/>
      <c r="S1108" s="169"/>
      <c r="T1108" s="131"/>
      <c r="U1108" s="131"/>
      <c r="V1108" s="277"/>
      <c r="W1108" s="169"/>
      <c r="X1108" s="131"/>
      <c r="Y1108" s="367">
        <v>3.5941721653584904E-2</v>
      </c>
      <c r="Z1108" s="367">
        <v>0.19097174992783705</v>
      </c>
      <c r="AA1108" s="367">
        <v>0.77308652841857795</v>
      </c>
      <c r="AB1108" s="110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</row>
    <row r="1109" spans="1:45" hidden="1">
      <c r="A1109" s="169"/>
      <c r="B1109" s="169"/>
      <c r="C1109" s="189"/>
      <c r="D1109" s="250"/>
      <c r="E1109" s="131"/>
      <c r="F1109" s="273"/>
      <c r="G1109" s="250"/>
      <c r="H1109" s="169"/>
      <c r="I1109" s="131"/>
      <c r="J1109" s="277"/>
      <c r="K1109" s="169"/>
      <c r="L1109" s="131"/>
      <c r="M1109" s="131"/>
      <c r="N1109" s="277"/>
      <c r="O1109" s="169"/>
      <c r="P1109" s="131"/>
      <c r="Q1109" s="131"/>
      <c r="R1109" s="277"/>
      <c r="S1109" s="169"/>
      <c r="T1109" s="131"/>
      <c r="U1109" s="131"/>
      <c r="V1109" s="277"/>
      <c r="W1109" s="169"/>
      <c r="X1109" s="131"/>
      <c r="Y1109" s="186">
        <f>Y1108*L1106</f>
        <v>926368.3816631661</v>
      </c>
      <c r="Z1109" s="186">
        <f>Z1108*L1106</f>
        <v>4922140.142009248</v>
      </c>
      <c r="AA1109" s="186">
        <f>AA1108*L1106</f>
        <v>19925670.871286202</v>
      </c>
      <c r="AB1109" s="110" t="s">
        <v>240</v>
      </c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</row>
    <row r="1110" spans="1:45">
      <c r="A1110" s="188" t="s">
        <v>252</v>
      </c>
      <c r="B1110" s="169"/>
      <c r="C1110" s="169"/>
      <c r="D1110" s="169"/>
      <c r="E1110" s="169"/>
      <c r="F1110" s="131"/>
      <c r="G1110" s="169"/>
      <c r="H1110" s="169"/>
      <c r="I1110" s="131"/>
      <c r="J1110" s="169"/>
      <c r="K1110" s="169"/>
      <c r="L1110" s="169"/>
      <c r="M1110" s="169"/>
      <c r="N1110" s="169"/>
      <c r="O1110" s="169"/>
      <c r="P1110" s="131" t="s">
        <v>0</v>
      </c>
      <c r="Q1110" s="169"/>
      <c r="R1110" s="169"/>
      <c r="S1110" s="169"/>
      <c r="T1110" s="131" t="s">
        <v>0</v>
      </c>
      <c r="U1110" s="169"/>
      <c r="V1110" s="169"/>
      <c r="W1110" s="169"/>
      <c r="X1110" s="131" t="s">
        <v>0</v>
      </c>
      <c r="Z1110" s="111"/>
      <c r="AA1110" s="111"/>
      <c r="AB1110" s="111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</row>
    <row r="1111" spans="1:45">
      <c r="A1111" s="169" t="s">
        <v>253</v>
      </c>
      <c r="B1111" s="169"/>
      <c r="C1111" s="169"/>
      <c r="D1111" s="169"/>
      <c r="E1111" s="169"/>
      <c r="F1111" s="131"/>
      <c r="G1111" s="169"/>
      <c r="H1111" s="169"/>
      <c r="I1111" s="131"/>
      <c r="J1111" s="169"/>
      <c r="K1111" s="169"/>
      <c r="L1111" s="169"/>
      <c r="M1111" s="169"/>
      <c r="N1111" s="169"/>
      <c r="O1111" s="169"/>
      <c r="P1111" s="169"/>
      <c r="Q1111" s="169"/>
      <c r="R1111" s="169"/>
      <c r="S1111" s="169"/>
      <c r="T1111" s="169"/>
      <c r="U1111" s="169"/>
      <c r="V1111" s="169"/>
      <c r="W1111" s="169"/>
      <c r="X1111" s="169"/>
      <c r="Z1111" s="111"/>
      <c r="AA1111" s="111"/>
      <c r="AB1111" s="175"/>
      <c r="AC1111" s="175"/>
      <c r="AD1111" s="175"/>
      <c r="AE1111" s="175"/>
      <c r="AF1111" s="175"/>
      <c r="AG1111" s="175"/>
      <c r="AH1111" s="175"/>
      <c r="AI1111" s="175"/>
      <c r="AJ1111" s="175"/>
      <c r="AK1111" s="175"/>
      <c r="AL1111" s="175"/>
      <c r="AM1111" s="175"/>
      <c r="AN1111" s="175"/>
      <c r="AO1111" s="53"/>
      <c r="AP1111" s="53"/>
      <c r="AQ1111" s="53"/>
      <c r="AR1111" s="53"/>
      <c r="AS1111" s="53"/>
    </row>
    <row r="1112" spans="1:45">
      <c r="A1112" s="169" t="s">
        <v>254</v>
      </c>
      <c r="B1112" s="169"/>
      <c r="C1112" s="169"/>
      <c r="D1112" s="169"/>
      <c r="E1112" s="169"/>
      <c r="F1112" s="131"/>
      <c r="G1112" s="169"/>
      <c r="H1112" s="169"/>
      <c r="I1112" s="131"/>
      <c r="J1112" s="169"/>
      <c r="K1112" s="169"/>
      <c r="L1112" s="169"/>
      <c r="M1112" s="169"/>
      <c r="N1112" s="169"/>
      <c r="O1112" s="169"/>
      <c r="P1112" s="169"/>
      <c r="Q1112" s="169"/>
      <c r="R1112" s="169"/>
      <c r="S1112" s="169"/>
      <c r="T1112" s="169"/>
      <c r="U1112" s="169"/>
      <c r="V1112" s="169"/>
      <c r="W1112" s="169"/>
      <c r="X1112" s="169"/>
      <c r="Y1112" s="175"/>
      <c r="Z1112" s="175"/>
      <c r="AA1112" s="186" t="s">
        <v>0</v>
      </c>
      <c r="AB1112" s="175"/>
      <c r="AC1112" s="175"/>
      <c r="AD1112" s="175"/>
      <c r="AE1112" s="175"/>
      <c r="AF1112" s="175"/>
      <c r="AG1112" s="175"/>
      <c r="AH1112" s="175"/>
      <c r="AI1112" s="175"/>
      <c r="AJ1112" s="175"/>
      <c r="AK1112" s="175"/>
      <c r="AL1112" s="175"/>
      <c r="AM1112" s="175"/>
      <c r="AN1112" s="175"/>
      <c r="AO1112" s="53"/>
      <c r="AP1112" s="53"/>
      <c r="AQ1112" s="53"/>
      <c r="AR1112" s="53"/>
      <c r="AS1112" s="53"/>
    </row>
    <row r="1113" spans="1:45">
      <c r="A1113" s="169" t="s">
        <v>255</v>
      </c>
      <c r="B1113" s="169"/>
      <c r="C1113" s="169"/>
      <c r="D1113" s="169"/>
      <c r="E1113" s="169"/>
      <c r="F1113" s="131"/>
      <c r="G1113" s="169"/>
      <c r="H1113" s="169"/>
      <c r="I1113" s="131"/>
      <c r="J1113" s="169"/>
      <c r="K1113" s="169"/>
      <c r="L1113" s="169"/>
      <c r="M1113" s="169"/>
      <c r="N1113" s="169"/>
      <c r="O1113" s="169"/>
      <c r="P1113" s="169"/>
      <c r="Q1113" s="169"/>
      <c r="R1113" s="169"/>
      <c r="S1113" s="169"/>
      <c r="T1113" s="169"/>
      <c r="U1113" s="169"/>
      <c r="V1113" s="169"/>
      <c r="W1113" s="169"/>
      <c r="X1113" s="169"/>
      <c r="Y1113" s="175"/>
      <c r="Z1113" s="175"/>
      <c r="AA1113" s="110"/>
      <c r="AB1113" s="110"/>
      <c r="AC1113" s="176"/>
      <c r="AD1113" s="176"/>
      <c r="AE1113" s="177"/>
      <c r="AF1113" s="177"/>
      <c r="AG1113" s="177"/>
      <c r="AH1113" s="177"/>
      <c r="AI1113" s="178"/>
      <c r="AJ1113" s="179"/>
      <c r="AK1113" s="175"/>
      <c r="AL1113" s="175"/>
      <c r="AM1113" s="175"/>
      <c r="AN1113" s="175"/>
      <c r="AO1113" s="53"/>
      <c r="AP1113" s="53"/>
      <c r="AQ1113" s="53"/>
      <c r="AR1113" s="53"/>
      <c r="AS1113" s="53"/>
    </row>
    <row r="1114" spans="1:45">
      <c r="A1114" s="111" t="s">
        <v>102</v>
      </c>
      <c r="C1114" s="129">
        <v>14351.0304600299</v>
      </c>
      <c r="D1114" s="130">
        <v>8.4600000000000009</v>
      </c>
      <c r="F1114" s="131">
        <f t="shared" ref="F1114:F1123" si="249">ROUND(D1114*$C1114,0)</f>
        <v>121410</v>
      </c>
      <c r="G1114" s="130">
        <v>8.4600000000000009</v>
      </c>
      <c r="I1114" s="131">
        <f>ROUND(C1114*G1114,0)</f>
        <v>121410</v>
      </c>
      <c r="J1114" s="130">
        <v>8.57</v>
      </c>
      <c r="L1114" s="131">
        <f>ROUND(J1114*$C1114,0)</f>
        <v>122988</v>
      </c>
      <c r="M1114" s="131"/>
      <c r="N1114" s="130">
        <v>5.0199999999999996</v>
      </c>
      <c r="P1114" s="131">
        <v>71975.291044760379</v>
      </c>
      <c r="Q1114" s="131"/>
      <c r="R1114" s="130">
        <v>0.7</v>
      </c>
      <c r="T1114" s="131">
        <v>10081.932145449722</v>
      </c>
      <c r="U1114" s="131"/>
      <c r="V1114" s="130">
        <v>2.86</v>
      </c>
      <c r="X1114" s="131">
        <v>40930.77680978991</v>
      </c>
      <c r="AA1114" s="178"/>
      <c r="AB1114" s="178"/>
      <c r="AC1114" s="110"/>
      <c r="AD1114" s="373"/>
      <c r="AE1114" s="373"/>
      <c r="AF1114" s="180"/>
      <c r="AG1114" s="180"/>
      <c r="AH1114" s="180"/>
      <c r="AI1114" s="181"/>
      <c r="AJ1114" s="175"/>
      <c r="AK1114" s="178"/>
      <c r="AL1114" s="178"/>
      <c r="AM1114" s="182"/>
      <c r="AN1114" s="178"/>
      <c r="AO1114" s="53"/>
      <c r="AP1114" s="53"/>
      <c r="AQ1114" s="53"/>
      <c r="AR1114" s="53"/>
      <c r="AS1114" s="53"/>
    </row>
    <row r="1115" spans="1:45">
      <c r="A1115" s="111" t="s">
        <v>256</v>
      </c>
      <c r="C1115" s="129">
        <v>17709.609827367789</v>
      </c>
      <c r="D1115" s="130">
        <v>10.15</v>
      </c>
      <c r="F1115" s="131">
        <f t="shared" si="249"/>
        <v>179753</v>
      </c>
      <c r="G1115" s="130">
        <v>10.15</v>
      </c>
      <c r="I1115" s="131">
        <f t="shared" ref="I1115:I1136" si="250">ROUND(C1115*G1115,0)</f>
        <v>179753</v>
      </c>
      <c r="J1115" s="130">
        <v>10.29</v>
      </c>
      <c r="L1115" s="131">
        <f t="shared" ref="L1115:L1133" si="251">ROUND(J1115*$C1115,0)</f>
        <v>182232</v>
      </c>
      <c r="M1115" s="131"/>
      <c r="N1115" s="130">
        <v>6.02</v>
      </c>
      <c r="P1115" s="131">
        <v>106646.1869261129</v>
      </c>
      <c r="Q1115" s="131"/>
      <c r="R1115" s="130">
        <v>0.84</v>
      </c>
      <c r="T1115" s="131">
        <v>14938.454635652208</v>
      </c>
      <c r="U1115" s="131"/>
      <c r="V1115" s="130">
        <v>3.42</v>
      </c>
      <c r="X1115" s="131">
        <v>60647.358438234915</v>
      </c>
      <c r="AA1115" s="178"/>
      <c r="AB1115" s="178"/>
      <c r="AC1115" s="110"/>
      <c r="AD1115" s="373"/>
      <c r="AE1115" s="373"/>
      <c r="AF1115" s="180"/>
      <c r="AG1115" s="180"/>
      <c r="AH1115" s="180"/>
      <c r="AI1115" s="175"/>
      <c r="AJ1115" s="175"/>
      <c r="AK1115" s="178"/>
      <c r="AL1115" s="178"/>
      <c r="AM1115" s="182"/>
      <c r="AN1115" s="178"/>
      <c r="AO1115" s="53"/>
      <c r="AP1115" s="53"/>
      <c r="AQ1115" s="53"/>
      <c r="AR1115" s="53"/>
      <c r="AS1115" s="53"/>
    </row>
    <row r="1116" spans="1:45">
      <c r="A1116" s="111" t="s">
        <v>257</v>
      </c>
      <c r="C1116" s="129">
        <v>0</v>
      </c>
      <c r="D1116" s="130">
        <v>32.24</v>
      </c>
      <c r="F1116" s="131">
        <f t="shared" si="249"/>
        <v>0</v>
      </c>
      <c r="G1116" s="130">
        <v>32.24</v>
      </c>
      <c r="I1116" s="131">
        <f t="shared" si="250"/>
        <v>0</v>
      </c>
      <c r="J1116" s="130">
        <v>32.68</v>
      </c>
      <c r="L1116" s="131">
        <f t="shared" si="251"/>
        <v>0</v>
      </c>
      <c r="M1116" s="131"/>
      <c r="N1116" s="130">
        <v>19.13</v>
      </c>
      <c r="P1116" s="131">
        <v>0</v>
      </c>
      <c r="Q1116" s="131"/>
      <c r="R1116" s="130">
        <v>2.68</v>
      </c>
      <c r="T1116" s="131">
        <v>0</v>
      </c>
      <c r="U1116" s="131"/>
      <c r="V1116" s="130">
        <v>10.88</v>
      </c>
      <c r="X1116" s="131">
        <v>0</v>
      </c>
      <c r="AA1116" s="178"/>
      <c r="AB1116" s="178"/>
      <c r="AC1116" s="110"/>
      <c r="AD1116" s="373"/>
      <c r="AE1116" s="373"/>
      <c r="AF1116" s="180"/>
      <c r="AG1116" s="180"/>
      <c r="AH1116" s="180"/>
      <c r="AI1116" s="175"/>
      <c r="AJ1116" s="175"/>
      <c r="AK1116" s="178"/>
      <c r="AL1116" s="178"/>
      <c r="AM1116" s="182"/>
      <c r="AN1116" s="178"/>
      <c r="AO1116" s="53"/>
      <c r="AP1116" s="53"/>
      <c r="AQ1116" s="53"/>
      <c r="AR1116" s="53"/>
      <c r="AS1116" s="53"/>
    </row>
    <row r="1117" spans="1:45">
      <c r="A1117" s="111" t="s">
        <v>258</v>
      </c>
      <c r="C1117" s="129">
        <v>0</v>
      </c>
      <c r="D1117" s="130">
        <v>25.07</v>
      </c>
      <c r="F1117" s="131">
        <f t="shared" si="249"/>
        <v>0</v>
      </c>
      <c r="G1117" s="130">
        <v>25.07</v>
      </c>
      <c r="I1117" s="131">
        <f t="shared" si="250"/>
        <v>0</v>
      </c>
      <c r="J1117" s="130">
        <v>25.41</v>
      </c>
      <c r="L1117" s="131">
        <f t="shared" si="251"/>
        <v>0</v>
      </c>
      <c r="M1117" s="131"/>
      <c r="N1117" s="130">
        <v>14.87</v>
      </c>
      <c r="P1117" s="131">
        <v>0</v>
      </c>
      <c r="Q1117" s="131"/>
      <c r="R1117" s="130">
        <v>2.08</v>
      </c>
      <c r="T1117" s="131">
        <v>0</v>
      </c>
      <c r="U1117" s="131"/>
      <c r="V1117" s="130">
        <v>8.4600000000000009</v>
      </c>
      <c r="X1117" s="131">
        <v>0</v>
      </c>
      <c r="AA1117" s="178"/>
      <c r="AB1117" s="178"/>
      <c r="AC1117" s="110"/>
      <c r="AD1117" s="373"/>
      <c r="AE1117" s="373"/>
      <c r="AF1117" s="180"/>
      <c r="AG1117" s="180"/>
      <c r="AH1117" s="180"/>
      <c r="AI1117" s="175"/>
      <c r="AJ1117" s="175"/>
      <c r="AK1117" s="178"/>
      <c r="AL1117" s="178"/>
      <c r="AM1117" s="182"/>
      <c r="AN1117" s="178"/>
      <c r="AO1117" s="53"/>
      <c r="AP1117" s="53"/>
      <c r="AQ1117" s="53"/>
      <c r="AR1117" s="53"/>
      <c r="AS1117" s="53"/>
    </row>
    <row r="1118" spans="1:45">
      <c r="A1118" s="111" t="s">
        <v>259</v>
      </c>
      <c r="C1118" s="129">
        <v>831.58410223590397</v>
      </c>
      <c r="D1118" s="130">
        <v>12.97</v>
      </c>
      <c r="F1118" s="131">
        <f t="shared" si="249"/>
        <v>10786</v>
      </c>
      <c r="G1118" s="130">
        <v>12.97</v>
      </c>
      <c r="I1118" s="131">
        <f t="shared" si="250"/>
        <v>10786</v>
      </c>
      <c r="J1118" s="130">
        <v>13.15</v>
      </c>
      <c r="L1118" s="131">
        <f t="shared" si="251"/>
        <v>10935</v>
      </c>
      <c r="M1118" s="131"/>
      <c r="N1118" s="130">
        <v>7.7</v>
      </c>
      <c r="P1118" s="131">
        <v>6399.403255394468</v>
      </c>
      <c r="Q1118" s="131"/>
      <c r="R1118" s="130">
        <v>1.08</v>
      </c>
      <c r="T1118" s="131">
        <v>896.39581105874322</v>
      </c>
      <c r="U1118" s="131"/>
      <c r="V1118" s="130">
        <v>4.38</v>
      </c>
      <c r="X1118" s="131">
        <v>3639.2009335467906</v>
      </c>
      <c r="AA1118" s="178"/>
      <c r="AB1118" s="178"/>
      <c r="AC1118" s="110"/>
      <c r="AD1118" s="373"/>
      <c r="AE1118" s="373"/>
      <c r="AF1118" s="180"/>
      <c r="AG1118" s="180"/>
      <c r="AH1118" s="180"/>
      <c r="AI1118" s="175"/>
      <c r="AJ1118" s="175"/>
      <c r="AK1118" s="178"/>
      <c r="AL1118" s="178"/>
      <c r="AM1118" s="182"/>
      <c r="AN1118" s="178"/>
      <c r="AO1118" s="53"/>
      <c r="AP1118" s="53"/>
      <c r="AQ1118" s="53"/>
      <c r="AR1118" s="53"/>
      <c r="AS1118" s="53"/>
    </row>
    <row r="1119" spans="1:45">
      <c r="A1119" s="111" t="s">
        <v>260</v>
      </c>
      <c r="C1119" s="129">
        <v>0</v>
      </c>
      <c r="D1119" s="130">
        <v>33.4</v>
      </c>
      <c r="F1119" s="131">
        <f t="shared" si="249"/>
        <v>0</v>
      </c>
      <c r="G1119" s="130">
        <v>33.4</v>
      </c>
      <c r="I1119" s="131">
        <f t="shared" si="250"/>
        <v>0</v>
      </c>
      <c r="J1119" s="130">
        <v>33.85</v>
      </c>
      <c r="L1119" s="131">
        <f t="shared" si="251"/>
        <v>0</v>
      </c>
      <c r="M1119" s="131"/>
      <c r="N1119" s="130">
        <v>19.809999999999999</v>
      </c>
      <c r="P1119" s="131">
        <v>0</v>
      </c>
      <c r="Q1119" s="131"/>
      <c r="R1119" s="130">
        <v>2.77</v>
      </c>
      <c r="T1119" s="131">
        <v>0</v>
      </c>
      <c r="U1119" s="131"/>
      <c r="V1119" s="130">
        <v>11.27</v>
      </c>
      <c r="X1119" s="131">
        <v>0</v>
      </c>
      <c r="AA1119" s="178"/>
      <c r="AB1119" s="178"/>
      <c r="AC1119" s="110"/>
      <c r="AD1119" s="373"/>
      <c r="AE1119" s="373"/>
      <c r="AF1119" s="180"/>
      <c r="AG1119" s="180"/>
      <c r="AH1119" s="180"/>
      <c r="AI1119" s="175"/>
      <c r="AJ1119" s="175"/>
      <c r="AK1119" s="178"/>
      <c r="AL1119" s="178"/>
      <c r="AM1119" s="182"/>
      <c r="AN1119" s="178"/>
      <c r="AO1119" s="53"/>
      <c r="AP1119" s="53"/>
      <c r="AQ1119" s="53"/>
      <c r="AR1119" s="53"/>
      <c r="AS1119" s="53"/>
    </row>
    <row r="1120" spans="1:45">
      <c r="A1120" s="111" t="s">
        <v>261</v>
      </c>
      <c r="C1120" s="129">
        <v>0</v>
      </c>
      <c r="D1120" s="130">
        <v>26.27</v>
      </c>
      <c r="F1120" s="131">
        <f t="shared" si="249"/>
        <v>0</v>
      </c>
      <c r="G1120" s="130">
        <v>26.27</v>
      </c>
      <c r="I1120" s="131">
        <f t="shared" si="250"/>
        <v>0</v>
      </c>
      <c r="J1120" s="130">
        <v>26.62</v>
      </c>
      <c r="L1120" s="131">
        <f t="shared" si="251"/>
        <v>0</v>
      </c>
      <c r="M1120" s="131"/>
      <c r="N1120" s="130">
        <v>15.58</v>
      </c>
      <c r="P1120" s="131">
        <v>0</v>
      </c>
      <c r="Q1120" s="131"/>
      <c r="R1120" s="130">
        <v>2.1800000000000002</v>
      </c>
      <c r="T1120" s="131">
        <v>0</v>
      </c>
      <c r="U1120" s="131"/>
      <c r="V1120" s="130">
        <v>8.86</v>
      </c>
      <c r="X1120" s="131">
        <v>0</v>
      </c>
      <c r="AA1120" s="178"/>
      <c r="AB1120" s="178"/>
      <c r="AC1120" s="110"/>
      <c r="AD1120" s="373"/>
      <c r="AE1120" s="373"/>
      <c r="AF1120" s="180"/>
      <c r="AG1120" s="180"/>
      <c r="AH1120" s="180"/>
      <c r="AI1120" s="175"/>
      <c r="AJ1120" s="175"/>
      <c r="AK1120" s="178"/>
      <c r="AL1120" s="178"/>
      <c r="AM1120" s="182"/>
      <c r="AN1120" s="178"/>
      <c r="AO1120" s="53"/>
      <c r="AP1120" s="53"/>
      <c r="AQ1120" s="53"/>
      <c r="AR1120" s="53"/>
      <c r="AS1120" s="53"/>
    </row>
    <row r="1121" spans="1:45">
      <c r="A1121" s="111" t="s">
        <v>103</v>
      </c>
      <c r="C1121" s="129">
        <v>19415.719457651699</v>
      </c>
      <c r="D1121" s="130">
        <v>14.81</v>
      </c>
      <c r="F1121" s="131">
        <f t="shared" si="249"/>
        <v>287547</v>
      </c>
      <c r="G1121" s="130">
        <v>14.81</v>
      </c>
      <c r="I1121" s="131">
        <f t="shared" si="250"/>
        <v>287547</v>
      </c>
      <c r="J1121" s="130">
        <v>15.01</v>
      </c>
      <c r="L1121" s="131">
        <f t="shared" si="251"/>
        <v>291430</v>
      </c>
      <c r="M1121" s="131"/>
      <c r="N1121" s="130">
        <v>8.7799999999999994</v>
      </c>
      <c r="P1121" s="131">
        <v>170551.26572653037</v>
      </c>
      <c r="Q1121" s="131"/>
      <c r="R1121" s="130">
        <v>1.23</v>
      </c>
      <c r="T1121" s="131">
        <v>23889.952557553683</v>
      </c>
      <c r="U1121" s="131"/>
      <c r="V1121" s="130">
        <v>5</v>
      </c>
      <c r="X1121" s="131">
        <v>96988.78171591596</v>
      </c>
      <c r="AA1121" s="178"/>
      <c r="AB1121" s="178"/>
      <c r="AC1121" s="110"/>
      <c r="AD1121" s="373"/>
      <c r="AE1121" s="373"/>
      <c r="AF1121" s="180"/>
      <c r="AG1121" s="180"/>
      <c r="AH1121" s="180"/>
      <c r="AI1121" s="175"/>
      <c r="AJ1121" s="175"/>
      <c r="AK1121" s="178"/>
      <c r="AL1121" s="178"/>
      <c r="AM1121" s="182"/>
      <c r="AN1121" s="178"/>
      <c r="AO1121" s="53"/>
      <c r="AP1121" s="53"/>
      <c r="AQ1121" s="53"/>
      <c r="AR1121" s="53"/>
      <c r="AS1121" s="53"/>
    </row>
    <row r="1122" spans="1:45">
      <c r="A1122" s="111" t="s">
        <v>262</v>
      </c>
      <c r="C1122" s="129">
        <v>1586.8222491951999</v>
      </c>
      <c r="D1122" s="130">
        <v>18.79</v>
      </c>
      <c r="F1122" s="131">
        <f t="shared" si="249"/>
        <v>29816</v>
      </c>
      <c r="G1122" s="130">
        <v>18.79</v>
      </c>
      <c r="I1122" s="131">
        <f t="shared" si="250"/>
        <v>29816</v>
      </c>
      <c r="J1122" s="130">
        <v>19.04</v>
      </c>
      <c r="L1122" s="131">
        <f t="shared" si="251"/>
        <v>30213</v>
      </c>
      <c r="M1122" s="131"/>
      <c r="N1122" s="130">
        <v>11.14</v>
      </c>
      <c r="P1122" s="131">
        <v>17681.314179719528</v>
      </c>
      <c r="Q1122" s="131"/>
      <c r="R1122" s="130">
        <v>1.56</v>
      </c>
      <c r="T1122" s="131">
        <v>2476.7084261104533</v>
      </c>
      <c r="U1122" s="131"/>
      <c r="V1122" s="130">
        <v>6.34</v>
      </c>
      <c r="X1122" s="131">
        <v>10054.97739417002</v>
      </c>
      <c r="AA1122" s="178"/>
      <c r="AB1122" s="178"/>
      <c r="AC1122" s="110"/>
      <c r="AD1122" s="373"/>
      <c r="AE1122" s="373"/>
      <c r="AF1122" s="180"/>
      <c r="AG1122" s="180"/>
      <c r="AH1122" s="180"/>
      <c r="AI1122" s="175"/>
      <c r="AJ1122" s="175"/>
      <c r="AK1122" s="178"/>
      <c r="AL1122" s="178"/>
      <c r="AM1122" s="182"/>
      <c r="AN1122" s="178"/>
      <c r="AO1122" s="53"/>
      <c r="AP1122" s="53"/>
      <c r="AQ1122" s="53"/>
      <c r="AR1122" s="53"/>
      <c r="AS1122" s="53"/>
    </row>
    <row r="1123" spans="1:45">
      <c r="A1123" s="111" t="s">
        <v>104</v>
      </c>
      <c r="C1123" s="129">
        <v>2398.8688877327099</v>
      </c>
      <c r="D1123" s="130">
        <v>24.8</v>
      </c>
      <c r="F1123" s="131">
        <f t="shared" si="249"/>
        <v>59492</v>
      </c>
      <c r="G1123" s="130">
        <v>24.8</v>
      </c>
      <c r="I1123" s="131">
        <f t="shared" si="250"/>
        <v>59492</v>
      </c>
      <c r="J1123" s="130">
        <v>25.13</v>
      </c>
      <c r="L1123" s="131">
        <f>ROUND(J1123*$C1123,0)</f>
        <v>60284</v>
      </c>
      <c r="M1123" s="131"/>
      <c r="N1123" s="130">
        <v>14.71</v>
      </c>
      <c r="P1123" s="131">
        <v>35279.52682653864</v>
      </c>
      <c r="Q1123" s="131"/>
      <c r="R1123" s="130">
        <v>2.06</v>
      </c>
      <c r="T1123" s="131">
        <v>4941.7764127906057</v>
      </c>
      <c r="U1123" s="131"/>
      <c r="V1123" s="130">
        <v>8.36</v>
      </c>
      <c r="X1123" s="131">
        <v>20062.696760670755</v>
      </c>
      <c r="AA1123" s="178"/>
      <c r="AB1123" s="178"/>
      <c r="AC1123" s="110"/>
      <c r="AD1123" s="373"/>
      <c r="AE1123" s="373"/>
      <c r="AF1123" s="180"/>
      <c r="AG1123" s="180"/>
      <c r="AH1123" s="180"/>
      <c r="AI1123" s="175"/>
      <c r="AJ1123" s="175"/>
      <c r="AK1123" s="178"/>
      <c r="AL1123" s="178"/>
      <c r="AM1123" s="182"/>
      <c r="AN1123" s="178"/>
      <c r="AO1123" s="53"/>
      <c r="AP1123" s="53"/>
      <c r="AQ1123" s="53"/>
      <c r="AR1123" s="53"/>
      <c r="AS1123" s="53"/>
    </row>
    <row r="1124" spans="1:45">
      <c r="A1124" s="374" t="s">
        <v>263</v>
      </c>
      <c r="C1124" s="129"/>
      <c r="D1124" s="130"/>
      <c r="F1124" s="131"/>
      <c r="G1124" s="130"/>
      <c r="I1124" s="131"/>
      <c r="J1124" s="130"/>
      <c r="L1124" s="131"/>
      <c r="M1124" s="131"/>
      <c r="N1124" s="130"/>
      <c r="P1124" s="131"/>
      <c r="Q1124" s="131"/>
      <c r="R1124" s="130"/>
      <c r="T1124" s="131"/>
      <c r="U1124" s="131"/>
      <c r="V1124" s="130"/>
      <c r="X1124" s="131"/>
      <c r="AA1124" s="178"/>
      <c r="AB1124" s="178"/>
      <c r="AC1124" s="110"/>
      <c r="AD1124" s="373"/>
      <c r="AE1124" s="373"/>
      <c r="AF1124" s="180"/>
      <c r="AG1124" s="180"/>
      <c r="AH1124" s="180"/>
      <c r="AI1124" s="175"/>
      <c r="AJ1124" s="175"/>
      <c r="AK1124" s="178"/>
      <c r="AL1124" s="178"/>
      <c r="AM1124" s="182"/>
      <c r="AN1124" s="178"/>
      <c r="AO1124" s="53"/>
      <c r="AP1124" s="53"/>
      <c r="AQ1124" s="53"/>
      <c r="AR1124" s="53"/>
      <c r="AS1124" s="53"/>
    </row>
    <row r="1125" spans="1:45">
      <c r="A1125" s="139" t="s">
        <v>264</v>
      </c>
      <c r="C1125" s="129">
        <v>0</v>
      </c>
      <c r="D1125" s="130">
        <v>24.8</v>
      </c>
      <c r="F1125" s="131">
        <f t="shared" ref="F1125:F1128" si="252">ROUND(D1125*$C1125,0)</f>
        <v>0</v>
      </c>
      <c r="G1125" s="130">
        <v>9.35</v>
      </c>
      <c r="I1125" s="131">
        <f t="shared" ref="I1125:I1128" si="253">ROUND(C1125*G1125,0)</f>
        <v>0</v>
      </c>
      <c r="J1125" s="130">
        <v>9.48</v>
      </c>
      <c r="L1125" s="131">
        <f>ROUND(J1125*$C1125,0)</f>
        <v>0</v>
      </c>
      <c r="M1125" s="131"/>
      <c r="N1125" s="130">
        <v>5.55</v>
      </c>
      <c r="P1125" s="131">
        <v>0</v>
      </c>
      <c r="Q1125" s="131"/>
      <c r="R1125" s="130">
        <v>0.78</v>
      </c>
      <c r="T1125" s="131">
        <v>0</v>
      </c>
      <c r="U1125" s="131"/>
      <c r="V1125" s="130">
        <v>3.15</v>
      </c>
      <c r="X1125" s="131">
        <v>0</v>
      </c>
      <c r="AA1125" s="178"/>
      <c r="AB1125" s="178"/>
      <c r="AC1125" s="110"/>
      <c r="AD1125" s="373"/>
      <c r="AE1125" s="373"/>
      <c r="AF1125" s="180"/>
      <c r="AG1125" s="180"/>
      <c r="AH1125" s="180"/>
      <c r="AI1125" s="175"/>
      <c r="AJ1125" s="175"/>
      <c r="AK1125" s="178"/>
      <c r="AL1125" s="178"/>
      <c r="AM1125" s="182"/>
      <c r="AN1125" s="178"/>
      <c r="AO1125" s="53"/>
      <c r="AP1125" s="53"/>
      <c r="AQ1125" s="53"/>
      <c r="AR1125" s="53"/>
      <c r="AS1125" s="53"/>
    </row>
    <row r="1126" spans="1:45">
      <c r="A1126" s="139" t="s">
        <v>265</v>
      </c>
      <c r="C1126" s="129">
        <v>0</v>
      </c>
      <c r="D1126" s="130">
        <v>24.8</v>
      </c>
      <c r="F1126" s="131">
        <f t="shared" si="252"/>
        <v>0</v>
      </c>
      <c r="G1126" s="130">
        <v>11.79</v>
      </c>
      <c r="I1126" s="131">
        <f t="shared" si="253"/>
        <v>0</v>
      </c>
      <c r="J1126" s="130">
        <v>11.95</v>
      </c>
      <c r="L1126" s="131">
        <f>ROUND(J1126*$C1126,0)</f>
        <v>0</v>
      </c>
      <c r="M1126" s="131"/>
      <c r="N1126" s="130">
        <v>6.99</v>
      </c>
      <c r="P1126" s="131">
        <v>0</v>
      </c>
      <c r="Q1126" s="131"/>
      <c r="R1126" s="130">
        <v>0.98</v>
      </c>
      <c r="T1126" s="131">
        <v>0</v>
      </c>
      <c r="U1126" s="131"/>
      <c r="V1126" s="130">
        <v>3.98</v>
      </c>
      <c r="X1126" s="131">
        <v>0</v>
      </c>
      <c r="AA1126" s="178"/>
      <c r="AB1126" s="178"/>
      <c r="AC1126" s="110"/>
      <c r="AD1126" s="373"/>
      <c r="AE1126" s="373"/>
      <c r="AF1126" s="180"/>
      <c r="AG1126" s="180"/>
      <c r="AH1126" s="180"/>
      <c r="AI1126" s="175"/>
      <c r="AJ1126" s="175"/>
      <c r="AK1126" s="178"/>
      <c r="AL1126" s="178"/>
      <c r="AM1126" s="182"/>
      <c r="AN1126" s="178"/>
      <c r="AO1126" s="53"/>
      <c r="AP1126" s="53"/>
      <c r="AQ1126" s="53"/>
      <c r="AR1126" s="53"/>
      <c r="AS1126" s="53"/>
    </row>
    <row r="1127" spans="1:45">
      <c r="A1127" s="139" t="s">
        <v>266</v>
      </c>
      <c r="C1127" s="129">
        <v>0</v>
      </c>
      <c r="D1127" s="130">
        <v>24.8</v>
      </c>
      <c r="F1127" s="131">
        <f t="shared" si="252"/>
        <v>0</v>
      </c>
      <c r="G1127" s="130">
        <v>19.600000000000001</v>
      </c>
      <c r="I1127" s="131">
        <f t="shared" si="253"/>
        <v>0</v>
      </c>
      <c r="J1127" s="130">
        <v>19.86</v>
      </c>
      <c r="L1127" s="131">
        <f>ROUND(J1127*$C1127,0)</f>
        <v>0</v>
      </c>
      <c r="M1127" s="131"/>
      <c r="N1127" s="130">
        <v>11.62</v>
      </c>
      <c r="P1127" s="131">
        <v>0</v>
      </c>
      <c r="Q1127" s="131"/>
      <c r="R1127" s="130">
        <v>1.63</v>
      </c>
      <c r="T1127" s="131">
        <v>0</v>
      </c>
      <c r="U1127" s="131"/>
      <c r="V1127" s="130">
        <v>6.61</v>
      </c>
      <c r="X1127" s="131">
        <v>0</v>
      </c>
      <c r="AA1127" s="178"/>
      <c r="AB1127" s="178"/>
      <c r="AC1127" s="110"/>
      <c r="AD1127" s="373"/>
      <c r="AE1127" s="373"/>
      <c r="AF1127" s="180"/>
      <c r="AG1127" s="180"/>
      <c r="AH1127" s="180"/>
      <c r="AI1127" s="175"/>
      <c r="AJ1127" s="175"/>
      <c r="AK1127" s="178"/>
      <c r="AL1127" s="178"/>
      <c r="AM1127" s="182"/>
      <c r="AN1127" s="178"/>
      <c r="AO1127" s="53"/>
      <c r="AP1127" s="53"/>
      <c r="AQ1127" s="53"/>
      <c r="AR1127" s="53"/>
      <c r="AS1127" s="53"/>
    </row>
    <row r="1128" spans="1:45">
      <c r="A1128" s="139" t="s">
        <v>267</v>
      </c>
      <c r="C1128" s="129">
        <v>0</v>
      </c>
      <c r="D1128" s="130">
        <v>24.8</v>
      </c>
      <c r="F1128" s="131">
        <f t="shared" si="252"/>
        <v>0</v>
      </c>
      <c r="G1128" s="130">
        <v>24.73</v>
      </c>
      <c r="I1128" s="131">
        <f t="shared" si="253"/>
        <v>0</v>
      </c>
      <c r="J1128" s="130">
        <v>25.06</v>
      </c>
      <c r="L1128" s="131">
        <f>ROUND(J1128*$C1128,0)</f>
        <v>0</v>
      </c>
      <c r="M1128" s="131"/>
      <c r="N1128" s="130">
        <v>14.67</v>
      </c>
      <c r="P1128" s="131">
        <v>0</v>
      </c>
      <c r="Q1128" s="131"/>
      <c r="R1128" s="130">
        <v>2.0499999999999998</v>
      </c>
      <c r="T1128" s="131">
        <v>0</v>
      </c>
      <c r="U1128" s="131"/>
      <c r="V1128" s="130">
        <v>8.34</v>
      </c>
      <c r="X1128" s="131">
        <v>0</v>
      </c>
      <c r="AA1128" s="178"/>
      <c r="AB1128" s="178"/>
      <c r="AC1128" s="110"/>
      <c r="AD1128" s="373"/>
      <c r="AE1128" s="373"/>
      <c r="AF1128" s="180"/>
      <c r="AG1128" s="180"/>
      <c r="AH1128" s="180"/>
      <c r="AI1128" s="175"/>
      <c r="AJ1128" s="175"/>
      <c r="AK1128" s="178"/>
      <c r="AL1128" s="178"/>
      <c r="AM1128" s="182"/>
      <c r="AN1128" s="178"/>
      <c r="AO1128" s="53"/>
      <c r="AP1128" s="53"/>
      <c r="AQ1128" s="53"/>
      <c r="AR1128" s="53"/>
      <c r="AS1128" s="53"/>
    </row>
    <row r="1129" spans="1:45">
      <c r="A1129" s="111" t="s">
        <v>268</v>
      </c>
      <c r="C1129" s="129"/>
      <c r="D1129" s="130"/>
      <c r="F1129" s="131"/>
      <c r="G1129" s="130"/>
      <c r="I1129" s="131"/>
      <c r="J1129" s="130"/>
      <c r="L1129" s="131"/>
      <c r="M1129" s="131"/>
      <c r="N1129" s="130"/>
      <c r="P1129" s="131"/>
      <c r="Q1129" s="131"/>
      <c r="R1129" s="130"/>
      <c r="T1129" s="131"/>
      <c r="U1129" s="131"/>
      <c r="V1129" s="130"/>
      <c r="X1129" s="131"/>
      <c r="AA1129" s="178"/>
      <c r="AB1129" s="178"/>
      <c r="AC1129" s="110"/>
      <c r="AD1129" s="373"/>
      <c r="AE1129" s="373"/>
      <c r="AF1129" s="180"/>
      <c r="AG1129" s="180"/>
      <c r="AH1129" s="180"/>
      <c r="AI1129" s="175"/>
      <c r="AJ1129" s="175"/>
      <c r="AK1129" s="178"/>
      <c r="AL1129" s="178"/>
      <c r="AM1129" s="182"/>
      <c r="AN1129" s="178"/>
      <c r="AO1129" s="53"/>
      <c r="AP1129" s="53"/>
      <c r="AQ1129" s="53"/>
      <c r="AR1129" s="53"/>
      <c r="AS1129" s="53"/>
    </row>
    <row r="1130" spans="1:45">
      <c r="A1130" s="111" t="s">
        <v>269</v>
      </c>
      <c r="C1130" s="129">
        <v>0</v>
      </c>
      <c r="D1130" s="130">
        <v>30.92</v>
      </c>
      <c r="F1130" s="131">
        <f t="shared" ref="F1130:F1136" si="254">ROUND(D1130*$C1130,0)</f>
        <v>0</v>
      </c>
      <c r="G1130" s="130">
        <v>30.92</v>
      </c>
      <c r="I1130" s="131">
        <f t="shared" si="250"/>
        <v>0</v>
      </c>
      <c r="J1130" s="130">
        <v>31.34</v>
      </c>
      <c r="L1130" s="131">
        <f>ROUND(J1130*$C1130,0)</f>
        <v>0</v>
      </c>
      <c r="M1130" s="131"/>
      <c r="N1130" s="130">
        <v>18.34</v>
      </c>
      <c r="P1130" s="131">
        <v>0</v>
      </c>
      <c r="Q1130" s="131"/>
      <c r="R1130" s="130">
        <v>2.57</v>
      </c>
      <c r="T1130" s="131">
        <v>0</v>
      </c>
      <c r="U1130" s="131"/>
      <c r="V1130" s="130">
        <v>10.43</v>
      </c>
      <c r="X1130" s="131">
        <v>0</v>
      </c>
      <c r="AA1130" s="178"/>
      <c r="AB1130" s="178"/>
      <c r="AC1130" s="110"/>
      <c r="AD1130" s="373"/>
      <c r="AE1130" s="373"/>
      <c r="AF1130" s="180"/>
      <c r="AG1130" s="180"/>
      <c r="AH1130" s="180"/>
      <c r="AI1130" s="175"/>
      <c r="AJ1130" s="175"/>
      <c r="AK1130" s="178"/>
      <c r="AL1130" s="178"/>
      <c r="AM1130" s="182"/>
      <c r="AN1130" s="178"/>
      <c r="AO1130" s="53"/>
      <c r="AP1130" s="53"/>
      <c r="AQ1130" s="53"/>
      <c r="AR1130" s="53"/>
      <c r="AS1130" s="53"/>
    </row>
    <row r="1131" spans="1:45">
      <c r="A1131" s="111" t="s">
        <v>270</v>
      </c>
      <c r="C1131" s="129">
        <v>0</v>
      </c>
      <c r="D1131" s="130">
        <v>25.79</v>
      </c>
      <c r="F1131" s="131">
        <f t="shared" si="254"/>
        <v>0</v>
      </c>
      <c r="G1131" s="130">
        <v>25.79</v>
      </c>
      <c r="I1131" s="131">
        <f t="shared" si="250"/>
        <v>0</v>
      </c>
      <c r="J1131" s="130">
        <v>26.14</v>
      </c>
      <c r="L1131" s="131">
        <f t="shared" si="251"/>
        <v>0</v>
      </c>
      <c r="M1131" s="131"/>
      <c r="N1131" s="130">
        <v>15.3</v>
      </c>
      <c r="P1131" s="131">
        <v>0</v>
      </c>
      <c r="Q1131" s="131"/>
      <c r="R1131" s="130">
        <v>2.14</v>
      </c>
      <c r="T1131" s="131">
        <v>0</v>
      </c>
      <c r="U1131" s="131"/>
      <c r="V1131" s="130">
        <v>8.6999999999999993</v>
      </c>
      <c r="X1131" s="131">
        <v>0</v>
      </c>
      <c r="AA1131" s="178"/>
      <c r="AB1131" s="178"/>
      <c r="AC1131" s="110"/>
      <c r="AD1131" s="373"/>
      <c r="AE1131" s="373"/>
      <c r="AF1131" s="180"/>
      <c r="AG1131" s="180"/>
      <c r="AH1131" s="180"/>
      <c r="AI1131" s="175"/>
      <c r="AJ1131" s="175"/>
      <c r="AK1131" s="178"/>
      <c r="AL1131" s="178"/>
      <c r="AM1131" s="182"/>
      <c r="AN1131" s="178"/>
      <c r="AO1131" s="53"/>
      <c r="AP1131" s="53"/>
      <c r="AQ1131" s="53"/>
      <c r="AR1131" s="53"/>
      <c r="AS1131" s="53"/>
    </row>
    <row r="1132" spans="1:45">
      <c r="A1132" s="111" t="s">
        <v>271</v>
      </c>
      <c r="C1132" s="129">
        <v>0</v>
      </c>
      <c r="D1132" s="130">
        <v>23.77</v>
      </c>
      <c r="F1132" s="131">
        <f t="shared" si="254"/>
        <v>0</v>
      </c>
      <c r="G1132" s="130">
        <v>23.77</v>
      </c>
      <c r="I1132" s="131">
        <f t="shared" si="250"/>
        <v>0</v>
      </c>
      <c r="J1132" s="130">
        <v>24.09</v>
      </c>
      <c r="L1132" s="131">
        <f>ROUND(J1132*$C1132,0)</f>
        <v>0</v>
      </c>
      <c r="M1132" s="131"/>
      <c r="N1132" s="130">
        <v>14.1</v>
      </c>
      <c r="P1132" s="131">
        <v>0</v>
      </c>
      <c r="Q1132" s="131"/>
      <c r="R1132" s="130">
        <v>1.97</v>
      </c>
      <c r="T1132" s="131">
        <v>0</v>
      </c>
      <c r="U1132" s="131"/>
      <c r="V1132" s="130">
        <v>8.02</v>
      </c>
      <c r="X1132" s="131">
        <v>0</v>
      </c>
      <c r="AA1132" s="178"/>
      <c r="AB1132" s="178"/>
      <c r="AC1132" s="110"/>
      <c r="AD1132" s="373"/>
      <c r="AE1132" s="373"/>
      <c r="AF1132" s="180"/>
      <c r="AG1132" s="180"/>
      <c r="AH1132" s="180"/>
      <c r="AI1132" s="175"/>
      <c r="AJ1132" s="175"/>
      <c r="AK1132" s="178"/>
      <c r="AL1132" s="178"/>
      <c r="AM1132" s="182"/>
      <c r="AN1132" s="178"/>
      <c r="AO1132" s="53"/>
      <c r="AP1132" s="53"/>
      <c r="AQ1132" s="53"/>
      <c r="AR1132" s="53"/>
      <c r="AS1132" s="53"/>
    </row>
    <row r="1133" spans="1:45">
      <c r="A1133" s="111" t="s">
        <v>272</v>
      </c>
      <c r="C1133" s="129">
        <v>0</v>
      </c>
      <c r="D1133" s="130">
        <v>34.74</v>
      </c>
      <c r="F1133" s="131">
        <f t="shared" si="254"/>
        <v>0</v>
      </c>
      <c r="G1133" s="130">
        <v>34.74</v>
      </c>
      <c r="I1133" s="131">
        <f t="shared" si="250"/>
        <v>0</v>
      </c>
      <c r="J1133" s="130">
        <v>35.21</v>
      </c>
      <c r="L1133" s="131">
        <f t="shared" si="251"/>
        <v>0</v>
      </c>
      <c r="M1133" s="131"/>
      <c r="N1133" s="130">
        <v>20.61</v>
      </c>
      <c r="P1133" s="131">
        <v>0</v>
      </c>
      <c r="Q1133" s="131"/>
      <c r="R1133" s="130">
        <v>2.89</v>
      </c>
      <c r="T1133" s="131">
        <v>0</v>
      </c>
      <c r="U1133" s="131"/>
      <c r="V1133" s="130">
        <v>11.71</v>
      </c>
      <c r="X1133" s="131">
        <v>0</v>
      </c>
      <c r="AA1133" s="178"/>
      <c r="AB1133" s="178"/>
      <c r="AC1133" s="110"/>
      <c r="AD1133" s="373"/>
      <c r="AE1133" s="373"/>
      <c r="AF1133" s="180"/>
      <c r="AG1133" s="180"/>
      <c r="AH1133" s="180"/>
      <c r="AI1133" s="175"/>
      <c r="AJ1133" s="175"/>
      <c r="AK1133" s="178"/>
      <c r="AL1133" s="178"/>
      <c r="AM1133" s="182"/>
      <c r="AN1133" s="178"/>
      <c r="AO1133" s="53"/>
      <c r="AP1133" s="53"/>
      <c r="AQ1133" s="53"/>
      <c r="AR1133" s="53"/>
      <c r="AS1133" s="53"/>
    </row>
    <row r="1134" spans="1:45">
      <c r="A1134" s="111" t="s">
        <v>273</v>
      </c>
      <c r="C1134" s="129">
        <v>0</v>
      </c>
      <c r="D1134" s="130">
        <v>27.97</v>
      </c>
      <c r="F1134" s="131">
        <f t="shared" si="254"/>
        <v>0</v>
      </c>
      <c r="G1134" s="130">
        <v>27.97</v>
      </c>
      <c r="I1134" s="131">
        <f t="shared" si="250"/>
        <v>0</v>
      </c>
      <c r="J1134" s="130">
        <v>28.35</v>
      </c>
      <c r="L1134" s="131">
        <f>ROUND(J1134*$C1134,0)</f>
        <v>0</v>
      </c>
      <c r="M1134" s="131"/>
      <c r="N1134" s="130">
        <v>16.59</v>
      </c>
      <c r="P1134" s="131">
        <v>0</v>
      </c>
      <c r="Q1134" s="131"/>
      <c r="R1134" s="130">
        <v>2.3199999999999998</v>
      </c>
      <c r="T1134" s="131">
        <v>0</v>
      </c>
      <c r="U1134" s="131"/>
      <c r="V1134" s="130">
        <v>9.43</v>
      </c>
      <c r="X1134" s="131">
        <v>0</v>
      </c>
      <c r="AA1134" s="178"/>
      <c r="AB1134" s="178"/>
      <c r="AC1134" s="110"/>
      <c r="AD1134" s="373"/>
      <c r="AE1134" s="373"/>
      <c r="AF1134" s="180"/>
      <c r="AG1134" s="180"/>
      <c r="AH1134" s="180"/>
      <c r="AI1134" s="175"/>
      <c r="AJ1134" s="175"/>
      <c r="AK1134" s="178"/>
      <c r="AL1134" s="178"/>
      <c r="AM1134" s="182"/>
      <c r="AN1134" s="178"/>
      <c r="AO1134" s="53"/>
      <c r="AP1134" s="53"/>
      <c r="AQ1134" s="53"/>
      <c r="AR1134" s="53"/>
      <c r="AS1134" s="53"/>
    </row>
    <row r="1135" spans="1:45">
      <c r="A1135" s="111" t="s">
        <v>274</v>
      </c>
      <c r="C1135" s="129">
        <v>0</v>
      </c>
      <c r="D1135" s="130">
        <v>27.49</v>
      </c>
      <c r="F1135" s="131">
        <f t="shared" si="254"/>
        <v>0</v>
      </c>
      <c r="G1135" s="130">
        <v>27.49</v>
      </c>
      <c r="I1135" s="131">
        <f t="shared" si="250"/>
        <v>0</v>
      </c>
      <c r="J1135" s="130">
        <v>27.86</v>
      </c>
      <c r="L1135" s="131">
        <f>ROUND(J1135*$C1135,0)</f>
        <v>0</v>
      </c>
      <c r="M1135" s="131"/>
      <c r="N1135" s="130">
        <v>16.3</v>
      </c>
      <c r="P1135" s="131">
        <v>0</v>
      </c>
      <c r="Q1135" s="131"/>
      <c r="R1135" s="130">
        <v>2.2799999999999998</v>
      </c>
      <c r="T1135" s="131">
        <v>0</v>
      </c>
      <c r="U1135" s="131"/>
      <c r="V1135" s="130">
        <v>9.27</v>
      </c>
      <c r="X1135" s="131">
        <v>0</v>
      </c>
      <c r="AA1135" s="178"/>
      <c r="AB1135" s="178"/>
      <c r="AC1135" s="110"/>
      <c r="AD1135" s="373"/>
      <c r="AE1135" s="373"/>
      <c r="AF1135" s="180"/>
      <c r="AG1135" s="180"/>
      <c r="AH1135" s="180"/>
      <c r="AI1135" s="175"/>
      <c r="AJ1135" s="175"/>
      <c r="AK1135" s="178"/>
      <c r="AL1135" s="178"/>
      <c r="AM1135" s="182"/>
      <c r="AN1135" s="178"/>
      <c r="AO1135" s="53"/>
      <c r="AP1135" s="53"/>
      <c r="AQ1135" s="53"/>
      <c r="AR1135" s="53"/>
      <c r="AS1135" s="53"/>
    </row>
    <row r="1136" spans="1:45">
      <c r="A1136" s="111" t="s">
        <v>275</v>
      </c>
      <c r="C1136" s="129">
        <v>0</v>
      </c>
      <c r="D1136" s="130">
        <v>29.93</v>
      </c>
      <c r="F1136" s="131">
        <f t="shared" si="254"/>
        <v>0</v>
      </c>
      <c r="G1136" s="130">
        <v>29.93</v>
      </c>
      <c r="I1136" s="131">
        <f t="shared" si="250"/>
        <v>0</v>
      </c>
      <c r="J1136" s="130">
        <v>30.33</v>
      </c>
      <c r="L1136" s="131">
        <f>ROUND(J1136*$C1136,0)</f>
        <v>0</v>
      </c>
      <c r="M1136" s="131"/>
      <c r="N1136" s="130">
        <v>17.75</v>
      </c>
      <c r="P1136" s="131">
        <v>0</v>
      </c>
      <c r="Q1136" s="131"/>
      <c r="R1136" s="130">
        <v>2.4900000000000002</v>
      </c>
      <c r="T1136" s="131">
        <v>0</v>
      </c>
      <c r="U1136" s="131"/>
      <c r="V1136" s="130">
        <v>10.1</v>
      </c>
      <c r="X1136" s="131">
        <v>0</v>
      </c>
      <c r="AA1136" s="178"/>
      <c r="AB1136" s="178"/>
      <c r="AC1136" s="110"/>
      <c r="AD1136" s="373"/>
      <c r="AE1136" s="373"/>
      <c r="AF1136" s="180"/>
      <c r="AG1136" s="180"/>
      <c r="AH1136" s="180"/>
      <c r="AI1136" s="175"/>
      <c r="AJ1136" s="175"/>
      <c r="AK1136" s="178"/>
      <c r="AL1136" s="178"/>
      <c r="AM1136" s="182"/>
      <c r="AN1136" s="178"/>
      <c r="AO1136" s="53"/>
      <c r="AP1136" s="53"/>
      <c r="AQ1136" s="53"/>
      <c r="AR1136" s="53"/>
      <c r="AS1136" s="53"/>
    </row>
    <row r="1137" spans="1:47">
      <c r="A1137" s="111" t="s">
        <v>109</v>
      </c>
      <c r="C1137" s="129">
        <v>1956</v>
      </c>
      <c r="D1137" s="130"/>
      <c r="F1137" s="131"/>
      <c r="G1137" s="130"/>
      <c r="I1137" s="131"/>
      <c r="J1137" s="130"/>
      <c r="L1137" s="131"/>
      <c r="M1137" s="131"/>
      <c r="N1137" s="130"/>
      <c r="P1137" s="131"/>
      <c r="Q1137" s="131"/>
      <c r="R1137" s="130"/>
      <c r="T1137" s="131"/>
      <c r="U1137" s="131"/>
      <c r="V1137" s="130"/>
      <c r="X1137" s="131"/>
      <c r="AA1137" s="178"/>
      <c r="AB1137" s="178"/>
      <c r="AC1137" s="110"/>
      <c r="AD1137" s="373"/>
      <c r="AE1137" s="373"/>
      <c r="AF1137" s="180"/>
      <c r="AG1137" s="180"/>
      <c r="AH1137" s="180"/>
      <c r="AI1137" s="175"/>
      <c r="AJ1137" s="175"/>
      <c r="AK1137" s="178"/>
      <c r="AL1137" s="178"/>
      <c r="AM1137" s="178"/>
      <c r="AN1137" s="178"/>
      <c r="AO1137" s="53"/>
      <c r="AP1137" s="53"/>
      <c r="AQ1137" s="53"/>
      <c r="AR1137" s="53"/>
      <c r="AS1137" s="53"/>
    </row>
    <row r="1138" spans="1:47" s="141" customFormat="1" hidden="1">
      <c r="A1138" s="140" t="s">
        <v>276</v>
      </c>
      <c r="C1138" s="142">
        <f>C1139</f>
        <v>3532347.7960070018</v>
      </c>
      <c r="D1138" s="138"/>
      <c r="E1138" s="143"/>
      <c r="F1138" s="144"/>
      <c r="G1138" s="138"/>
      <c r="H1138" s="143"/>
      <c r="I1138" s="144"/>
      <c r="J1138" s="145">
        <v>0</v>
      </c>
      <c r="K1138" s="283" t="s">
        <v>107</v>
      </c>
      <c r="L1138" s="283">
        <f>ROUND(J1138*$C1138/100,0)</f>
        <v>0</v>
      </c>
      <c r="M1138" s="283"/>
      <c r="N1138" s="145" t="s">
        <v>0</v>
      </c>
      <c r="O1138" s="146" t="s">
        <v>0</v>
      </c>
      <c r="P1138" s="131">
        <v>0</v>
      </c>
      <c r="Q1138" s="144"/>
      <c r="R1138" s="145" t="s">
        <v>0</v>
      </c>
      <c r="S1138" s="146" t="s">
        <v>0</v>
      </c>
      <c r="T1138" s="131">
        <v>0</v>
      </c>
      <c r="U1138" s="144"/>
      <c r="V1138" s="145">
        <v>0</v>
      </c>
      <c r="W1138" s="146" t="s">
        <v>107</v>
      </c>
      <c r="X1138" s="131">
        <v>0</v>
      </c>
      <c r="Y1138" s="147">
        <v>81344.211632389153</v>
      </c>
      <c r="Z1138" s="132" t="s">
        <v>108</v>
      </c>
      <c r="AC1138" s="148"/>
      <c r="AD1138" s="148"/>
      <c r="AI1138" s="143"/>
      <c r="AJ1138" s="143"/>
      <c r="AK1138" s="143"/>
      <c r="AL1138" s="143"/>
      <c r="AM1138" s="143"/>
      <c r="AN1138" s="143"/>
      <c r="AO1138" s="143"/>
      <c r="AP1138" s="143"/>
      <c r="AQ1138" s="143"/>
      <c r="AR1138" s="143"/>
      <c r="AS1138" s="143"/>
      <c r="AU1138" s="147"/>
    </row>
    <row r="1139" spans="1:47">
      <c r="A1139" s="111" t="s">
        <v>133</v>
      </c>
      <c r="C1139" s="129">
        <v>3532347.7960070018</v>
      </c>
      <c r="D1139" s="138"/>
      <c r="E1139" s="53"/>
      <c r="F1139" s="151">
        <f>SUM(F1114:F1131)</f>
        <v>688804</v>
      </c>
      <c r="G1139" s="138"/>
      <c r="H1139" s="53"/>
      <c r="I1139" s="151">
        <f>SUM(I1114:I1136)</f>
        <v>688804</v>
      </c>
      <c r="J1139" s="138"/>
      <c r="K1139" s="53"/>
      <c r="L1139" s="151">
        <f>SUM(L1114:L1138)</f>
        <v>698082</v>
      </c>
      <c r="M1139" s="151"/>
      <c r="N1139" s="138"/>
      <c r="O1139" s="53"/>
      <c r="P1139" s="151">
        <f>SUM(P1114:P1138)</f>
        <v>408532.98795905628</v>
      </c>
      <c r="Q1139" s="151"/>
      <c r="R1139" s="138"/>
      <c r="S1139" s="53"/>
      <c r="T1139" s="151">
        <f>SUM(T1114:T1138)</f>
        <v>57225.219988615412</v>
      </c>
      <c r="U1139" s="151"/>
      <c r="V1139" s="138"/>
      <c r="W1139" s="53"/>
      <c r="X1139" s="151">
        <f>SUM(X1114:X1138)</f>
        <v>232323.79205232835</v>
      </c>
      <c r="AA1139" s="178"/>
      <c r="AB1139" s="178"/>
      <c r="AC1139" s="375"/>
      <c r="AD1139" s="53"/>
      <c r="AE1139" s="53"/>
      <c r="AF1139" s="183"/>
      <c r="AG1139" s="183"/>
      <c r="AH1139" s="183"/>
      <c r="AI1139" s="175"/>
      <c r="AJ1139" s="175"/>
      <c r="AK1139" s="184"/>
      <c r="AL1139" s="175"/>
      <c r="AM1139" s="175"/>
      <c r="AN1139" s="175"/>
      <c r="AO1139" s="53"/>
      <c r="AP1139" s="53"/>
      <c r="AQ1139" s="53"/>
      <c r="AR1139" s="53"/>
      <c r="AS1139" s="53"/>
    </row>
    <row r="1140" spans="1:47">
      <c r="A1140" s="111" t="s">
        <v>111</v>
      </c>
      <c r="C1140" s="129">
        <v>-345752.19227076345</v>
      </c>
      <c r="D1140" s="138"/>
      <c r="E1140" s="53"/>
      <c r="F1140" s="151">
        <f>I1140</f>
        <v>-67823.106174674016</v>
      </c>
      <c r="G1140" s="138"/>
      <c r="H1140" s="53"/>
      <c r="I1140" s="151">
        <v>-67823.106174674016</v>
      </c>
      <c r="J1140" s="138"/>
      <c r="K1140" s="53"/>
      <c r="L1140" s="151">
        <f>I1140</f>
        <v>-67823.106174674016</v>
      </c>
      <c r="M1140" s="151"/>
      <c r="N1140" s="138"/>
      <c r="O1140" s="53"/>
      <c r="P1140" s="151">
        <f>$L$1140*Y1145/($Y$1145+$Z$1145+$AA$1145)</f>
        <v>-39691.578092837073</v>
      </c>
      <c r="Q1140" s="153"/>
      <c r="R1140" s="154"/>
      <c r="S1140" s="154"/>
      <c r="T1140" s="151">
        <f>$L$1140*Z1145/($Y$1145+$Z$1145+$AA$1145)</f>
        <v>-5559.7940802899084</v>
      </c>
      <c r="U1140" s="153"/>
      <c r="V1140" s="154"/>
      <c r="W1140" s="154"/>
      <c r="X1140" s="151">
        <f>$L$1140*AA1145/($Y$1145+$Z$1145+$AA$1145)</f>
        <v>-22571.734001547025</v>
      </c>
      <c r="Y1140" s="306"/>
      <c r="AA1140" s="183"/>
      <c r="AB1140" s="183"/>
      <c r="AC1140" s="373"/>
      <c r="AD1140" s="53"/>
      <c r="AE1140" s="53"/>
      <c r="AF1140" s="53"/>
      <c r="AG1140" s="53"/>
      <c r="AH1140" s="53"/>
      <c r="AI1140" s="178"/>
      <c r="AJ1140" s="175"/>
      <c r="AK1140" s="53"/>
      <c r="AL1140" s="53"/>
      <c r="AM1140" s="53"/>
      <c r="AN1140" s="53"/>
      <c r="AO1140" s="53"/>
      <c r="AP1140" s="53"/>
      <c r="AQ1140" s="53"/>
      <c r="AR1140" s="53"/>
      <c r="AS1140" s="53"/>
    </row>
    <row r="1141" spans="1:47" ht="16.5" thickBot="1">
      <c r="A1141" s="111" t="s">
        <v>112</v>
      </c>
      <c r="C1141" s="156">
        <f>C1139+C1140</f>
        <v>3186595.6037362386</v>
      </c>
      <c r="D1141" s="157"/>
      <c r="E1141" s="157"/>
      <c r="F1141" s="157">
        <f>F1139+F1140</f>
        <v>620980.893825326</v>
      </c>
      <c r="G1141" s="158"/>
      <c r="H1141" s="158"/>
      <c r="I1141" s="157">
        <f>I1139+I1140</f>
        <v>620980.893825326</v>
      </c>
      <c r="J1141" s="158"/>
      <c r="K1141" s="158"/>
      <c r="L1141" s="157">
        <f>L1139+L1140</f>
        <v>630258.893825326</v>
      </c>
      <c r="M1141" s="158"/>
      <c r="N1141" s="158"/>
      <c r="O1141" s="157"/>
      <c r="P1141" s="157">
        <f>P1139+P1140</f>
        <v>368841.40986621921</v>
      </c>
      <c r="Q1141" s="158"/>
      <c r="R1141" s="158"/>
      <c r="S1141" s="157"/>
      <c r="T1141" s="157">
        <f>T1139+T1140</f>
        <v>51665.425908325502</v>
      </c>
      <c r="U1141" s="158"/>
      <c r="V1141" s="158"/>
      <c r="W1141" s="157"/>
      <c r="X1141" s="157">
        <f>X1139+X1140</f>
        <v>209752.05805078131</v>
      </c>
      <c r="Y1141" s="376" t="s">
        <v>165</v>
      </c>
      <c r="Z1141" s="377">
        <v>630232.31792986835</v>
      </c>
      <c r="AA1141" s="260">
        <f>(L1141-I1141)/I1141</f>
        <v>1.4940878362370007E-2</v>
      </c>
      <c r="AB1141" s="162"/>
      <c r="AI1141" s="175"/>
      <c r="AJ1141" s="175"/>
      <c r="AK1141" s="53"/>
      <c r="AL1141" s="53"/>
      <c r="AM1141" s="53"/>
      <c r="AN1141" s="53"/>
      <c r="AO1141" s="53"/>
      <c r="AP1141" s="53"/>
      <c r="AQ1141" s="53"/>
      <c r="AR1141" s="53"/>
      <c r="AS1141" s="53"/>
    </row>
    <row r="1142" spans="1:47" ht="16.5" thickTop="1">
      <c r="A1142" s="163" t="s">
        <v>114</v>
      </c>
      <c r="C1142" s="164"/>
      <c r="D1142" s="153"/>
      <c r="E1142" s="153"/>
      <c r="F1142" s="153"/>
      <c r="G1142" s="153"/>
      <c r="H1142" s="153"/>
      <c r="I1142" s="153"/>
      <c r="J1142" s="153"/>
      <c r="K1142" s="153"/>
      <c r="L1142" s="153"/>
      <c r="M1142" s="153"/>
      <c r="N1142" s="153"/>
      <c r="O1142" s="153"/>
      <c r="P1142" s="153"/>
      <c r="Q1142" s="153"/>
      <c r="R1142" s="153"/>
      <c r="S1142" s="153"/>
      <c r="T1142" s="153"/>
      <c r="U1142" s="153"/>
      <c r="V1142" s="153"/>
      <c r="W1142" s="153"/>
      <c r="X1142" s="153"/>
      <c r="Y1142" s="378"/>
      <c r="Z1142" s="379"/>
      <c r="AA1142" s="380"/>
      <c r="AB1142" s="162"/>
      <c r="AI1142" s="175"/>
      <c r="AJ1142" s="175"/>
      <c r="AK1142" s="53"/>
      <c r="AL1142" s="53"/>
      <c r="AM1142" s="53"/>
      <c r="AN1142" s="53"/>
      <c r="AO1142" s="53"/>
      <c r="AP1142" s="53"/>
      <c r="AQ1142" s="53"/>
      <c r="AR1142" s="53"/>
      <c r="AS1142" s="53"/>
    </row>
    <row r="1143" spans="1:47">
      <c r="C1143" s="164"/>
      <c r="D1143" s="153"/>
      <c r="E1143" s="153"/>
      <c r="F1143" s="153"/>
      <c r="G1143" s="153"/>
      <c r="H1143" s="153"/>
      <c r="I1143" s="153"/>
      <c r="J1143" s="153"/>
      <c r="K1143" s="153"/>
      <c r="L1143" s="153"/>
      <c r="M1143" s="153"/>
      <c r="N1143" s="153"/>
      <c r="O1143" s="153"/>
      <c r="P1143" s="153"/>
      <c r="Q1143" s="153"/>
      <c r="R1143" s="153"/>
      <c r="S1143" s="153"/>
      <c r="T1143" s="153"/>
      <c r="U1143" s="153"/>
      <c r="V1143" s="153"/>
      <c r="W1143" s="153"/>
      <c r="X1143" s="153" t="s">
        <v>0</v>
      </c>
      <c r="Y1143" s="381" t="s">
        <v>115</v>
      </c>
      <c r="Z1143" s="355">
        <f>Z1141-L1141</f>
        <v>-26.575895457644947</v>
      </c>
      <c r="AA1143" s="382">
        <v>-0.13519999999999999</v>
      </c>
      <c r="AB1143" s="162"/>
      <c r="AI1143" s="175"/>
      <c r="AJ1143" s="175"/>
      <c r="AK1143" s="53"/>
      <c r="AL1143" s="53"/>
      <c r="AM1143" s="53"/>
      <c r="AN1143" s="53"/>
      <c r="AO1143" s="53"/>
      <c r="AP1143" s="53"/>
      <c r="AQ1143" s="53"/>
      <c r="AR1143" s="53"/>
      <c r="AS1143" s="53"/>
    </row>
    <row r="1144" spans="1:47" hidden="1">
      <c r="C1144" s="164"/>
      <c r="D1144" s="153"/>
      <c r="E1144" s="153"/>
      <c r="F1144" s="153"/>
      <c r="G1144" s="153"/>
      <c r="H1144" s="153"/>
      <c r="I1144" s="153"/>
      <c r="J1144" s="153"/>
      <c r="K1144" s="153"/>
      <c r="L1144" s="153"/>
      <c r="M1144" s="153"/>
      <c r="N1144" s="153"/>
      <c r="O1144" s="153"/>
      <c r="P1144" s="153"/>
      <c r="Q1144" s="153"/>
      <c r="R1144" s="153"/>
      <c r="S1144" s="153"/>
      <c r="T1144" s="153"/>
      <c r="U1144" s="153"/>
      <c r="V1144" s="153"/>
      <c r="W1144" s="153"/>
      <c r="X1144" s="153" t="s">
        <v>0</v>
      </c>
      <c r="Y1144" s="173">
        <f>Y30</f>
        <v>0.58522206267896359</v>
      </c>
      <c r="Z1144" s="173">
        <f>Z30</f>
        <v>8.1974925565500054E-2</v>
      </c>
      <c r="AA1144" s="173">
        <f>AA30</f>
        <v>0.33280301175553639</v>
      </c>
      <c r="AB1144" s="162"/>
      <c r="AI1144" s="175"/>
      <c r="AJ1144" s="175"/>
      <c r="AK1144" s="53"/>
      <c r="AL1144" s="53"/>
      <c r="AM1144" s="53"/>
      <c r="AN1144" s="53"/>
      <c r="AO1144" s="53"/>
      <c r="AP1144" s="53"/>
      <c r="AQ1144" s="53"/>
      <c r="AR1144" s="53"/>
      <c r="AS1144" s="53"/>
    </row>
    <row r="1145" spans="1:47" hidden="1">
      <c r="C1145" s="164"/>
      <c r="D1145" s="153"/>
      <c r="E1145" s="153"/>
      <c r="F1145" s="153"/>
      <c r="G1145" s="153"/>
      <c r="H1145" s="153"/>
      <c r="I1145" s="153"/>
      <c r="J1145" s="153"/>
      <c r="K1145" s="153"/>
      <c r="L1145" s="153"/>
      <c r="M1145" s="153"/>
      <c r="N1145" s="153"/>
      <c r="O1145" s="153"/>
      <c r="P1145" s="153"/>
      <c r="Q1145" s="153"/>
      <c r="R1145" s="153"/>
      <c r="S1145" s="153"/>
      <c r="T1145" s="153"/>
      <c r="U1145" s="153"/>
      <c r="V1145" s="153"/>
      <c r="W1145" s="153"/>
      <c r="X1145" s="153"/>
      <c r="Y1145" s="166">
        <f>L1141*Y1144</f>
        <v>368841.40986621921</v>
      </c>
      <c r="Z1145" s="166">
        <f>L1141*Z1144</f>
        <v>51665.425908325502</v>
      </c>
      <c r="AA1145" s="166">
        <f>L1141*AA1144</f>
        <v>209752.05805078134</v>
      </c>
      <c r="AB1145" s="162"/>
      <c r="AI1145" s="175"/>
      <c r="AJ1145" s="175"/>
      <c r="AK1145" s="53"/>
      <c r="AL1145" s="53"/>
      <c r="AM1145" s="53"/>
      <c r="AN1145" s="53"/>
      <c r="AO1145" s="53"/>
      <c r="AP1145" s="53"/>
      <c r="AQ1145" s="53"/>
      <c r="AR1145" s="53"/>
      <c r="AS1145" s="53"/>
    </row>
    <row r="1146" spans="1:47" hidden="1">
      <c r="A1146" s="169"/>
      <c r="B1146" s="169"/>
      <c r="C1146" s="189"/>
      <c r="D1146" s="189" t="s">
        <v>0</v>
      </c>
      <c r="E1146" s="189"/>
      <c r="F1146" s="131"/>
      <c r="G1146" s="189" t="s">
        <v>0</v>
      </c>
      <c r="H1146" s="189"/>
      <c r="I1146" s="131"/>
      <c r="J1146" s="189" t="s">
        <v>0</v>
      </c>
      <c r="K1146" s="189"/>
      <c r="L1146" s="131" t="s">
        <v>0</v>
      </c>
      <c r="M1146" s="131"/>
      <c r="N1146" s="189" t="s">
        <v>0</v>
      </c>
      <c r="O1146" s="189"/>
      <c r="P1146" s="131" t="s">
        <v>0</v>
      </c>
      <c r="Q1146" s="131"/>
      <c r="R1146" s="189" t="s">
        <v>0</v>
      </c>
      <c r="S1146" s="189"/>
      <c r="T1146" s="131" t="s">
        <v>0</v>
      </c>
      <c r="U1146" s="131"/>
      <c r="V1146" s="189" t="s">
        <v>0</v>
      </c>
      <c r="W1146" s="189"/>
      <c r="X1146" s="131" t="s">
        <v>0</v>
      </c>
      <c r="Z1146" s="111"/>
      <c r="AA1146" s="111"/>
      <c r="AB1146" s="97"/>
      <c r="AD1146" s="383"/>
      <c r="AE1146" s="383"/>
      <c r="AF1146" s="383"/>
      <c r="AG1146" s="383"/>
      <c r="AH1146" s="383"/>
      <c r="AI1146" s="175"/>
      <c r="AJ1146" s="175"/>
      <c r="AK1146" s="53"/>
      <c r="AL1146" s="53"/>
      <c r="AM1146" s="53"/>
      <c r="AN1146" s="53"/>
      <c r="AO1146" s="53"/>
      <c r="AP1146" s="53"/>
      <c r="AQ1146" s="53"/>
      <c r="AR1146" s="53"/>
      <c r="AS1146" s="53"/>
    </row>
    <row r="1147" spans="1:47">
      <c r="A1147" s="188" t="s">
        <v>277</v>
      </c>
      <c r="B1147" s="169"/>
      <c r="C1147" s="169"/>
      <c r="D1147" s="169"/>
      <c r="E1147" s="169"/>
      <c r="F1147" s="169"/>
      <c r="G1147" s="169"/>
      <c r="H1147" s="169"/>
      <c r="I1147" s="169"/>
      <c r="J1147" s="169"/>
      <c r="K1147" s="169"/>
      <c r="L1147" s="169"/>
      <c r="M1147" s="169"/>
      <c r="N1147" s="169"/>
      <c r="O1147" s="169"/>
      <c r="P1147" s="169"/>
      <c r="Q1147" s="169"/>
      <c r="R1147" s="169"/>
      <c r="S1147" s="169"/>
      <c r="T1147" s="169"/>
      <c r="U1147" s="169"/>
      <c r="V1147" s="169"/>
      <c r="W1147" s="169"/>
      <c r="X1147" s="169"/>
      <c r="Y1147" s="175"/>
      <c r="Z1147" s="183"/>
      <c r="AA1147" s="175"/>
      <c r="AB1147" s="175"/>
      <c r="AC1147" s="53"/>
      <c r="AD1147" s="53"/>
      <c r="AE1147" s="53"/>
      <c r="AF1147" s="53"/>
      <c r="AG1147" s="53"/>
      <c r="AH1147" s="53"/>
      <c r="AI1147" s="53"/>
      <c r="AJ1147" s="175"/>
      <c r="AK1147" s="175"/>
      <c r="AL1147" s="175"/>
      <c r="AM1147" s="175"/>
      <c r="AN1147" s="175"/>
      <c r="AO1147" s="53"/>
      <c r="AP1147" s="53"/>
      <c r="AQ1147" s="53"/>
      <c r="AR1147" s="53"/>
      <c r="AS1147" s="53"/>
    </row>
    <row r="1148" spans="1:47">
      <c r="A1148" s="169" t="s">
        <v>278</v>
      </c>
      <c r="B1148" s="169"/>
      <c r="C1148" s="169"/>
      <c r="D1148" s="169"/>
      <c r="E1148" s="169"/>
      <c r="F1148" s="169"/>
      <c r="G1148" s="169"/>
      <c r="H1148" s="169"/>
      <c r="I1148" s="169"/>
      <c r="J1148" s="169"/>
      <c r="K1148" s="169"/>
      <c r="L1148" s="169"/>
      <c r="M1148" s="169"/>
      <c r="N1148" s="169"/>
      <c r="O1148" s="169"/>
      <c r="P1148" s="169"/>
      <c r="Q1148" s="169"/>
      <c r="R1148" s="169"/>
      <c r="S1148" s="169"/>
      <c r="T1148" s="169"/>
      <c r="U1148" s="169"/>
      <c r="V1148" s="169"/>
      <c r="W1148" s="169"/>
      <c r="X1148" s="169"/>
      <c r="Y1148" s="53"/>
      <c r="Z1148" s="110"/>
      <c r="AA1148" s="110"/>
      <c r="AB1148" s="110"/>
      <c r="AC1148" s="53"/>
      <c r="AD1148" s="53"/>
      <c r="AE1148" s="53"/>
      <c r="AF1148" s="53"/>
      <c r="AG1148" s="53"/>
      <c r="AH1148" s="53"/>
      <c r="AI1148" s="53"/>
      <c r="AJ1148" s="175"/>
      <c r="AK1148" s="175"/>
      <c r="AL1148" s="175"/>
      <c r="AM1148" s="175"/>
      <c r="AN1148" s="175"/>
      <c r="AO1148" s="53"/>
      <c r="AP1148" s="53"/>
      <c r="AQ1148" s="53"/>
      <c r="AR1148" s="53"/>
      <c r="AS1148" s="53"/>
    </row>
    <row r="1149" spans="1:47">
      <c r="A1149" s="169"/>
      <c r="B1149" s="169"/>
      <c r="C1149" s="169"/>
      <c r="D1149" s="169"/>
      <c r="E1149" s="169"/>
      <c r="F1149" s="169"/>
      <c r="G1149" s="169"/>
      <c r="H1149" s="169"/>
      <c r="I1149" s="169"/>
      <c r="J1149" s="169"/>
      <c r="K1149" s="169"/>
      <c r="L1149" s="169"/>
      <c r="M1149" s="169"/>
      <c r="N1149" s="169"/>
      <c r="O1149" s="169"/>
      <c r="P1149" s="169"/>
      <c r="Q1149" s="169"/>
      <c r="R1149" s="169"/>
      <c r="S1149" s="169"/>
      <c r="T1149" s="169"/>
      <c r="U1149" s="169"/>
      <c r="V1149" s="169"/>
      <c r="W1149" s="169"/>
      <c r="X1149" s="169"/>
      <c r="Y1149" s="53"/>
      <c r="Z1149" s="110"/>
      <c r="AA1149" s="110" t="s">
        <v>0</v>
      </c>
      <c r="AB1149" s="110"/>
      <c r="AC1149" s="53"/>
      <c r="AD1149" s="53"/>
      <c r="AE1149" s="53"/>
      <c r="AF1149" s="53"/>
      <c r="AG1149" s="53"/>
      <c r="AH1149" s="53"/>
      <c r="AI1149" s="53"/>
      <c r="AJ1149" s="175"/>
      <c r="AK1149" s="175"/>
      <c r="AL1149" s="175"/>
      <c r="AM1149" s="175"/>
      <c r="AN1149" s="175"/>
      <c r="AO1149" s="53"/>
      <c r="AP1149" s="53"/>
      <c r="AQ1149" s="53"/>
      <c r="AR1149" s="53"/>
      <c r="AS1149" s="53"/>
    </row>
    <row r="1150" spans="1:47">
      <c r="A1150" s="169" t="s">
        <v>279</v>
      </c>
      <c r="B1150" s="169"/>
      <c r="C1150" s="189"/>
      <c r="D1150" s="193"/>
      <c r="E1150" s="169"/>
      <c r="F1150" s="131">
        <f>I1150</f>
        <v>19991.993064481801</v>
      </c>
      <c r="G1150" s="193"/>
      <c r="H1150" s="169"/>
      <c r="I1150" s="131">
        <v>19991.993064481801</v>
      </c>
      <c r="J1150" s="193"/>
      <c r="K1150" s="169"/>
      <c r="L1150" s="131">
        <v>19991.993064481801</v>
      </c>
      <c r="M1150" s="131"/>
      <c r="N1150" s="193"/>
      <c r="O1150" s="169"/>
      <c r="P1150" s="131">
        <f>L1150</f>
        <v>19991.993064481801</v>
      </c>
      <c r="Q1150" s="131"/>
      <c r="R1150" s="193"/>
      <c r="S1150" s="169"/>
      <c r="T1150" s="131" t="s">
        <v>0</v>
      </c>
      <c r="U1150" s="131"/>
      <c r="V1150" s="193"/>
      <c r="W1150" s="169"/>
      <c r="X1150" s="131" t="str">
        <f>T1150</f>
        <v xml:space="preserve"> </v>
      </c>
      <c r="Y1150" s="53"/>
      <c r="Z1150" s="110"/>
      <c r="AA1150" s="110" t="s">
        <v>0</v>
      </c>
      <c r="AB1150" s="110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</row>
    <row r="1151" spans="1:47">
      <c r="A1151" s="169" t="s">
        <v>280</v>
      </c>
      <c r="B1151" s="169"/>
      <c r="C1151" s="129">
        <v>219861.25205811099</v>
      </c>
      <c r="D1151" s="349">
        <v>7.8140000000000001</v>
      </c>
      <c r="E1151" s="169" t="s">
        <v>107</v>
      </c>
      <c r="F1151" s="384">
        <f>ROUND(C1151*D1151/100,0)</f>
        <v>17180</v>
      </c>
      <c r="G1151" s="335">
        <v>7.8140000000000001</v>
      </c>
      <c r="H1151" s="169" t="s">
        <v>107</v>
      </c>
      <c r="I1151" s="384">
        <f>ROUND(G1151*C1151/100,0)</f>
        <v>17180</v>
      </c>
      <c r="J1151" s="335">
        <v>8.0410000000000004</v>
      </c>
      <c r="K1151" s="169" t="s">
        <v>107</v>
      </c>
      <c r="L1151" s="131">
        <f>ROUND(J1151*$C1151/100,0)</f>
        <v>17679</v>
      </c>
      <c r="M1151" s="131"/>
      <c r="N1151" s="335">
        <v>0.93418152614554772</v>
      </c>
      <c r="O1151" s="169" t="s">
        <v>107</v>
      </c>
      <c r="P1151" s="131">
        <v>2053.9031998791706</v>
      </c>
      <c r="Q1151" s="131"/>
      <c r="R1151" s="335">
        <v>1.4045571120568179</v>
      </c>
      <c r="S1151" s="169" t="s">
        <v>107</v>
      </c>
      <c r="T1151" s="131">
        <v>3088.0768524393648</v>
      </c>
      <c r="U1151" s="131"/>
      <c r="V1151" s="335">
        <v>5.70324167756847</v>
      </c>
      <c r="W1151" s="169" t="s">
        <v>107</v>
      </c>
      <c r="X1151" s="131">
        <v>12537.019947681469</v>
      </c>
      <c r="Y1151" s="53"/>
      <c r="Z1151" s="110"/>
      <c r="AA1151" s="110"/>
      <c r="AB1151" s="110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</row>
    <row r="1152" spans="1:47">
      <c r="A1152" s="169" t="s">
        <v>281</v>
      </c>
      <c r="B1152" s="169"/>
      <c r="C1152" s="129">
        <v>0</v>
      </c>
      <c r="D1152" s="335">
        <v>8.7439999999999998</v>
      </c>
      <c r="E1152" s="169" t="s">
        <v>107</v>
      </c>
      <c r="F1152" s="384">
        <f>ROUND(C1152*D1152/100,0)</f>
        <v>0</v>
      </c>
      <c r="G1152" s="335">
        <v>8.7439999999999998</v>
      </c>
      <c r="H1152" s="169" t="s">
        <v>107</v>
      </c>
      <c r="I1152" s="384">
        <f>ROUND(G1152*C1152/100,0)</f>
        <v>0</v>
      </c>
      <c r="J1152" s="335">
        <v>8.9979999999999993</v>
      </c>
      <c r="K1152" s="169" t="s">
        <v>107</v>
      </c>
      <c r="L1152" s="131">
        <f>ROUND(J1152*$C1152/100,0)</f>
        <v>0</v>
      </c>
      <c r="M1152" s="131"/>
      <c r="N1152" s="335">
        <v>1.0453631852080136</v>
      </c>
      <c r="O1152" s="169" t="s">
        <v>107</v>
      </c>
      <c r="P1152" s="131">
        <v>0</v>
      </c>
      <c r="Q1152" s="131"/>
      <c r="R1152" s="335">
        <v>1.5717205439979163</v>
      </c>
      <c r="S1152" s="169" t="s">
        <v>107</v>
      </c>
      <c r="T1152" s="131">
        <v>0</v>
      </c>
      <c r="U1152" s="131"/>
      <c r="V1152" s="335">
        <v>6.3810132588933071</v>
      </c>
      <c r="W1152" s="169" t="s">
        <v>107</v>
      </c>
      <c r="X1152" s="131">
        <v>0</v>
      </c>
      <c r="Y1152" s="53"/>
      <c r="Z1152" s="110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</row>
    <row r="1153" spans="1:47">
      <c r="A1153" s="169" t="s">
        <v>109</v>
      </c>
      <c r="B1153" s="169"/>
      <c r="C1153" s="129">
        <v>180</v>
      </c>
      <c r="D1153" s="385"/>
      <c r="E1153" s="169"/>
      <c r="F1153" s="131"/>
      <c r="G1153" s="385"/>
      <c r="H1153" s="169"/>
      <c r="I1153" s="131"/>
      <c r="J1153" s="385"/>
      <c r="K1153" s="169"/>
      <c r="L1153" s="131"/>
      <c r="M1153" s="131"/>
      <c r="N1153" s="385"/>
      <c r="O1153" s="169"/>
      <c r="P1153" s="131"/>
      <c r="Q1153" s="131"/>
      <c r="R1153" s="385"/>
      <c r="S1153" s="169"/>
      <c r="T1153" s="131"/>
      <c r="U1153" s="131"/>
      <c r="V1153" s="385"/>
      <c r="W1153" s="169"/>
      <c r="X1153" s="131"/>
      <c r="Y1153" s="53"/>
      <c r="Z1153" s="110"/>
      <c r="AA1153" s="110"/>
      <c r="AB1153" s="110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</row>
    <row r="1154" spans="1:47" s="141" customFormat="1" hidden="1">
      <c r="A1154" s="140" t="s">
        <v>223</v>
      </c>
      <c r="C1154" s="142">
        <f>C1156</f>
        <v>219861.25205811099</v>
      </c>
      <c r="D1154" s="138"/>
      <c r="E1154" s="143"/>
      <c r="F1154" s="144"/>
      <c r="G1154" s="138"/>
      <c r="H1154" s="143"/>
      <c r="I1154" s="144"/>
      <c r="J1154" s="145">
        <v>0</v>
      </c>
      <c r="K1154" s="283" t="s">
        <v>107</v>
      </c>
      <c r="L1154" s="283">
        <f>ROUND(J1154*$C1154/100,0)</f>
        <v>0</v>
      </c>
      <c r="M1154" s="283"/>
      <c r="N1154" s="145" t="s">
        <v>0</v>
      </c>
      <c r="O1154" s="146" t="s">
        <v>0</v>
      </c>
      <c r="P1154" s="131">
        <v>0</v>
      </c>
      <c r="Q1154" s="144"/>
      <c r="R1154" s="145" t="s">
        <v>0</v>
      </c>
      <c r="S1154" s="146" t="s">
        <v>0</v>
      </c>
      <c r="T1154" s="131">
        <v>0</v>
      </c>
      <c r="U1154" s="144"/>
      <c r="V1154" s="145">
        <v>0</v>
      </c>
      <c r="W1154" s="146" t="s">
        <v>107</v>
      </c>
      <c r="X1154" s="131">
        <v>0</v>
      </c>
      <c r="Y1154" s="147">
        <v>5063.0462372345582</v>
      </c>
      <c r="Z1154" s="132" t="s">
        <v>108</v>
      </c>
      <c r="AC1154" s="148"/>
      <c r="AD1154" s="148"/>
      <c r="AI1154" s="143"/>
      <c r="AJ1154" s="143"/>
      <c r="AK1154" s="143"/>
      <c r="AL1154" s="143"/>
      <c r="AM1154" s="143"/>
      <c r="AN1154" s="143"/>
      <c r="AO1154" s="143"/>
      <c r="AP1154" s="143"/>
      <c r="AQ1154" s="143"/>
      <c r="AR1154" s="143"/>
      <c r="AS1154" s="143"/>
      <c r="AU1154" s="147"/>
    </row>
    <row r="1155" spans="1:47" s="141" customFormat="1" hidden="1">
      <c r="A1155" s="202" t="s">
        <v>282</v>
      </c>
      <c r="B1155" s="203"/>
      <c r="C1155" s="368"/>
      <c r="D1155" s="205"/>
      <c r="E1155" s="206"/>
      <c r="F1155" s="207"/>
      <c r="G1155" s="361">
        <f>G1151</f>
        <v>7.8140000000000001</v>
      </c>
      <c r="H1155" s="209" t="s">
        <v>107</v>
      </c>
      <c r="I1155" s="207"/>
      <c r="J1155" s="361">
        <f>J1151+J1154</f>
        <v>8.0410000000000004</v>
      </c>
      <c r="K1155" s="209" t="s">
        <v>107</v>
      </c>
      <c r="L1155" s="299"/>
      <c r="M1155" s="299"/>
      <c r="N1155" s="361">
        <f>N1151+N1154</f>
        <v>0.93418152614554772</v>
      </c>
      <c r="O1155" s="209" t="s">
        <v>107</v>
      </c>
      <c r="P1155" s="299"/>
      <c r="Q1155" s="299"/>
      <c r="R1155" s="361">
        <f>R1151+R1154</f>
        <v>1.4045571120568179</v>
      </c>
      <c r="S1155" s="209" t="s">
        <v>107</v>
      </c>
      <c r="T1155" s="299"/>
      <c r="U1155" s="299"/>
      <c r="V1155" s="361">
        <f>V1151+V1154</f>
        <v>5.70324167756847</v>
      </c>
      <c r="W1155" s="209" t="s">
        <v>107</v>
      </c>
      <c r="X1155" s="299"/>
      <c r="Y1155" s="147"/>
      <c r="Z1155" s="132"/>
      <c r="AA1155" s="97" t="s">
        <v>0</v>
      </c>
      <c r="AC1155" s="148"/>
      <c r="AD1155" s="148"/>
      <c r="AI1155" s="143"/>
      <c r="AJ1155" s="143"/>
      <c r="AK1155" s="143"/>
      <c r="AL1155" s="143"/>
      <c r="AM1155" s="143"/>
      <c r="AN1155" s="143"/>
      <c r="AO1155" s="143"/>
      <c r="AP1155" s="143"/>
      <c r="AQ1155" s="143"/>
      <c r="AR1155" s="143"/>
      <c r="AS1155" s="143"/>
      <c r="AU1155" s="147"/>
    </row>
    <row r="1156" spans="1:47">
      <c r="A1156" s="111" t="s">
        <v>283</v>
      </c>
      <c r="C1156" s="129">
        <f>SUM(C1151:C1152)</f>
        <v>219861.25205811099</v>
      </c>
      <c r="D1156" s="138"/>
      <c r="E1156" s="53"/>
      <c r="F1156" s="151">
        <f>SUM(F1150:F1152)</f>
        <v>37171.993064481801</v>
      </c>
      <c r="G1156" s="138"/>
      <c r="H1156" s="53"/>
      <c r="I1156" s="151">
        <f>SUM(I1150:I1152)</f>
        <v>37171.993064481801</v>
      </c>
      <c r="J1156" s="138"/>
      <c r="K1156" s="53"/>
      <c r="L1156" s="151">
        <f>SUM(L1150:L1155)</f>
        <v>37670.993064481801</v>
      </c>
      <c r="M1156" s="151"/>
      <c r="N1156" s="138"/>
      <c r="O1156" s="53"/>
      <c r="P1156" s="151">
        <f>SUM(P1150:P1155)</f>
        <v>22045.89626436097</v>
      </c>
      <c r="Q1156" s="151"/>
      <c r="R1156" s="138"/>
      <c r="S1156" s="53"/>
      <c r="T1156" s="151">
        <f>SUM(T1150:T1155)</f>
        <v>3088.0768524393648</v>
      </c>
      <c r="U1156" s="151"/>
      <c r="V1156" s="138"/>
      <c r="W1156" s="53"/>
      <c r="X1156" s="151">
        <f>SUM(X1150:X1155)</f>
        <v>12537.019947681469</v>
      </c>
      <c r="Y1156" s="53"/>
      <c r="Z1156" s="110"/>
      <c r="AA1156" s="110"/>
      <c r="AB1156" s="110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</row>
    <row r="1157" spans="1:47">
      <c r="A1157" s="111" t="s">
        <v>284</v>
      </c>
      <c r="C1157" s="129">
        <v>-21520.392182337586</v>
      </c>
      <c r="D1157" s="138"/>
      <c r="E1157" s="53"/>
      <c r="F1157" s="151">
        <f>I1157</f>
        <v>-3660.1423456783405</v>
      </c>
      <c r="G1157" s="138"/>
      <c r="H1157" s="53"/>
      <c r="I1157" s="151">
        <v>-3660.1423456783405</v>
      </c>
      <c r="J1157" s="138"/>
      <c r="K1157" s="53"/>
      <c r="L1157" s="151">
        <f>I1157</f>
        <v>-3660.1423456783405</v>
      </c>
      <c r="M1157" s="151"/>
      <c r="N1157" s="138"/>
      <c r="O1157" s="53"/>
      <c r="P1157" s="151">
        <f>$L$1157*Y1161/($Y$1161+$Z$1161+$AA$1161)</f>
        <v>-2141.9960532364985</v>
      </c>
      <c r="Q1157" s="153"/>
      <c r="R1157" s="154"/>
      <c r="S1157" s="154"/>
      <c r="T1157" s="151">
        <f>$L$1157*Z1161/($Y$1161+$Z$1161+$AA$1161)</f>
        <v>-300.03989634611673</v>
      </c>
      <c r="U1157" s="153"/>
      <c r="V1157" s="154"/>
      <c r="W1157" s="154"/>
      <c r="X1157" s="151">
        <f>$L$1157*AA1161/($Y$1161+$Z$1161+$AA$1161)</f>
        <v>-1218.1063960957254</v>
      </c>
      <c r="Y1157" s="306"/>
      <c r="Z1157" s="307"/>
      <c r="AA1157" s="110"/>
      <c r="AB1157" s="110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</row>
    <row r="1158" spans="1:47" ht="16.5" thickBot="1">
      <c r="A1158" s="169" t="s">
        <v>112</v>
      </c>
      <c r="B1158" s="169"/>
      <c r="C1158" s="343">
        <f>C1156+C1157</f>
        <v>198340.8598757734</v>
      </c>
      <c r="D1158" s="386"/>
      <c r="E1158" s="387"/>
      <c r="F1158" s="157">
        <f>F1156+F1157</f>
        <v>33511.850718803464</v>
      </c>
      <c r="G1158" s="388"/>
      <c r="H1158" s="258"/>
      <c r="I1158" s="157">
        <f>I1156+I1157</f>
        <v>33511.850718803464</v>
      </c>
      <c r="J1158" s="388"/>
      <c r="K1158" s="258"/>
      <c r="L1158" s="157">
        <f>L1156+L1157</f>
        <v>34010.850718803464</v>
      </c>
      <c r="M1158" s="158"/>
      <c r="N1158" s="388"/>
      <c r="O1158" s="258"/>
      <c r="P1158" s="157">
        <f>P1156+P1157</f>
        <v>19903.90021112447</v>
      </c>
      <c r="Q1158" s="158"/>
      <c r="R1158" s="388"/>
      <c r="S1158" s="258"/>
      <c r="T1158" s="157">
        <f>T1156+T1157</f>
        <v>2788.0369560932481</v>
      </c>
      <c r="U1158" s="158"/>
      <c r="V1158" s="388"/>
      <c r="W1158" s="258"/>
      <c r="X1158" s="157">
        <f>X1156+X1157</f>
        <v>11318.913551585743</v>
      </c>
      <c r="Y1158" s="376" t="s">
        <v>165</v>
      </c>
      <c r="Z1158" s="160">
        <v>34011.113009496374</v>
      </c>
      <c r="AA1158" s="260">
        <f>(L1158-I1158)/I1158</f>
        <v>1.4890254918687963E-2</v>
      </c>
      <c r="AB1158" s="357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</row>
    <row r="1159" spans="1:47" ht="16.5" thickTop="1">
      <c r="A1159" s="169"/>
      <c r="B1159" s="169"/>
      <c r="C1159" s="169"/>
      <c r="D1159" s="338" t="s">
        <v>0</v>
      </c>
      <c r="E1159" s="169"/>
      <c r="F1159" s="169"/>
      <c r="G1159" s="338" t="s">
        <v>0</v>
      </c>
      <c r="H1159" s="169"/>
      <c r="I1159" s="169"/>
      <c r="J1159" s="338" t="s">
        <v>0</v>
      </c>
      <c r="K1159" s="169"/>
      <c r="L1159" s="131" t="s">
        <v>0</v>
      </c>
      <c r="M1159" s="131"/>
      <c r="N1159" s="338" t="s">
        <v>0</v>
      </c>
      <c r="O1159" s="169"/>
      <c r="P1159" s="131" t="s">
        <v>0</v>
      </c>
      <c r="Q1159" s="131"/>
      <c r="R1159" s="338" t="s">
        <v>0</v>
      </c>
      <c r="S1159" s="169"/>
      <c r="T1159" s="131" t="s">
        <v>0</v>
      </c>
      <c r="U1159" s="131"/>
      <c r="V1159" s="338" t="s">
        <v>0</v>
      </c>
      <c r="W1159" s="169"/>
      <c r="X1159" s="131" t="s">
        <v>0</v>
      </c>
      <c r="Y1159" s="381" t="s">
        <v>115</v>
      </c>
      <c r="Z1159" s="171">
        <f>Z1158-L1158</f>
        <v>0.26229069291002816</v>
      </c>
      <c r="AA1159" s="266" t="s">
        <v>0</v>
      </c>
      <c r="AB1159" s="97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</row>
    <row r="1160" spans="1:47" hidden="1">
      <c r="A1160" s="169"/>
      <c r="B1160" s="169"/>
      <c r="C1160" s="169"/>
      <c r="D1160" s="338"/>
      <c r="E1160" s="169"/>
      <c r="F1160" s="169"/>
      <c r="G1160" s="338"/>
      <c r="H1160" s="169"/>
      <c r="I1160" s="169"/>
      <c r="J1160" s="338"/>
      <c r="K1160" s="169"/>
      <c r="L1160" s="131"/>
      <c r="M1160" s="131"/>
      <c r="N1160" s="338"/>
      <c r="O1160" s="169"/>
      <c r="P1160" s="131"/>
      <c r="Q1160" s="131"/>
      <c r="R1160" s="338"/>
      <c r="S1160" s="169"/>
      <c r="T1160" s="131"/>
      <c r="U1160" s="131"/>
      <c r="V1160" s="338"/>
      <c r="W1160" s="169"/>
      <c r="X1160" s="131"/>
      <c r="Y1160" s="173">
        <f>Y1144</f>
        <v>0.58522206267896359</v>
      </c>
      <c r="Z1160" s="173">
        <f>Z1144</f>
        <v>8.1974925565500054E-2</v>
      </c>
      <c r="AA1160" s="173">
        <f>AA1144</f>
        <v>0.33280301175553639</v>
      </c>
      <c r="AB1160" s="97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</row>
    <row r="1161" spans="1:47" hidden="1">
      <c r="A1161" s="169"/>
      <c r="B1161" s="169"/>
      <c r="C1161" s="169"/>
      <c r="D1161" s="338"/>
      <c r="E1161" s="169"/>
      <c r="F1161" s="169"/>
      <c r="G1161" s="338"/>
      <c r="H1161" s="169"/>
      <c r="I1161" s="169"/>
      <c r="J1161" s="338"/>
      <c r="K1161" s="169"/>
      <c r="L1161" s="131"/>
      <c r="M1161" s="131"/>
      <c r="N1161" s="338"/>
      <c r="O1161" s="169"/>
      <c r="P1161" s="131"/>
      <c r="Q1161" s="131"/>
      <c r="R1161" s="338"/>
      <c r="S1161" s="169"/>
      <c r="T1161" s="131"/>
      <c r="U1161" s="131"/>
      <c r="V1161" s="338"/>
      <c r="W1161" s="169"/>
      <c r="X1161" s="131"/>
      <c r="Y1161" s="166">
        <f>L1158*Y1160</f>
        <v>19903.900211124474</v>
      </c>
      <c r="Z1161" s="166">
        <f>L1158*Z1160</f>
        <v>2788.0369560932481</v>
      </c>
      <c r="AA1161" s="166">
        <f>L1158*AA1160</f>
        <v>11318.913551585743</v>
      </c>
      <c r="AB1161" s="97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</row>
    <row r="1162" spans="1:47">
      <c r="A1162" s="188" t="s">
        <v>285</v>
      </c>
      <c r="B1162" s="169"/>
      <c r="C1162" s="169"/>
      <c r="D1162" s="169"/>
      <c r="E1162" s="169"/>
      <c r="F1162" s="169"/>
      <c r="G1162" s="169"/>
      <c r="H1162" s="169"/>
      <c r="I1162" s="169"/>
      <c r="J1162" s="169"/>
      <c r="K1162" s="169"/>
      <c r="L1162" s="169"/>
      <c r="M1162" s="169"/>
      <c r="N1162" s="169"/>
      <c r="O1162" s="169"/>
      <c r="P1162" s="169"/>
      <c r="Q1162" s="169"/>
      <c r="R1162" s="169"/>
      <c r="S1162" s="169"/>
      <c r="T1162" s="169"/>
      <c r="U1162" s="169"/>
      <c r="V1162" s="169"/>
      <c r="W1162" s="169"/>
      <c r="X1162" s="169"/>
      <c r="Y1162" s="53"/>
      <c r="Z1162" s="110"/>
      <c r="AA1162" s="110"/>
      <c r="AB1162" s="110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</row>
    <row r="1163" spans="1:47">
      <c r="A1163" s="169" t="s">
        <v>286</v>
      </c>
      <c r="B1163" s="169"/>
      <c r="C1163" s="169"/>
      <c r="D1163" s="169"/>
      <c r="E1163" s="169"/>
      <c r="F1163" s="169"/>
      <c r="G1163" s="169"/>
      <c r="H1163" s="169"/>
      <c r="I1163" s="169"/>
      <c r="J1163" s="169"/>
      <c r="K1163" s="169"/>
      <c r="L1163" s="169"/>
      <c r="M1163" s="169"/>
      <c r="N1163" s="169"/>
      <c r="O1163" s="169"/>
      <c r="P1163" s="169"/>
      <c r="Q1163" s="169"/>
      <c r="R1163" s="169"/>
      <c r="S1163" s="169"/>
      <c r="T1163" s="169"/>
      <c r="U1163" s="169"/>
      <c r="V1163" s="169"/>
      <c r="W1163" s="169"/>
      <c r="X1163" s="169"/>
      <c r="Y1163" s="53"/>
      <c r="Z1163" s="110"/>
      <c r="AA1163" s="110"/>
      <c r="AB1163" s="110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</row>
    <row r="1164" spans="1:47">
      <c r="A1164" s="169"/>
      <c r="B1164" s="169"/>
      <c r="C1164" s="169"/>
      <c r="D1164" s="338"/>
      <c r="E1164" s="169"/>
      <c r="F1164" s="169"/>
      <c r="G1164" s="338"/>
      <c r="H1164" s="169"/>
      <c r="I1164" s="169"/>
      <c r="J1164" s="338"/>
      <c r="K1164" s="169"/>
      <c r="L1164" s="169"/>
      <c r="M1164" s="169"/>
      <c r="N1164" s="338"/>
      <c r="O1164" s="169"/>
      <c r="P1164" s="169"/>
      <c r="Q1164" s="169"/>
      <c r="R1164" s="338"/>
      <c r="S1164" s="169"/>
      <c r="T1164" s="169"/>
      <c r="U1164" s="169"/>
      <c r="V1164" s="338"/>
      <c r="W1164" s="169"/>
      <c r="X1164" s="169"/>
      <c r="Y1164" s="53"/>
      <c r="Z1164" s="110"/>
      <c r="AA1164" s="110"/>
      <c r="AB1164" s="110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</row>
    <row r="1165" spans="1:47">
      <c r="A1165" s="169" t="s">
        <v>279</v>
      </c>
      <c r="B1165" s="169"/>
      <c r="C1165" s="189"/>
      <c r="D1165" s="193"/>
      <c r="E1165" s="169"/>
      <c r="F1165" s="131">
        <f>I1165</f>
        <v>2258.3975613477051</v>
      </c>
      <c r="G1165" s="193"/>
      <c r="H1165" s="169"/>
      <c r="I1165" s="131">
        <f>I1180+I1209</f>
        <v>2258.3975613477051</v>
      </c>
      <c r="J1165" s="193"/>
      <c r="K1165" s="169"/>
      <c r="L1165" s="131">
        <f>L1180+L1209</f>
        <v>2258.3975613477051</v>
      </c>
      <c r="M1165" s="131"/>
      <c r="N1165" s="193"/>
      <c r="O1165" s="169"/>
      <c r="P1165" s="131">
        <f>P1180+P1209</f>
        <v>2258.3975613477051</v>
      </c>
      <c r="Q1165" s="131"/>
      <c r="R1165" s="193"/>
      <c r="S1165" s="169"/>
      <c r="T1165" s="131">
        <f>T1180+T1209</f>
        <v>0</v>
      </c>
      <c r="U1165" s="131"/>
      <c r="V1165" s="193"/>
      <c r="W1165" s="169"/>
      <c r="X1165" s="131">
        <f>X1180+X1209</f>
        <v>0</v>
      </c>
      <c r="Y1165" s="53"/>
      <c r="Z1165" s="110"/>
      <c r="AA1165" s="110"/>
      <c r="AB1165" s="110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</row>
    <row r="1166" spans="1:47">
      <c r="A1166" s="169" t="s">
        <v>287</v>
      </c>
      <c r="B1166" s="169"/>
      <c r="C1166" s="129">
        <f>C1196+C1210+C1211</f>
        <v>2344657.3691355633</v>
      </c>
      <c r="D1166" s="335" t="s">
        <v>0</v>
      </c>
      <c r="E1166" s="169" t="s">
        <v>107</v>
      </c>
      <c r="F1166" s="384">
        <f>F1196+F1210+F1211</f>
        <v>160210</v>
      </c>
      <c r="G1166" s="335" t="s">
        <v>0</v>
      </c>
      <c r="H1166" s="169" t="s">
        <v>0</v>
      </c>
      <c r="I1166" s="384">
        <f>I1196+I1211</f>
        <v>160210</v>
      </c>
      <c r="J1166" s="335" t="s">
        <v>0</v>
      </c>
      <c r="K1166" s="169" t="s">
        <v>0</v>
      </c>
      <c r="L1166" s="131">
        <f>L1196+L1211</f>
        <v>162390.66092632915</v>
      </c>
      <c r="M1166" s="131"/>
      <c r="N1166" s="335" t="s">
        <v>0</v>
      </c>
      <c r="O1166" s="169" t="s">
        <v>0</v>
      </c>
      <c r="P1166" s="131">
        <f>P1196+P1211</f>
        <v>48304</v>
      </c>
      <c r="Q1166" s="131"/>
      <c r="R1166" s="335" t="s">
        <v>0</v>
      </c>
      <c r="S1166" s="169" t="s">
        <v>0</v>
      </c>
      <c r="T1166" s="131">
        <f>T1196+T1211</f>
        <v>6766</v>
      </c>
      <c r="U1166" s="131"/>
      <c r="V1166" s="335" t="s">
        <v>0</v>
      </c>
      <c r="W1166" s="169" t="s">
        <v>0</v>
      </c>
      <c r="X1166" s="131">
        <f>X1196+X1211</f>
        <v>27457</v>
      </c>
      <c r="Y1166" s="53"/>
      <c r="Z1166" s="110"/>
      <c r="AA1166" s="110"/>
      <c r="AB1166" s="110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</row>
    <row r="1167" spans="1:47">
      <c r="A1167" s="169" t="s">
        <v>288</v>
      </c>
      <c r="B1167" s="169"/>
      <c r="C1167" s="129">
        <f>C1197</f>
        <v>2268876.9813546995</v>
      </c>
      <c r="D1167" s="389" t="s">
        <v>0</v>
      </c>
      <c r="E1167" s="169" t="s">
        <v>107</v>
      </c>
      <c r="F1167" s="384">
        <f>SUM(F1182:F1194)</f>
        <v>155023.69771631877</v>
      </c>
      <c r="G1167" s="389" t="s">
        <v>0</v>
      </c>
      <c r="H1167" s="169" t="s">
        <v>0</v>
      </c>
      <c r="I1167" s="131">
        <f>I1182+I1183+I1184+I1185+I1186+I1187+I1190+I1191+I1192+I1193+I1194</f>
        <v>155023.69771631877</v>
      </c>
      <c r="J1167" s="389" t="s">
        <v>0</v>
      </c>
      <c r="K1167" s="169" t="s">
        <v>0</v>
      </c>
      <c r="L1167" s="131">
        <f>L1182+L1183+L1184+L1185+L1186+L1187+L1190+L1191+L1192+L1193+L1194</f>
        <v>157106.34335549656</v>
      </c>
      <c r="M1167" s="131"/>
      <c r="N1167" s="389" t="s">
        <v>0</v>
      </c>
      <c r="O1167" s="169" t="s">
        <v>0</v>
      </c>
      <c r="P1167" s="131">
        <f>P1182+P1183+P1184+P1185+P1186+P1187+P1190+P1191+P1192+P1193+P1194</f>
        <v>91005.59388982816</v>
      </c>
      <c r="Q1167" s="131"/>
      <c r="R1167" s="389" t="s">
        <v>0</v>
      </c>
      <c r="S1167" s="169" t="s">
        <v>0</v>
      </c>
      <c r="T1167" s="131">
        <f>T1182+T1183+T1184+T1185+T1186+T1187+T1190+T1191+T1192+T1193+T1194</f>
        <v>13064.123130599884</v>
      </c>
      <c r="U1167" s="131"/>
      <c r="V1167" s="389" t="s">
        <v>0</v>
      </c>
      <c r="W1167" s="169" t="s">
        <v>0</v>
      </c>
      <c r="X1167" s="131">
        <f>X1182+X1183+X1184+X1185+X1186+X1187+X1190+X1191+X1192+X1193+X1194</f>
        <v>53049.626335068504</v>
      </c>
      <c r="Y1167" s="53"/>
      <c r="Z1167" s="110"/>
      <c r="AA1167" s="270" t="s">
        <v>0</v>
      </c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</row>
    <row r="1168" spans="1:47">
      <c r="A1168" s="169" t="s">
        <v>109</v>
      </c>
      <c r="B1168" s="169"/>
      <c r="C1168" s="129">
        <f>C1198+C1212</f>
        <v>2605</v>
      </c>
      <c r="D1168" s="385"/>
      <c r="E1168" s="169"/>
      <c r="F1168" s="131"/>
      <c r="G1168" s="385"/>
      <c r="H1168" s="169"/>
      <c r="I1168" s="131"/>
      <c r="J1168" s="385"/>
      <c r="K1168" s="169"/>
      <c r="L1168" s="131"/>
      <c r="M1168" s="131"/>
      <c r="N1168" s="385"/>
      <c r="O1168" s="169"/>
      <c r="P1168" s="131"/>
      <c r="Q1168" s="131"/>
      <c r="R1168" s="385"/>
      <c r="S1168" s="169"/>
      <c r="T1168" s="131"/>
      <c r="U1168" s="131"/>
      <c r="V1168" s="385"/>
      <c r="W1168" s="169"/>
      <c r="X1168" s="131"/>
      <c r="Y1168" s="53"/>
      <c r="Z1168" s="110"/>
      <c r="AA1168" s="110"/>
      <c r="AB1168" s="110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</row>
    <row r="1169" spans="1:47" s="141" customFormat="1" hidden="1">
      <c r="A1169" s="140" t="s">
        <v>276</v>
      </c>
      <c r="C1169" s="142">
        <f>C1170</f>
        <v>4613534.3504902627</v>
      </c>
      <c r="D1169" s="138"/>
      <c r="E1169" s="143"/>
      <c r="F1169" s="144"/>
      <c r="G1169" s="138"/>
      <c r="H1169" s="143"/>
      <c r="I1169" s="144"/>
      <c r="J1169" s="145">
        <v>0</v>
      </c>
      <c r="K1169" s="283" t="s">
        <v>107</v>
      </c>
      <c r="L1169" s="283">
        <f>ROUND(J1169*$C1169/100,0)</f>
        <v>0</v>
      </c>
      <c r="M1169" s="283"/>
      <c r="N1169" s="145" t="s">
        <v>0</v>
      </c>
      <c r="O1169" s="146" t="s">
        <v>0</v>
      </c>
      <c r="P1169" s="144">
        <f>N1169*C1169</f>
        <v>0</v>
      </c>
      <c r="Q1169" s="144"/>
      <c r="R1169" s="145" t="s">
        <v>0</v>
      </c>
      <c r="S1169" s="146" t="s">
        <v>0</v>
      </c>
      <c r="T1169" s="144">
        <f>R1169*C1169</f>
        <v>0</v>
      </c>
      <c r="U1169" s="144"/>
      <c r="V1169" s="145">
        <f>J1169</f>
        <v>0</v>
      </c>
      <c r="W1169" s="146" t="s">
        <v>107</v>
      </c>
      <c r="X1169" s="144">
        <f>L1169</f>
        <v>0</v>
      </c>
      <c r="Y1169" s="315">
        <v>106242.17553090378</v>
      </c>
      <c r="Z1169" s="390" t="s">
        <v>108</v>
      </c>
      <c r="AC1169" s="148"/>
      <c r="AD1169" s="148"/>
      <c r="AI1169" s="143"/>
      <c r="AJ1169" s="143"/>
      <c r="AK1169" s="143"/>
      <c r="AL1169" s="143"/>
      <c r="AM1169" s="143"/>
      <c r="AN1169" s="143"/>
      <c r="AO1169" s="143"/>
      <c r="AP1169" s="143"/>
      <c r="AQ1169" s="143"/>
      <c r="AR1169" s="143"/>
      <c r="AS1169" s="143"/>
      <c r="AU1169" s="147"/>
    </row>
    <row r="1170" spans="1:47">
      <c r="A1170" s="111" t="s">
        <v>283</v>
      </c>
      <c r="C1170" s="129">
        <f>C1201+C1214</f>
        <v>4613534.3504902627</v>
      </c>
      <c r="D1170" s="138"/>
      <c r="E1170" s="53"/>
      <c r="F1170" s="151">
        <f>F1165+F1166+F1167</f>
        <v>317492.09527766646</v>
      </c>
      <c r="G1170" s="138"/>
      <c r="H1170" s="53"/>
      <c r="I1170" s="151">
        <f>I1201+I1214</f>
        <v>317492.09527766646</v>
      </c>
      <c r="J1170" s="138"/>
      <c r="K1170" s="53"/>
      <c r="L1170" s="151">
        <f>L1201+L1214</f>
        <v>321755.40184317337</v>
      </c>
      <c r="M1170" s="151"/>
      <c r="N1170" s="138"/>
      <c r="O1170" s="53"/>
      <c r="P1170" s="151">
        <f>P1201+P1214</f>
        <v>188298.5583781538</v>
      </c>
      <c r="Q1170" s="151"/>
      <c r="R1170" s="138"/>
      <c r="S1170" s="53"/>
      <c r="T1170" s="151">
        <f>T1201+T1214</f>
        <v>26375.902911930629</v>
      </c>
      <c r="U1170" s="151"/>
      <c r="V1170" s="138"/>
      <c r="W1170" s="53"/>
      <c r="X1170" s="151">
        <f>X1201+X1214</f>
        <v>107081.27962675985</v>
      </c>
      <c r="AA1170" s="110"/>
      <c r="AB1170" s="110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</row>
    <row r="1171" spans="1:47">
      <c r="A1171" s="111" t="s">
        <v>284</v>
      </c>
      <c r="C1171" s="129">
        <f>C1202+C1215</f>
        <v>-451580.56565144623</v>
      </c>
      <c r="D1171" s="138"/>
      <c r="E1171" s="53"/>
      <c r="F1171" s="151">
        <f>I1171</f>
        <v>-31262.808254224292</v>
      </c>
      <c r="G1171" s="138"/>
      <c r="H1171" s="53"/>
      <c r="I1171" s="151">
        <f>I1202+I1215</f>
        <v>-31262.808254224292</v>
      </c>
      <c r="J1171" s="138"/>
      <c r="K1171" s="53"/>
      <c r="L1171" s="151">
        <f>I1171</f>
        <v>-31262.808254224292</v>
      </c>
      <c r="M1171" s="151"/>
      <c r="N1171" s="138"/>
      <c r="O1171" s="53"/>
      <c r="P1171" s="151">
        <f>P1202+P1215</f>
        <v>-18295.685131674072</v>
      </c>
      <c r="Q1171" s="151"/>
      <c r="R1171" s="138"/>
      <c r="S1171" s="53"/>
      <c r="T1171" s="151">
        <f>T1202+T1215</f>
        <v>-2562.7663796085367</v>
      </c>
      <c r="U1171" s="151"/>
      <c r="V1171" s="138"/>
      <c r="W1171" s="53"/>
      <c r="X1171" s="151">
        <f>X1202+X1215</f>
        <v>-10404.356742941687</v>
      </c>
      <c r="Y1171" s="306"/>
      <c r="Z1171" s="307"/>
      <c r="AA1171" s="110"/>
      <c r="AB1171" s="110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</row>
    <row r="1172" spans="1:47" ht="16.5" thickBot="1">
      <c r="A1172" s="169" t="s">
        <v>112</v>
      </c>
      <c r="B1172" s="169"/>
      <c r="C1172" s="343">
        <f>C1170+C1171</f>
        <v>4161953.7848388166</v>
      </c>
      <c r="D1172" s="386"/>
      <c r="E1172" s="387"/>
      <c r="F1172" s="157">
        <f>F1170+F1171</f>
        <v>286229.28702344216</v>
      </c>
      <c r="G1172" s="388"/>
      <c r="H1172" s="258"/>
      <c r="I1172" s="157">
        <f>I1170+I1171</f>
        <v>286229.28702344216</v>
      </c>
      <c r="J1172" s="388"/>
      <c r="K1172" s="258"/>
      <c r="L1172" s="157">
        <f>L1170+L1171</f>
        <v>290492.59358894906</v>
      </c>
      <c r="M1172" s="158"/>
      <c r="N1172" s="388"/>
      <c r="O1172" s="258"/>
      <c r="P1172" s="157">
        <f>P1170+P1171</f>
        <v>170002.87324647972</v>
      </c>
      <c r="Q1172" s="158"/>
      <c r="R1172" s="388"/>
      <c r="S1172" s="258"/>
      <c r="T1172" s="157">
        <f>T1170+T1171</f>
        <v>23813.136532322093</v>
      </c>
      <c r="U1172" s="158"/>
      <c r="V1172" s="388"/>
      <c r="W1172" s="258"/>
      <c r="X1172" s="157">
        <f>X1170+X1171</f>
        <v>96676.922883818159</v>
      </c>
      <c r="Y1172" s="376" t="s">
        <v>165</v>
      </c>
      <c r="Z1172" s="160">
        <v>290493.55433299241</v>
      </c>
      <c r="AA1172" s="260">
        <f>(L1172-I1172)/I1172</f>
        <v>1.4894725168908879E-2</v>
      </c>
      <c r="AB1172" s="357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</row>
    <row r="1173" spans="1:47" ht="16.5" thickTop="1">
      <c r="A1173" s="391" t="s">
        <v>114</v>
      </c>
      <c r="B1173" s="169"/>
      <c r="C1173" s="308"/>
      <c r="D1173" s="392"/>
      <c r="E1173" s="264"/>
      <c r="F1173" s="153"/>
      <c r="G1173" s="392"/>
      <c r="H1173" s="264"/>
      <c r="I1173" s="153"/>
      <c r="J1173" s="392"/>
      <c r="K1173" s="264"/>
      <c r="L1173" s="153"/>
      <c r="M1173" s="153"/>
      <c r="N1173" s="392"/>
      <c r="O1173" s="264"/>
      <c r="P1173" s="153"/>
      <c r="Q1173" s="153"/>
      <c r="R1173" s="392"/>
      <c r="S1173" s="264"/>
      <c r="T1173" s="153"/>
      <c r="U1173" s="153"/>
      <c r="V1173" s="392"/>
      <c r="W1173" s="264"/>
      <c r="X1173" s="153"/>
      <c r="Y1173" s="378"/>
      <c r="Z1173" s="166"/>
      <c r="AA1173" s="380"/>
      <c r="AB1173" s="357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</row>
    <row r="1174" spans="1:47">
      <c r="A1174" s="169"/>
      <c r="B1174" s="169"/>
      <c r="C1174" s="308"/>
      <c r="D1174" s="392"/>
      <c r="E1174" s="264"/>
      <c r="F1174" s="153"/>
      <c r="G1174" s="392"/>
      <c r="H1174" s="264"/>
      <c r="I1174" s="153"/>
      <c r="J1174" s="392"/>
      <c r="K1174" s="264"/>
      <c r="L1174" s="153"/>
      <c r="M1174" s="153"/>
      <c r="N1174" s="392"/>
      <c r="O1174" s="264"/>
      <c r="P1174" s="153"/>
      <c r="Q1174" s="153"/>
      <c r="R1174" s="392"/>
      <c r="S1174" s="264"/>
      <c r="T1174" s="153"/>
      <c r="U1174" s="153"/>
      <c r="V1174" s="392"/>
      <c r="W1174" s="264"/>
      <c r="X1174" s="153"/>
      <c r="Y1174" s="381" t="s">
        <v>115</v>
      </c>
      <c r="Z1174" s="171">
        <f>Z1172-L1172</f>
        <v>0.96074404334649444</v>
      </c>
      <c r="AA1174" s="356"/>
      <c r="AB1174" s="357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</row>
    <row r="1175" spans="1:47" hidden="1">
      <c r="A1175" s="169"/>
      <c r="B1175" s="169"/>
      <c r="C1175" s="308"/>
      <c r="D1175" s="392"/>
      <c r="E1175" s="264"/>
      <c r="F1175" s="153"/>
      <c r="G1175" s="392"/>
      <c r="H1175" s="264"/>
      <c r="I1175" s="153"/>
      <c r="J1175" s="392"/>
      <c r="K1175" s="264"/>
      <c r="L1175" s="153"/>
      <c r="M1175" s="153"/>
      <c r="N1175" s="392"/>
      <c r="O1175" s="264"/>
      <c r="P1175" s="153"/>
      <c r="Q1175" s="153"/>
      <c r="R1175" s="392"/>
      <c r="S1175" s="264"/>
      <c r="T1175" s="153"/>
      <c r="U1175" s="153"/>
      <c r="V1175" s="392"/>
      <c r="W1175" s="264"/>
      <c r="X1175" s="153"/>
      <c r="Y1175" s="173">
        <f>Y30</f>
        <v>0.58522206267896359</v>
      </c>
      <c r="Z1175" s="173">
        <f>Z30</f>
        <v>8.1974925565500054E-2</v>
      </c>
      <c r="AA1175" s="173">
        <f>AA30</f>
        <v>0.33280301175553639</v>
      </c>
      <c r="AB1175" s="357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</row>
    <row r="1176" spans="1:47" hidden="1">
      <c r="A1176" s="169"/>
      <c r="B1176" s="169"/>
      <c r="C1176" s="308"/>
      <c r="D1176" s="392" t="s">
        <v>0</v>
      </c>
      <c r="E1176" s="264"/>
      <c r="F1176" s="153"/>
      <c r="G1176" s="392" t="s">
        <v>0</v>
      </c>
      <c r="H1176" s="264"/>
      <c r="I1176" s="153"/>
      <c r="J1176" s="392" t="s">
        <v>0</v>
      </c>
      <c r="K1176" s="264"/>
      <c r="L1176" s="153" t="s">
        <v>0</v>
      </c>
      <c r="M1176" s="153"/>
      <c r="N1176" s="392" t="s">
        <v>0</v>
      </c>
      <c r="O1176" s="264"/>
      <c r="P1176" s="153" t="s">
        <v>0</v>
      </c>
      <c r="Q1176" s="153"/>
      <c r="R1176" s="392" t="s">
        <v>0</v>
      </c>
      <c r="S1176" s="264"/>
      <c r="T1176" s="153" t="s">
        <v>0</v>
      </c>
      <c r="U1176" s="153"/>
      <c r="V1176" s="392" t="s">
        <v>0</v>
      </c>
      <c r="W1176" s="264"/>
      <c r="X1176" s="153" t="s">
        <v>0</v>
      </c>
      <c r="Y1176" s="166">
        <f>L1172*Y1175</f>
        <v>170002.67481308666</v>
      </c>
      <c r="Z1176" s="166">
        <f>L1172*Z1175</f>
        <v>23813.108736783157</v>
      </c>
      <c r="AA1176" s="166">
        <f>L1172*AA1175</f>
        <v>96676.810039079268</v>
      </c>
      <c r="AB1176" s="110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</row>
    <row r="1177" spans="1:47">
      <c r="A1177" s="188" t="s">
        <v>289</v>
      </c>
      <c r="B1177" s="169"/>
      <c r="C1177" s="169"/>
      <c r="D1177" s="169"/>
      <c r="E1177" s="169"/>
      <c r="F1177" s="169"/>
      <c r="G1177" s="169"/>
      <c r="H1177" s="169"/>
      <c r="I1177" s="169"/>
      <c r="J1177" s="169"/>
      <c r="K1177" s="169"/>
      <c r="L1177" s="169"/>
      <c r="M1177" s="169"/>
      <c r="N1177" s="169"/>
      <c r="O1177" s="169"/>
      <c r="P1177" s="169"/>
      <c r="Q1177" s="169"/>
      <c r="R1177" s="169"/>
      <c r="S1177" s="169"/>
      <c r="T1177" s="169"/>
      <c r="U1177" s="169"/>
      <c r="V1177" s="169"/>
      <c r="W1177" s="169"/>
      <c r="X1177" s="169"/>
      <c r="Y1177" s="166"/>
      <c r="Z1177" s="110"/>
      <c r="AA1177" s="110"/>
      <c r="AB1177" s="110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</row>
    <row r="1178" spans="1:47">
      <c r="A1178" s="169" t="s">
        <v>290</v>
      </c>
      <c r="B1178" s="169"/>
      <c r="C1178" s="169"/>
      <c r="D1178" s="169"/>
      <c r="E1178" s="169"/>
      <c r="F1178" s="169"/>
      <c r="G1178" s="169"/>
      <c r="H1178" s="169"/>
      <c r="I1178" s="169"/>
      <c r="J1178" s="169"/>
      <c r="K1178" s="169"/>
      <c r="L1178" s="169"/>
      <c r="M1178" s="169"/>
      <c r="N1178" s="169"/>
      <c r="O1178" s="169"/>
      <c r="P1178" s="169"/>
      <c r="Q1178" s="169"/>
      <c r="R1178" s="169"/>
      <c r="S1178" s="169"/>
      <c r="T1178" s="169"/>
      <c r="U1178" s="169"/>
      <c r="V1178" s="169"/>
      <c r="W1178" s="169"/>
      <c r="X1178" s="169"/>
      <c r="Y1178" s="53"/>
      <c r="Z1178" s="110"/>
      <c r="AA1178" s="110"/>
      <c r="AB1178" s="110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</row>
    <row r="1179" spans="1:47">
      <c r="A1179" s="169"/>
      <c r="B1179" s="169"/>
      <c r="C1179" s="169"/>
      <c r="D1179" s="338"/>
      <c r="E1179" s="169"/>
      <c r="F1179" s="169"/>
      <c r="G1179" s="338"/>
      <c r="H1179" s="169"/>
      <c r="I1179" s="169"/>
      <c r="J1179" s="338"/>
      <c r="K1179" s="169"/>
      <c r="L1179" s="169"/>
      <c r="M1179" s="169"/>
      <c r="N1179" s="338"/>
      <c r="O1179" s="169"/>
      <c r="P1179" s="169"/>
      <c r="Q1179" s="169"/>
      <c r="R1179" s="338"/>
      <c r="S1179" s="169"/>
      <c r="T1179" s="169"/>
      <c r="U1179" s="169"/>
      <c r="V1179" s="338"/>
      <c r="W1179" s="169"/>
      <c r="X1179" s="169"/>
      <c r="Y1179" s="53"/>
      <c r="Z1179" s="110"/>
      <c r="AA1179" s="110"/>
      <c r="AB1179" s="110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</row>
    <row r="1180" spans="1:47">
      <c r="A1180" s="169" t="s">
        <v>279</v>
      </c>
      <c r="B1180" s="169"/>
      <c r="C1180" s="189"/>
      <c r="D1180" s="193"/>
      <c r="E1180" s="169"/>
      <c r="F1180" s="131">
        <f>I1180</f>
        <v>2258.3975613477051</v>
      </c>
      <c r="G1180" s="193"/>
      <c r="H1180" s="169"/>
      <c r="I1180" s="131">
        <v>2258.3975613477051</v>
      </c>
      <c r="J1180" s="193"/>
      <c r="K1180" s="169"/>
      <c r="L1180" s="131">
        <v>2258.3975613477051</v>
      </c>
      <c r="M1180" s="131"/>
      <c r="N1180" s="193"/>
      <c r="O1180" s="169"/>
      <c r="P1180" s="131">
        <f>L1180</f>
        <v>2258.3975613477051</v>
      </c>
      <c r="Q1180" s="131"/>
      <c r="R1180" s="193"/>
      <c r="S1180" s="169"/>
      <c r="T1180" s="131" t="s">
        <v>0</v>
      </c>
      <c r="U1180" s="131"/>
      <c r="V1180" s="193"/>
      <c r="W1180" s="169"/>
      <c r="X1180" s="131" t="str">
        <f>T1180</f>
        <v xml:space="preserve"> </v>
      </c>
      <c r="Y1180" s="53"/>
      <c r="Z1180" s="110"/>
      <c r="AA1180" s="110"/>
      <c r="AB1180" s="110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</row>
    <row r="1181" spans="1:47">
      <c r="A1181" s="169" t="s">
        <v>254</v>
      </c>
      <c r="B1181" s="169"/>
      <c r="C1181" s="189"/>
      <c r="D1181" s="193"/>
      <c r="E1181" s="169"/>
      <c r="F1181" s="131"/>
      <c r="G1181" s="193"/>
      <c r="H1181" s="169"/>
      <c r="I1181" s="131"/>
      <c r="J1181" s="193"/>
      <c r="K1181" s="169"/>
      <c r="L1181" s="131"/>
      <c r="M1181" s="131"/>
      <c r="N1181" s="193"/>
      <c r="O1181" s="169"/>
      <c r="P1181" s="131"/>
      <c r="Q1181" s="131"/>
      <c r="R1181" s="193"/>
      <c r="S1181" s="169"/>
      <c r="T1181" s="131"/>
      <c r="U1181" s="131"/>
      <c r="V1181" s="193"/>
      <c r="W1181" s="169"/>
      <c r="X1181" s="131"/>
      <c r="Y1181" s="53"/>
      <c r="AC1181" s="166">
        <f>Z1172-L1172</f>
        <v>0.96074404334649444</v>
      </c>
      <c r="AD1181" s="110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</row>
    <row r="1182" spans="1:47">
      <c r="A1182" s="111" t="s">
        <v>291</v>
      </c>
      <c r="B1182" s="169"/>
      <c r="C1182" s="189">
        <v>4296.0131979250182</v>
      </c>
      <c r="D1182" s="193">
        <v>2.12</v>
      </c>
      <c r="E1182" s="169"/>
      <c r="F1182" s="131">
        <f t="shared" ref="F1182:F1187" si="255">D1182*C1182</f>
        <v>9107.5479796010386</v>
      </c>
      <c r="G1182" s="193">
        <v>2.12</v>
      </c>
      <c r="H1182" s="169"/>
      <c r="I1182" s="131">
        <f>C1182*G1182</f>
        <v>9107.5479796010386</v>
      </c>
      <c r="J1182" s="193">
        <v>2.15</v>
      </c>
      <c r="K1182" s="169"/>
      <c r="L1182" s="131">
        <f>J1182*C1182</f>
        <v>9236.4283755387878</v>
      </c>
      <c r="M1182" s="131"/>
      <c r="N1182" s="193">
        <v>1.25</v>
      </c>
      <c r="O1182" s="169"/>
      <c r="P1182" s="131">
        <v>5350.3036973800199</v>
      </c>
      <c r="Q1182" s="131"/>
      <c r="R1182" s="193">
        <v>0.18</v>
      </c>
      <c r="S1182" s="169"/>
      <c r="T1182" s="131">
        <v>768.0519768190743</v>
      </c>
      <c r="U1182" s="131"/>
      <c r="V1182" s="193">
        <v>0.73</v>
      </c>
      <c r="W1182" s="169"/>
      <c r="X1182" s="131">
        <v>3118.8369834578903</v>
      </c>
      <c r="Y1182" s="53"/>
      <c r="AC1182" s="110">
        <v>31</v>
      </c>
      <c r="AD1182" s="393">
        <f t="shared" ref="AD1182:AD1187" si="256">D1182/AC1182</f>
        <v>6.8387096774193551E-2</v>
      </c>
      <c r="AE1182" s="53"/>
      <c r="AF1182" s="53"/>
      <c r="AG1182" s="222" t="s">
        <v>0</v>
      </c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</row>
    <row r="1183" spans="1:47">
      <c r="A1183" s="111" t="s">
        <v>292</v>
      </c>
      <c r="B1183" s="169"/>
      <c r="C1183" s="189">
        <v>8148.0150869990703</v>
      </c>
      <c r="D1183" s="193">
        <v>3</v>
      </c>
      <c r="E1183" s="169"/>
      <c r="F1183" s="131">
        <f t="shared" si="255"/>
        <v>24444.045260997213</v>
      </c>
      <c r="G1183" s="193">
        <v>3</v>
      </c>
      <c r="H1183" s="169"/>
      <c r="I1183" s="131">
        <f t="shared" ref="I1183:I1187" si="257">C1183*G1183</f>
        <v>24444.045260997213</v>
      </c>
      <c r="J1183" s="193">
        <v>3.04</v>
      </c>
      <c r="K1183" s="169"/>
      <c r="L1183" s="131">
        <f t="shared" ref="L1183:L1187" si="258">J1183*C1183</f>
        <v>24769.965864477173</v>
      </c>
      <c r="M1183" s="131"/>
      <c r="N1183" s="193">
        <v>1.76</v>
      </c>
      <c r="O1183" s="169"/>
      <c r="P1183" s="131">
        <v>14348.277771488531</v>
      </c>
      <c r="Q1183" s="131"/>
      <c r="R1183" s="193">
        <v>0.25</v>
      </c>
      <c r="S1183" s="169"/>
      <c r="T1183" s="131">
        <v>2059.7378634295883</v>
      </c>
      <c r="U1183" s="131"/>
      <c r="V1183" s="193">
        <v>1.03</v>
      </c>
      <c r="W1183" s="169"/>
      <c r="X1183" s="131">
        <v>8363.9998575330792</v>
      </c>
      <c r="Y1183" s="53"/>
      <c r="AC1183" s="110">
        <v>44</v>
      </c>
      <c r="AD1183" s="393">
        <f t="shared" si="256"/>
        <v>6.8181818181818177E-2</v>
      </c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</row>
    <row r="1184" spans="1:47">
      <c r="A1184" s="111" t="s">
        <v>293</v>
      </c>
      <c r="B1184" s="169"/>
      <c r="C1184" s="189">
        <v>80.070551745979301</v>
      </c>
      <c r="D1184" s="193">
        <v>4.3600000000000003</v>
      </c>
      <c r="E1184" s="169"/>
      <c r="F1184" s="131">
        <f t="shared" si="255"/>
        <v>349.1076056124698</v>
      </c>
      <c r="G1184" s="193">
        <v>4.3600000000000003</v>
      </c>
      <c r="H1184" s="169"/>
      <c r="I1184" s="131">
        <f t="shared" si="257"/>
        <v>349.1076056124698</v>
      </c>
      <c r="J1184" s="193">
        <v>4.42</v>
      </c>
      <c r="K1184" s="169"/>
      <c r="L1184" s="131">
        <f t="shared" si="258"/>
        <v>353.91183871722853</v>
      </c>
      <c r="M1184" s="131"/>
      <c r="N1184" s="193">
        <v>2.56</v>
      </c>
      <c r="O1184" s="169"/>
      <c r="P1184" s="131">
        <v>205.00736239671144</v>
      </c>
      <c r="Q1184" s="131"/>
      <c r="R1184" s="193">
        <v>0.37</v>
      </c>
      <c r="S1184" s="169"/>
      <c r="T1184" s="131">
        <v>29.429415385964553</v>
      </c>
      <c r="U1184" s="131"/>
      <c r="V1184" s="193">
        <v>1.49</v>
      </c>
      <c r="W1184" s="169"/>
      <c r="X1184" s="131">
        <v>119.50434590042377</v>
      </c>
      <c r="Y1184" s="53"/>
      <c r="AC1184" s="110">
        <v>64</v>
      </c>
      <c r="AD1184" s="393">
        <f t="shared" si="256"/>
        <v>6.8125000000000005E-2</v>
      </c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</row>
    <row r="1185" spans="1:47">
      <c r="A1185" s="111" t="s">
        <v>294</v>
      </c>
      <c r="B1185" s="169"/>
      <c r="C1185" s="189">
        <v>11687.0132195632</v>
      </c>
      <c r="D1185" s="193">
        <v>5.81</v>
      </c>
      <c r="E1185" s="169"/>
      <c r="F1185" s="131">
        <f t="shared" si="255"/>
        <v>67901.54680566219</v>
      </c>
      <c r="G1185" s="193">
        <v>5.81</v>
      </c>
      <c r="H1185" s="169"/>
      <c r="I1185" s="131">
        <f t="shared" si="257"/>
        <v>67901.54680566219</v>
      </c>
      <c r="J1185" s="193">
        <v>5.89</v>
      </c>
      <c r="K1185" s="169"/>
      <c r="L1185" s="131">
        <f t="shared" si="258"/>
        <v>68836.507863227234</v>
      </c>
      <c r="M1185" s="131"/>
      <c r="N1185" s="193">
        <v>3.41</v>
      </c>
      <c r="O1185" s="169"/>
      <c r="P1185" s="131">
        <v>39874.311536992747</v>
      </c>
      <c r="Q1185" s="131"/>
      <c r="R1185" s="193">
        <v>0.49</v>
      </c>
      <c r="S1185" s="169"/>
      <c r="T1185" s="131">
        <v>5724.0757782186956</v>
      </c>
      <c r="U1185" s="131"/>
      <c r="V1185" s="193">
        <v>1.99</v>
      </c>
      <c r="W1185" s="169"/>
      <c r="X1185" s="131">
        <v>23243.816528095958</v>
      </c>
      <c r="Y1185" s="53"/>
      <c r="AC1185" s="110">
        <v>85</v>
      </c>
      <c r="AD1185" s="393">
        <f t="shared" si="256"/>
        <v>6.8352941176470589E-2</v>
      </c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</row>
    <row r="1186" spans="1:47">
      <c r="A1186" s="111" t="s">
        <v>295</v>
      </c>
      <c r="B1186" s="169"/>
      <c r="C1186" s="189">
        <v>4355.9970834218002</v>
      </c>
      <c r="D1186" s="193">
        <v>7.86</v>
      </c>
      <c r="E1186" s="169"/>
      <c r="F1186" s="131">
        <f t="shared" si="255"/>
        <v>34238.137075695347</v>
      </c>
      <c r="G1186" s="193">
        <v>7.86</v>
      </c>
      <c r="H1186" s="169"/>
      <c r="I1186" s="131">
        <f t="shared" si="257"/>
        <v>34238.137075695347</v>
      </c>
      <c r="J1186" s="193">
        <v>7.96</v>
      </c>
      <c r="K1186" s="169"/>
      <c r="L1186" s="131">
        <f t="shared" si="258"/>
        <v>34673.73678403753</v>
      </c>
      <c r="M1186" s="131"/>
      <c r="N1186" s="193">
        <v>4.6100000000000003</v>
      </c>
      <c r="O1186" s="169"/>
      <c r="P1186" s="131">
        <v>20085.147047632028</v>
      </c>
      <c r="Q1186" s="131"/>
      <c r="R1186" s="193">
        <v>0.66</v>
      </c>
      <c r="S1186" s="169"/>
      <c r="T1186" s="131">
        <v>2883.2824765049727</v>
      </c>
      <c r="U1186" s="131"/>
      <c r="V1186" s="193">
        <v>2.6999999999999997</v>
      </c>
      <c r="W1186" s="169"/>
      <c r="X1186" s="131">
        <v>11708.176390252394</v>
      </c>
      <c r="Y1186" s="53"/>
      <c r="AC1186" s="110">
        <v>115</v>
      </c>
      <c r="AD1186" s="393">
        <f t="shared" si="256"/>
        <v>6.8347826086956526E-2</v>
      </c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</row>
    <row r="1187" spans="1:47">
      <c r="A1187" s="111" t="s">
        <v>296</v>
      </c>
      <c r="B1187" s="169"/>
      <c r="C1187" s="189">
        <v>1577.99775467585</v>
      </c>
      <c r="D1187" s="193">
        <v>12.03</v>
      </c>
      <c r="E1187" s="169"/>
      <c r="F1187" s="131">
        <f t="shared" si="255"/>
        <v>18983.312988750477</v>
      </c>
      <c r="G1187" s="193">
        <v>12.03</v>
      </c>
      <c r="H1187" s="169"/>
      <c r="I1187" s="131">
        <f t="shared" si="257"/>
        <v>18983.312988750477</v>
      </c>
      <c r="J1187" s="193">
        <v>12.19</v>
      </c>
      <c r="K1187" s="169"/>
      <c r="L1187" s="131">
        <f t="shared" si="258"/>
        <v>19235.79262949861</v>
      </c>
      <c r="M1187" s="131"/>
      <c r="N1187" s="193">
        <v>7.06</v>
      </c>
      <c r="O1187" s="169"/>
      <c r="P1187" s="131">
        <v>11142.546473938122</v>
      </c>
      <c r="Q1187" s="131"/>
      <c r="R1187" s="193">
        <v>1.01</v>
      </c>
      <c r="S1187" s="169"/>
      <c r="T1187" s="131">
        <v>1599.5456202415874</v>
      </c>
      <c r="U1187" s="131"/>
      <c r="V1187" s="193">
        <v>4.1100000000000003</v>
      </c>
      <c r="W1187" s="169"/>
      <c r="X1187" s="131">
        <v>6495.2922298287604</v>
      </c>
      <c r="AA1187" s="357" t="s">
        <v>0</v>
      </c>
      <c r="AB1187" s="162"/>
      <c r="AC1187" s="110">
        <v>176</v>
      </c>
      <c r="AD1187" s="393">
        <f t="shared" si="256"/>
        <v>6.835227272727272E-2</v>
      </c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</row>
    <row r="1188" spans="1:47">
      <c r="B1188" s="169"/>
      <c r="C1188" s="189"/>
      <c r="D1188" s="193"/>
      <c r="E1188" s="169"/>
      <c r="F1188" s="131"/>
      <c r="G1188" s="193"/>
      <c r="H1188" s="169"/>
      <c r="I1188" s="131"/>
      <c r="J1188" s="193"/>
      <c r="K1188" s="169"/>
      <c r="L1188" s="131"/>
      <c r="M1188" s="131"/>
      <c r="N1188" s="193"/>
      <c r="O1188" s="169"/>
      <c r="P1188" s="131"/>
      <c r="Q1188" s="131"/>
      <c r="R1188" s="193"/>
      <c r="S1188" s="169"/>
      <c r="T1188" s="131"/>
      <c r="U1188" s="131"/>
      <c r="V1188" s="193"/>
      <c r="W1188" s="169"/>
      <c r="X1188" s="131"/>
      <c r="Y1188" s="53"/>
      <c r="Z1188" s="196" t="s">
        <v>195</v>
      </c>
      <c r="AC1188" s="110"/>
      <c r="AD1188" s="110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</row>
    <row r="1189" spans="1:47">
      <c r="A1189" s="111" t="s">
        <v>268</v>
      </c>
      <c r="B1189" s="169"/>
      <c r="C1189" s="189"/>
      <c r="D1189" s="193" t="s">
        <v>0</v>
      </c>
      <c r="E1189" s="169"/>
      <c r="F1189" s="131"/>
      <c r="G1189" s="193" t="s">
        <v>0</v>
      </c>
      <c r="H1189" s="169"/>
      <c r="I1189" s="131"/>
      <c r="J1189" s="193" t="s">
        <v>0</v>
      </c>
      <c r="K1189" s="169"/>
      <c r="L1189" s="131"/>
      <c r="M1189" s="131"/>
      <c r="N1189" s="193" t="s">
        <v>0</v>
      </c>
      <c r="O1189" s="169"/>
      <c r="P1189" s="131"/>
      <c r="Q1189" s="131"/>
      <c r="R1189" s="193" t="s">
        <v>0</v>
      </c>
      <c r="S1189" s="169"/>
      <c r="T1189" s="131"/>
      <c r="U1189" s="131"/>
      <c r="V1189" s="193" t="s">
        <v>0</v>
      </c>
      <c r="W1189" s="169"/>
      <c r="X1189" s="131"/>
      <c r="Y1189" s="53"/>
      <c r="AC1189" s="110"/>
      <c r="AD1189" s="110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</row>
    <row r="1190" spans="1:47">
      <c r="A1190" s="111" t="s">
        <v>297</v>
      </c>
      <c r="B1190" s="169"/>
      <c r="C1190" s="189">
        <v>0</v>
      </c>
      <c r="D1190" s="193">
        <v>2.67</v>
      </c>
      <c r="E1190" s="169"/>
      <c r="F1190" s="131">
        <f>D1190*C1190</f>
        <v>0</v>
      </c>
      <c r="G1190" s="193">
        <v>2.67</v>
      </c>
      <c r="H1190" s="169"/>
      <c r="I1190" s="131">
        <f t="shared" ref="I1190:I1194" si="259">C1190*G1190</f>
        <v>0</v>
      </c>
      <c r="J1190" s="193">
        <v>2.71</v>
      </c>
      <c r="K1190" s="169"/>
      <c r="L1190" s="131">
        <f t="shared" ref="L1190:L1194" si="260">J1190*C1190</f>
        <v>0</v>
      </c>
      <c r="M1190" s="131"/>
      <c r="N1190" s="193">
        <v>1.57</v>
      </c>
      <c r="O1190" s="169"/>
      <c r="P1190" s="131">
        <v>0</v>
      </c>
      <c r="Q1190" s="131"/>
      <c r="R1190" s="193">
        <v>0.23</v>
      </c>
      <c r="S1190" s="169"/>
      <c r="T1190" s="131">
        <v>0</v>
      </c>
      <c r="U1190" s="131"/>
      <c r="V1190" s="193">
        <v>0.92</v>
      </c>
      <c r="W1190" s="169"/>
      <c r="X1190" s="131">
        <v>0</v>
      </c>
      <c r="Y1190" s="53"/>
      <c r="AC1190" s="110">
        <v>39</v>
      </c>
      <c r="AD1190" s="393">
        <f>D1190/AC1190</f>
        <v>6.8461538461538463E-2</v>
      </c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</row>
    <row r="1191" spans="1:47">
      <c r="A1191" s="111" t="s">
        <v>298</v>
      </c>
      <c r="B1191" s="169"/>
      <c r="C1191" s="189">
        <v>0</v>
      </c>
      <c r="D1191" s="193">
        <v>4.6500000000000004</v>
      </c>
      <c r="E1191" s="169"/>
      <c r="F1191" s="131">
        <f>D1191*C1191</f>
        <v>0</v>
      </c>
      <c r="G1191" s="193">
        <v>4.6500000000000004</v>
      </c>
      <c r="H1191" s="169"/>
      <c r="I1191" s="131">
        <f t="shared" si="259"/>
        <v>0</v>
      </c>
      <c r="J1191" s="193">
        <v>4.71</v>
      </c>
      <c r="K1191" s="169"/>
      <c r="L1191" s="131">
        <f t="shared" si="260"/>
        <v>0</v>
      </c>
      <c r="M1191" s="131"/>
      <c r="N1191" s="193">
        <v>2.73</v>
      </c>
      <c r="O1191" s="169"/>
      <c r="P1191" s="131">
        <v>0</v>
      </c>
      <c r="Q1191" s="131"/>
      <c r="R1191" s="193">
        <v>0.39</v>
      </c>
      <c r="S1191" s="169"/>
      <c r="T1191" s="131">
        <v>0</v>
      </c>
      <c r="U1191" s="131"/>
      <c r="V1191" s="193">
        <v>1.59</v>
      </c>
      <c r="W1191" s="169"/>
      <c r="X1191" s="131">
        <v>0</v>
      </c>
      <c r="Y1191" s="53"/>
      <c r="AC1191" s="110">
        <v>68</v>
      </c>
      <c r="AD1191" s="393">
        <f>D1191/AC1191</f>
        <v>6.8382352941176477E-2</v>
      </c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</row>
    <row r="1192" spans="1:47">
      <c r="A1192" s="111" t="s">
        <v>299</v>
      </c>
      <c r="B1192" s="169"/>
      <c r="C1192" s="189">
        <v>0</v>
      </c>
      <c r="D1192" s="193">
        <v>6.43</v>
      </c>
      <c r="E1192" s="169"/>
      <c r="F1192" s="131">
        <f>D1192*C1192</f>
        <v>0</v>
      </c>
      <c r="G1192" s="193">
        <v>6.43</v>
      </c>
      <c r="H1192" s="169"/>
      <c r="I1192" s="131">
        <f t="shared" si="259"/>
        <v>0</v>
      </c>
      <c r="J1192" s="193">
        <v>6.52</v>
      </c>
      <c r="K1192" s="169"/>
      <c r="L1192" s="131">
        <f t="shared" si="260"/>
        <v>0</v>
      </c>
      <c r="M1192" s="131"/>
      <c r="N1192" s="193">
        <v>3.78</v>
      </c>
      <c r="O1192" s="169"/>
      <c r="P1192" s="131">
        <v>0</v>
      </c>
      <c r="Q1192" s="131"/>
      <c r="R1192" s="193">
        <v>0.54</v>
      </c>
      <c r="S1192" s="169"/>
      <c r="T1192" s="131">
        <v>0</v>
      </c>
      <c r="U1192" s="131"/>
      <c r="V1192" s="193">
        <v>2.2000000000000002</v>
      </c>
      <c r="W1192" s="169"/>
      <c r="X1192" s="131">
        <v>0</v>
      </c>
      <c r="Y1192" s="53" t="s">
        <v>0</v>
      </c>
      <c r="AC1192" s="110">
        <v>94</v>
      </c>
      <c r="AD1192" s="393">
        <f>D1192/AC1192</f>
        <v>6.8404255319148927E-2</v>
      </c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</row>
    <row r="1193" spans="1:47">
      <c r="A1193" s="111" t="s">
        <v>300</v>
      </c>
      <c r="B1193" s="169"/>
      <c r="C1193" s="189">
        <v>0</v>
      </c>
      <c r="D1193" s="193">
        <v>10.18</v>
      </c>
      <c r="E1193" s="169"/>
      <c r="F1193" s="131">
        <f>D1193*C1193</f>
        <v>0</v>
      </c>
      <c r="G1193" s="193">
        <v>10.18</v>
      </c>
      <c r="H1193" s="169"/>
      <c r="I1193" s="131">
        <f t="shared" si="259"/>
        <v>0</v>
      </c>
      <c r="J1193" s="193">
        <v>10.32</v>
      </c>
      <c r="K1193" s="169"/>
      <c r="L1193" s="131">
        <f t="shared" si="260"/>
        <v>0</v>
      </c>
      <c r="M1193" s="131"/>
      <c r="N1193" s="193">
        <v>5.98</v>
      </c>
      <c r="O1193" s="169"/>
      <c r="P1193" s="131">
        <v>0</v>
      </c>
      <c r="Q1193" s="131"/>
      <c r="R1193" s="193">
        <v>0.86</v>
      </c>
      <c r="S1193" s="169"/>
      <c r="T1193" s="131">
        <v>0</v>
      </c>
      <c r="U1193" s="131"/>
      <c r="V1193" s="193">
        <v>3.48</v>
      </c>
      <c r="W1193" s="169"/>
      <c r="X1193" s="131">
        <v>0</v>
      </c>
      <c r="Y1193" s="53"/>
      <c r="AC1193" s="110">
        <v>149</v>
      </c>
      <c r="AD1193" s="393">
        <f>D1193/AC1193</f>
        <v>6.8322147651006707E-2</v>
      </c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</row>
    <row r="1194" spans="1:47">
      <c r="A1194" s="111" t="s">
        <v>301</v>
      </c>
      <c r="B1194" s="169"/>
      <c r="C1194" s="189">
        <v>0</v>
      </c>
      <c r="D1194" s="193">
        <v>24.19</v>
      </c>
      <c r="E1194" s="169"/>
      <c r="F1194" s="131">
        <f>D1194*C1194</f>
        <v>0</v>
      </c>
      <c r="G1194" s="193">
        <v>24.19</v>
      </c>
      <c r="H1194" s="169"/>
      <c r="I1194" s="131">
        <f t="shared" si="259"/>
        <v>0</v>
      </c>
      <c r="J1194" s="193">
        <v>24.52</v>
      </c>
      <c r="K1194" s="169"/>
      <c r="L1194" s="131">
        <f t="shared" si="260"/>
        <v>0</v>
      </c>
      <c r="M1194" s="131"/>
      <c r="N1194" s="193">
        <v>14.2</v>
      </c>
      <c r="O1194" s="169"/>
      <c r="P1194" s="131">
        <v>0</v>
      </c>
      <c r="Q1194" s="131"/>
      <c r="R1194" s="193">
        <v>2.04</v>
      </c>
      <c r="S1194" s="169"/>
      <c r="T1194" s="131">
        <v>0</v>
      </c>
      <c r="U1194" s="131"/>
      <c r="V1194" s="193">
        <v>8.2799999999999994</v>
      </c>
      <c r="W1194" s="169"/>
      <c r="X1194" s="131">
        <v>0</v>
      </c>
      <c r="Y1194" s="53"/>
      <c r="AC1194" s="110">
        <v>354</v>
      </c>
      <c r="AD1194" s="393">
        <f>D1194/AC1194</f>
        <v>6.8333333333333343E-2</v>
      </c>
      <c r="AE1194" s="53" t="s">
        <v>0</v>
      </c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</row>
    <row r="1195" spans="1:47">
      <c r="A1195" s="169"/>
      <c r="B1195" s="169"/>
      <c r="C1195" s="189"/>
      <c r="D1195" s="193"/>
      <c r="E1195" s="169"/>
      <c r="F1195" s="131"/>
      <c r="G1195" s="193"/>
      <c r="H1195" s="169"/>
      <c r="I1195" s="131"/>
      <c r="J1195" s="193"/>
      <c r="K1195" s="169"/>
      <c r="L1195" s="131"/>
      <c r="M1195" s="131"/>
      <c r="N1195" s="193"/>
      <c r="O1195" s="169"/>
      <c r="P1195" s="131"/>
      <c r="Q1195" s="131"/>
      <c r="R1195" s="193"/>
      <c r="S1195" s="169"/>
      <c r="T1195" s="131"/>
      <c r="U1195" s="131"/>
      <c r="V1195" s="193"/>
      <c r="W1195" s="169"/>
      <c r="X1195" s="131"/>
      <c r="Y1195" s="53"/>
      <c r="AC1195" s="110"/>
      <c r="AD1195" s="110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</row>
    <row r="1196" spans="1:47">
      <c r="A1196" s="169" t="s">
        <v>287</v>
      </c>
      <c r="B1196" s="169"/>
      <c r="C1196" s="129">
        <v>1191736.3691355635</v>
      </c>
      <c r="D1196" s="335">
        <v>6.8330000000000002</v>
      </c>
      <c r="E1196" s="169" t="s">
        <v>107</v>
      </c>
      <c r="F1196" s="384">
        <f>ROUND(C1196*D1196/100,0)</f>
        <v>81431</v>
      </c>
      <c r="G1196" s="335">
        <v>6.8330000000000002</v>
      </c>
      <c r="H1196" s="169" t="s">
        <v>107</v>
      </c>
      <c r="I1196" s="384">
        <f>ROUND(G1196*C1196/100,0)</f>
        <v>81431</v>
      </c>
      <c r="J1196" s="335">
        <v>6.9260000000000002</v>
      </c>
      <c r="K1196" s="169" t="s">
        <v>107</v>
      </c>
      <c r="L1196" s="131">
        <f>J1196*C1196/100</f>
        <v>82539.660926329132</v>
      </c>
      <c r="M1196" s="131"/>
      <c r="N1196" s="335">
        <v>4.0532323487019424</v>
      </c>
      <c r="O1196" s="169" t="s">
        <v>107</v>
      </c>
      <c r="P1196" s="131">
        <v>48304</v>
      </c>
      <c r="Q1196" s="131"/>
      <c r="R1196" s="335">
        <v>0.56775614125605689</v>
      </c>
      <c r="S1196" s="169" t="s">
        <v>107</v>
      </c>
      <c r="T1196" s="131">
        <v>6766</v>
      </c>
      <c r="U1196" s="131"/>
      <c r="V1196" s="335">
        <v>2.3039847553901214</v>
      </c>
      <c r="W1196" s="169" t="s">
        <v>107</v>
      </c>
      <c r="X1196" s="131">
        <v>27457</v>
      </c>
      <c r="Y1196" s="53"/>
      <c r="Z1196" s="135">
        <f>(C1196*(4167/3940)-C1196)*J1200/100</f>
        <v>4755.4576218976372</v>
      </c>
      <c r="AA1196" s="196" t="s">
        <v>302</v>
      </c>
      <c r="AC1196" s="110"/>
      <c r="AD1196" s="110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</row>
    <row r="1197" spans="1:47">
      <c r="A1197" s="169" t="s">
        <v>303</v>
      </c>
      <c r="B1197" s="169"/>
      <c r="C1197" s="129">
        <v>2268876.9813546995</v>
      </c>
      <c r="D1197" s="327">
        <v>0</v>
      </c>
      <c r="E1197" s="169" t="s">
        <v>0</v>
      </c>
      <c r="F1197" s="384" t="s">
        <v>0</v>
      </c>
      <c r="G1197" s="327">
        <v>0</v>
      </c>
      <c r="H1197" s="169" t="s">
        <v>107</v>
      </c>
      <c r="I1197" s="384">
        <f>ROUND(G1197*C1197/100,0)</f>
        <v>0</v>
      </c>
      <c r="J1197" s="327">
        <v>0</v>
      </c>
      <c r="K1197" s="169" t="s">
        <v>107</v>
      </c>
      <c r="L1197" s="131">
        <v>0</v>
      </c>
      <c r="M1197" s="131"/>
      <c r="N1197" s="327">
        <v>0</v>
      </c>
      <c r="O1197" s="169" t="s">
        <v>107</v>
      </c>
      <c r="P1197" s="131">
        <v>0</v>
      </c>
      <c r="Q1197" s="131"/>
      <c r="R1197" s="327">
        <v>0</v>
      </c>
      <c r="S1197" s="169" t="s">
        <v>107</v>
      </c>
      <c r="T1197" s="131">
        <v>0</v>
      </c>
      <c r="U1197" s="131"/>
      <c r="V1197" s="327">
        <v>0</v>
      </c>
      <c r="W1197" s="169" t="s">
        <v>107</v>
      </c>
      <c r="X1197" s="131">
        <v>0</v>
      </c>
      <c r="Y1197" s="53"/>
      <c r="AC1197" s="110"/>
      <c r="AD1197" s="110">
        <v>211950</v>
      </c>
      <c r="AE1197" s="131">
        <f>C1197*0.06146</f>
        <v>139445.17927405983</v>
      </c>
      <c r="AF1197" s="131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</row>
    <row r="1198" spans="1:47">
      <c r="A1198" s="169" t="s">
        <v>109</v>
      </c>
      <c r="B1198" s="169"/>
      <c r="C1198" s="129">
        <v>1346</v>
      </c>
      <c r="D1198" s="385"/>
      <c r="E1198" s="169"/>
      <c r="F1198" s="131"/>
      <c r="G1198" s="385"/>
      <c r="H1198" s="169"/>
      <c r="I1198" s="131"/>
      <c r="J1198" s="385"/>
      <c r="K1198" s="169"/>
      <c r="L1198" s="131"/>
      <c r="M1198" s="131"/>
      <c r="N1198" s="385"/>
      <c r="O1198" s="169"/>
      <c r="P1198" s="131"/>
      <c r="Q1198" s="131"/>
      <c r="R1198" s="385"/>
      <c r="S1198" s="169"/>
      <c r="T1198" s="131"/>
      <c r="U1198" s="131"/>
      <c r="V1198" s="385"/>
      <c r="W1198" s="169"/>
      <c r="X1198" s="131"/>
      <c r="Y1198" s="53"/>
      <c r="Z1198" s="110"/>
      <c r="AA1198" s="110"/>
      <c r="AB1198" s="110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</row>
    <row r="1199" spans="1:47" s="141" customFormat="1" hidden="1">
      <c r="A1199" s="140" t="s">
        <v>276</v>
      </c>
      <c r="C1199" s="142">
        <f>C1201</f>
        <v>3460613.3504902627</v>
      </c>
      <c r="D1199" s="138"/>
      <c r="E1199" s="143"/>
      <c r="F1199" s="144"/>
      <c r="G1199" s="138"/>
      <c r="H1199" s="143"/>
      <c r="I1199" s="144"/>
      <c r="J1199" s="145">
        <v>0</v>
      </c>
      <c r="K1199" s="146" t="s">
        <v>107</v>
      </c>
      <c r="L1199" s="283">
        <f>ROUND(J1199*$C1199/100,0)</f>
        <v>0</v>
      </c>
      <c r="M1199" s="283"/>
      <c r="N1199" s="145" t="s">
        <v>0</v>
      </c>
      <c r="O1199" s="146" t="s">
        <v>107</v>
      </c>
      <c r="P1199" s="131">
        <v>0</v>
      </c>
      <c r="Q1199" s="283"/>
      <c r="R1199" s="145" t="s">
        <v>0</v>
      </c>
      <c r="S1199" s="146" t="s">
        <v>107</v>
      </c>
      <c r="T1199" s="131">
        <v>0</v>
      </c>
      <c r="U1199" s="283"/>
      <c r="V1199" s="145">
        <v>0</v>
      </c>
      <c r="W1199" s="146" t="s">
        <v>107</v>
      </c>
      <c r="X1199" s="131">
        <v>0</v>
      </c>
      <c r="Z1199" s="132"/>
      <c r="AC1199" s="148"/>
      <c r="AD1199" s="148"/>
      <c r="AI1199" s="143"/>
      <c r="AJ1199" s="143"/>
      <c r="AK1199" s="143"/>
      <c r="AL1199" s="143"/>
      <c r="AM1199" s="143"/>
      <c r="AN1199" s="143"/>
      <c r="AO1199" s="143"/>
      <c r="AP1199" s="143"/>
      <c r="AQ1199" s="143"/>
      <c r="AR1199" s="143"/>
      <c r="AS1199" s="143"/>
      <c r="AU1199" s="147"/>
    </row>
    <row r="1200" spans="1:47" s="141" customFormat="1" hidden="1">
      <c r="A1200" s="202" t="s">
        <v>304</v>
      </c>
      <c r="B1200" s="203"/>
      <c r="C1200" s="368"/>
      <c r="D1200" s="205"/>
      <c r="E1200" s="206"/>
      <c r="F1200" s="207"/>
      <c r="G1200" s="361">
        <f>G1196</f>
        <v>6.8330000000000002</v>
      </c>
      <c r="H1200" s="209" t="s">
        <v>107</v>
      </c>
      <c r="I1200" s="207"/>
      <c r="J1200" s="361">
        <f>J1196+J1199</f>
        <v>6.9260000000000002</v>
      </c>
      <c r="K1200" s="209" t="s">
        <v>107</v>
      </c>
      <c r="L1200" s="299"/>
      <c r="M1200" s="299"/>
      <c r="N1200" s="361">
        <f>N1196+N1199</f>
        <v>4.0532323487019424</v>
      </c>
      <c r="O1200" s="209" t="s">
        <v>107</v>
      </c>
      <c r="P1200" s="299"/>
      <c r="Q1200" s="299"/>
      <c r="R1200" s="361">
        <f>R1196+R1199</f>
        <v>0.56775614125605689</v>
      </c>
      <c r="S1200" s="209" t="s">
        <v>107</v>
      </c>
      <c r="T1200" s="299"/>
      <c r="U1200" s="299"/>
      <c r="V1200" s="361">
        <f>V1196+V1199</f>
        <v>2.3039847553901214</v>
      </c>
      <c r="W1200" s="209" t="s">
        <v>107</v>
      </c>
      <c r="X1200" s="299"/>
      <c r="Z1200" s="132"/>
      <c r="AA1200" s="97" t="s">
        <v>0</v>
      </c>
      <c r="AC1200" s="148"/>
      <c r="AD1200" s="148"/>
      <c r="AI1200" s="143"/>
      <c r="AJ1200" s="143"/>
      <c r="AK1200" s="143"/>
      <c r="AL1200" s="143"/>
      <c r="AM1200" s="143"/>
      <c r="AN1200" s="143"/>
      <c r="AO1200" s="143"/>
      <c r="AP1200" s="143"/>
      <c r="AQ1200" s="143"/>
      <c r="AR1200" s="143"/>
      <c r="AS1200" s="143"/>
      <c r="AU1200" s="147"/>
    </row>
    <row r="1201" spans="1:47">
      <c r="A1201" s="111" t="s">
        <v>283</v>
      </c>
      <c r="C1201" s="129">
        <f>C1196+C1197</f>
        <v>3460613.3504902627</v>
      </c>
      <c r="D1201" s="138"/>
      <c r="E1201" s="53"/>
      <c r="F1201" s="151">
        <f>SUM(F1180:F1197)</f>
        <v>238713.09527766646</v>
      </c>
      <c r="G1201" s="138"/>
      <c r="H1201" s="53"/>
      <c r="I1201" s="151">
        <f>SUM(I1180:I1197)</f>
        <v>238713.09527766646</v>
      </c>
      <c r="J1201" s="138"/>
      <c r="K1201" s="53"/>
      <c r="L1201" s="151">
        <f>SUM(L1180:L1200)</f>
        <v>241904.40184317337</v>
      </c>
      <c r="M1201" s="151"/>
      <c r="N1201" s="138"/>
      <c r="O1201" s="53"/>
      <c r="P1201" s="151">
        <f>SUM(P1180:P1199)</f>
        <v>141567.99145117588</v>
      </c>
      <c r="Q1201" s="151"/>
      <c r="R1201" s="138"/>
      <c r="S1201" s="53"/>
      <c r="T1201" s="151">
        <f>SUM(T1180:T1200)</f>
        <v>19830.123130599884</v>
      </c>
      <c r="U1201" s="151"/>
      <c r="V1201" s="138"/>
      <c r="W1201" s="53"/>
      <c r="X1201" s="151">
        <f>SUM(X1180:X1200)</f>
        <v>80506.626335068504</v>
      </c>
      <c r="Y1201" s="53"/>
      <c r="Z1201" s="110"/>
      <c r="AA1201" s="110"/>
      <c r="AB1201" s="110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</row>
    <row r="1202" spans="1:47">
      <c r="A1202" s="111" t="s">
        <v>284</v>
      </c>
      <c r="C1202" s="129">
        <v>-338730.70309951692</v>
      </c>
      <c r="D1202" s="138"/>
      <c r="E1202" s="53"/>
      <c r="F1202" s="151">
        <f>I1202</f>
        <v>-23505.811910458691</v>
      </c>
      <c r="G1202" s="138"/>
      <c r="H1202" s="53"/>
      <c r="I1202" s="151">
        <v>-23505.811910458691</v>
      </c>
      <c r="J1202" s="138"/>
      <c r="K1202" s="53"/>
      <c r="L1202" s="151">
        <f>I1202</f>
        <v>-23505.811910458691</v>
      </c>
      <c r="M1202" s="151"/>
      <c r="N1202" s="138"/>
      <c r="O1202" s="53"/>
      <c r="P1202" s="151">
        <f>$L$1202*Y1176/($Y$1176+$Z$1176+$AA$1176)</f>
        <v>-13756.119731182387</v>
      </c>
      <c r="Q1202" s="153"/>
      <c r="R1202" s="154"/>
      <c r="S1202" s="154"/>
      <c r="T1202" s="151">
        <f>$L$1202*Z1176/($Y$1176+$Z$1176+$AA$1176)</f>
        <v>-1926.8871817164957</v>
      </c>
      <c r="U1202" s="153"/>
      <c r="V1202" s="154"/>
      <c r="W1202" s="154"/>
      <c r="X1202" s="151">
        <f>$L$1202*AA1176/($Y$1176+$Z$1176+$AA$1176)</f>
        <v>-7822.8049975598115</v>
      </c>
      <c r="Y1202" s="185"/>
      <c r="Z1202" s="183"/>
      <c r="AA1202" s="110"/>
      <c r="AB1202" s="110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</row>
    <row r="1203" spans="1:47" ht="16.5" thickBot="1">
      <c r="A1203" s="169" t="s">
        <v>112</v>
      </c>
      <c r="B1203" s="169"/>
      <c r="C1203" s="343">
        <f>C1201+C1202</f>
        <v>3121882.6473907456</v>
      </c>
      <c r="D1203" s="386"/>
      <c r="E1203" s="387"/>
      <c r="F1203" s="157">
        <f>F1201+F1202</f>
        <v>215207.28336720777</v>
      </c>
      <c r="G1203" s="388"/>
      <c r="H1203" s="258"/>
      <c r="I1203" s="157">
        <f>I1201+I1202</f>
        <v>215207.28336720777</v>
      </c>
      <c r="J1203" s="388"/>
      <c r="K1203" s="258"/>
      <c r="L1203" s="157">
        <f>L1201+L1202</f>
        <v>218398.58993271468</v>
      </c>
      <c r="M1203" s="158"/>
      <c r="N1203" s="388"/>
      <c r="O1203" s="258"/>
      <c r="P1203" s="157">
        <f>P1201+P1202</f>
        <v>127811.87171999349</v>
      </c>
      <c r="Q1203" s="158"/>
      <c r="R1203" s="388"/>
      <c r="S1203" s="258"/>
      <c r="T1203" s="157">
        <f>T1201+T1202</f>
        <v>17903.23594888339</v>
      </c>
      <c r="U1203" s="158"/>
      <c r="V1203" s="388"/>
      <c r="W1203" s="258"/>
      <c r="X1203" s="157">
        <f>X1201+X1202</f>
        <v>72683.821337508693</v>
      </c>
      <c r="Y1203" s="186"/>
      <c r="Z1203" s="187"/>
      <c r="AA1203" s="110"/>
      <c r="AB1203" s="110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</row>
    <row r="1204" spans="1:47" ht="16.5" thickTop="1">
      <c r="A1204" s="391" t="s">
        <v>114</v>
      </c>
      <c r="B1204" s="169"/>
      <c r="C1204" s="308"/>
      <c r="D1204" s="392"/>
      <c r="E1204" s="264"/>
      <c r="F1204" s="153"/>
      <c r="G1204" s="392"/>
      <c r="H1204" s="264"/>
      <c r="I1204" s="153"/>
      <c r="J1204" s="392"/>
      <c r="K1204" s="264"/>
      <c r="L1204" s="153"/>
      <c r="M1204" s="153"/>
      <c r="N1204" s="392"/>
      <c r="O1204" s="264"/>
      <c r="P1204" s="153"/>
      <c r="Q1204" s="153"/>
      <c r="R1204" s="392"/>
      <c r="S1204" s="264"/>
      <c r="T1204" s="153"/>
      <c r="U1204" s="153"/>
      <c r="V1204" s="392"/>
      <c r="W1204" s="264"/>
      <c r="X1204" s="153"/>
      <c r="Y1204" s="186"/>
      <c r="Z1204" s="187"/>
      <c r="AA1204" s="110"/>
      <c r="AB1204" s="110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</row>
    <row r="1205" spans="1:47">
      <c r="A1205" s="169"/>
      <c r="B1205" s="169"/>
      <c r="C1205" s="308"/>
      <c r="D1205" s="392" t="s">
        <v>0</v>
      </c>
      <c r="E1205" s="264"/>
      <c r="F1205" s="153"/>
      <c r="G1205" s="392" t="s">
        <v>0</v>
      </c>
      <c r="H1205" s="264"/>
      <c r="I1205" s="153"/>
      <c r="J1205" s="392" t="s">
        <v>0</v>
      </c>
      <c r="K1205" s="264"/>
      <c r="L1205" s="153" t="s">
        <v>0</v>
      </c>
      <c r="M1205" s="153"/>
      <c r="N1205" s="392" t="s">
        <v>0</v>
      </c>
      <c r="O1205" s="264"/>
      <c r="P1205" s="153" t="s">
        <v>0</v>
      </c>
      <c r="Q1205" s="153"/>
      <c r="R1205" s="392" t="s">
        <v>0</v>
      </c>
      <c r="S1205" s="264"/>
      <c r="T1205" s="153" t="s">
        <v>0</v>
      </c>
      <c r="U1205" s="153"/>
      <c r="V1205" s="392" t="s">
        <v>0</v>
      </c>
      <c r="W1205" s="264"/>
      <c r="X1205" s="153">
        <f>P1203+T1203+X1203</f>
        <v>218398.92900638556</v>
      </c>
      <c r="Y1205" s="173">
        <f>Y1175</f>
        <v>0.58522206267896359</v>
      </c>
      <c r="Z1205" s="173">
        <f>Z1175</f>
        <v>8.1974925565500054E-2</v>
      </c>
      <c r="AA1205" s="173">
        <f>AA1175</f>
        <v>0.33280301175553639</v>
      </c>
      <c r="AB1205" s="110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</row>
    <row r="1206" spans="1:47">
      <c r="A1206" s="188" t="s">
        <v>305</v>
      </c>
      <c r="B1206" s="169"/>
      <c r="C1206" s="169"/>
      <c r="D1206" s="169"/>
      <c r="E1206" s="169"/>
      <c r="F1206" s="169"/>
      <c r="G1206" s="169"/>
      <c r="H1206" s="169"/>
      <c r="I1206" s="169"/>
      <c r="J1206" s="169"/>
      <c r="K1206" s="169"/>
      <c r="L1206" s="169"/>
      <c r="M1206" s="169"/>
      <c r="N1206" s="169"/>
      <c r="O1206" s="169"/>
      <c r="P1206" s="169"/>
      <c r="Q1206" s="169"/>
      <c r="R1206" s="169"/>
      <c r="S1206" s="169"/>
      <c r="T1206" s="169"/>
      <c r="U1206" s="169"/>
      <c r="V1206" s="169"/>
      <c r="W1206" s="169"/>
      <c r="X1206" s="131">
        <f>X1205-L1203</f>
        <v>0.33907367088249885</v>
      </c>
      <c r="Y1206" s="166">
        <f>L1203*Y1205</f>
        <v>127811.67328660042</v>
      </c>
      <c r="Z1206" s="166">
        <f>L1203*Z1205</f>
        <v>17903.208153344454</v>
      </c>
      <c r="AA1206" s="166">
        <f>L1203*AA1205</f>
        <v>72683.708492769816</v>
      </c>
      <c r="AB1206" s="110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</row>
    <row r="1207" spans="1:47">
      <c r="A1207" s="169" t="s">
        <v>306</v>
      </c>
      <c r="B1207" s="169"/>
      <c r="C1207" s="169"/>
      <c r="D1207" s="169"/>
      <c r="E1207" s="169"/>
      <c r="F1207" s="169"/>
      <c r="G1207" s="169"/>
      <c r="H1207" s="169"/>
      <c r="I1207" s="169"/>
      <c r="J1207" s="169"/>
      <c r="K1207" s="169"/>
      <c r="L1207" s="169"/>
      <c r="M1207" s="169"/>
      <c r="N1207" s="169"/>
      <c r="O1207" s="169"/>
      <c r="P1207" s="169"/>
      <c r="Q1207" s="169"/>
      <c r="R1207" s="169"/>
      <c r="S1207" s="169"/>
      <c r="T1207" s="169"/>
      <c r="U1207" s="169"/>
      <c r="V1207" s="169"/>
      <c r="W1207" s="169"/>
      <c r="X1207" s="169"/>
      <c r="Y1207" s="53"/>
      <c r="Z1207" s="110"/>
      <c r="AA1207" s="110"/>
      <c r="AB1207" s="110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</row>
    <row r="1208" spans="1:47">
      <c r="A1208" s="169"/>
      <c r="B1208" s="169"/>
      <c r="C1208" s="169"/>
      <c r="D1208" s="338"/>
      <c r="E1208" s="169"/>
      <c r="F1208" s="169"/>
      <c r="G1208" s="338"/>
      <c r="H1208" s="169"/>
      <c r="I1208" s="169"/>
      <c r="J1208" s="338"/>
      <c r="K1208" s="169"/>
      <c r="L1208" s="169"/>
      <c r="M1208" s="169"/>
      <c r="N1208" s="338"/>
      <c r="O1208" s="169"/>
      <c r="P1208" s="169"/>
      <c r="Q1208" s="169"/>
      <c r="R1208" s="338"/>
      <c r="S1208" s="169"/>
      <c r="T1208" s="169"/>
      <c r="U1208" s="169"/>
      <c r="V1208" s="338"/>
      <c r="W1208" s="169"/>
      <c r="X1208" s="169"/>
      <c r="Y1208" s="53"/>
      <c r="Z1208" s="110"/>
      <c r="AA1208" s="110"/>
      <c r="AB1208" s="110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</row>
    <row r="1209" spans="1:47">
      <c r="A1209" s="169" t="s">
        <v>279</v>
      </c>
      <c r="B1209" s="169"/>
      <c r="C1209" s="189"/>
      <c r="D1209" s="193"/>
      <c r="E1209" s="169"/>
      <c r="F1209" s="131">
        <v>0</v>
      </c>
      <c r="G1209" s="193"/>
      <c r="H1209" s="169"/>
      <c r="I1209" s="131">
        <v>0</v>
      </c>
      <c r="J1209" s="193"/>
      <c r="K1209" s="169"/>
      <c r="L1209" s="131">
        <f>I1209</f>
        <v>0</v>
      </c>
      <c r="M1209" s="131"/>
      <c r="N1209" s="193"/>
      <c r="O1209" s="169"/>
      <c r="P1209" s="131">
        <v>0</v>
      </c>
      <c r="Q1209" s="131"/>
      <c r="R1209" s="193"/>
      <c r="S1209" s="169"/>
      <c r="T1209" s="131">
        <v>0</v>
      </c>
      <c r="U1209" s="131"/>
      <c r="V1209" s="193"/>
      <c r="W1209" s="169"/>
      <c r="X1209" s="131">
        <v>0</v>
      </c>
      <c r="Y1209" s="53"/>
      <c r="Z1209" s="110"/>
      <c r="AA1209" s="110"/>
      <c r="AB1209" s="110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</row>
    <row r="1210" spans="1:47">
      <c r="A1210" s="169" t="s">
        <v>307</v>
      </c>
      <c r="B1210" s="169"/>
      <c r="C1210" s="129">
        <v>0</v>
      </c>
      <c r="D1210" s="335">
        <v>6.8330000000000002</v>
      </c>
      <c r="E1210" s="169" t="s">
        <v>107</v>
      </c>
      <c r="F1210" s="384">
        <f>ROUND(C1210*D1210/100,0)</f>
        <v>0</v>
      </c>
      <c r="G1210" s="335">
        <v>6.8330000000000002</v>
      </c>
      <c r="H1210" s="169" t="s">
        <v>107</v>
      </c>
      <c r="I1210" s="384">
        <f>ROUND(G1210*C1210/100,0)</f>
        <v>0</v>
      </c>
      <c r="J1210" s="335">
        <v>6.9260000000000002</v>
      </c>
      <c r="K1210" s="169" t="s">
        <v>107</v>
      </c>
      <c r="L1210" s="131">
        <f>ROUND(C1210*J1210/100,0)</f>
        <v>0</v>
      </c>
      <c r="M1210" s="131"/>
      <c r="N1210" s="335">
        <v>4.0532323487019424</v>
      </c>
      <c r="O1210" s="169" t="s">
        <v>107</v>
      </c>
      <c r="P1210" s="131">
        <v>46730.566926977917</v>
      </c>
      <c r="Q1210" s="131"/>
      <c r="R1210" s="335">
        <v>0.56775614125605689</v>
      </c>
      <c r="S1210" s="169" t="s">
        <v>107</v>
      </c>
      <c r="T1210" s="131">
        <v>6545.7797813307443</v>
      </c>
      <c r="U1210" s="131"/>
      <c r="V1210" s="335">
        <v>2.3039847553901214</v>
      </c>
      <c r="W1210" s="169" t="s">
        <v>107</v>
      </c>
      <c r="X1210" s="131">
        <v>26574.653291691338</v>
      </c>
      <c r="Y1210" s="53"/>
      <c r="Z1210" s="110"/>
      <c r="AA1210" s="110"/>
      <c r="AB1210" s="110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</row>
    <row r="1211" spans="1:47">
      <c r="A1211" s="169" t="s">
        <v>308</v>
      </c>
      <c r="B1211" s="169"/>
      <c r="C1211" s="129">
        <v>1152921</v>
      </c>
      <c r="D1211" s="389">
        <v>6.8330000000000002</v>
      </c>
      <c r="E1211" s="169" t="s">
        <v>107</v>
      </c>
      <c r="F1211" s="384">
        <f>ROUND(C1211*D1211/100,0)</f>
        <v>78779</v>
      </c>
      <c r="G1211" s="389">
        <v>6.8330000000000002</v>
      </c>
      <c r="H1211" s="169" t="s">
        <v>107</v>
      </c>
      <c r="I1211" s="384">
        <f>ROUND(G1211*C1211/100,0)</f>
        <v>78779</v>
      </c>
      <c r="J1211" s="389">
        <f>J1210</f>
        <v>6.9260000000000002</v>
      </c>
      <c r="K1211" s="169" t="s">
        <v>107</v>
      </c>
      <c r="L1211" s="131">
        <f>ROUND(J1211*$C1211/100,0)</f>
        <v>79851</v>
      </c>
      <c r="M1211" s="131"/>
      <c r="N1211" s="389">
        <f>N1210</f>
        <v>4.0532323487019424</v>
      </c>
      <c r="O1211" s="169" t="s">
        <v>107</v>
      </c>
      <c r="P1211" s="131">
        <v>0</v>
      </c>
      <c r="Q1211" s="131"/>
      <c r="R1211" s="389">
        <f>R1210</f>
        <v>0.56775614125605689</v>
      </c>
      <c r="S1211" s="169" t="s">
        <v>107</v>
      </c>
      <c r="T1211" s="131">
        <v>0</v>
      </c>
      <c r="U1211" s="131"/>
      <c r="V1211" s="389">
        <f>V1210</f>
        <v>2.3039847553901214</v>
      </c>
      <c r="W1211" s="169" t="s">
        <v>107</v>
      </c>
      <c r="X1211" s="131">
        <v>0</v>
      </c>
      <c r="Y1211" s="53"/>
      <c r="Z1211" s="110"/>
      <c r="AA1211" s="110"/>
      <c r="AB1211" s="110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</row>
    <row r="1212" spans="1:47">
      <c r="A1212" s="169" t="s">
        <v>109</v>
      </c>
      <c r="B1212" s="169"/>
      <c r="C1212" s="129">
        <v>1259</v>
      </c>
      <c r="D1212" s="385"/>
      <c r="E1212" s="169"/>
      <c r="F1212" s="131"/>
      <c r="G1212" s="385"/>
      <c r="H1212" s="169"/>
      <c r="I1212" s="131"/>
      <c r="J1212" s="385"/>
      <c r="K1212" s="169"/>
      <c r="L1212" s="131"/>
      <c r="M1212" s="131"/>
      <c r="N1212" s="385"/>
      <c r="O1212" s="169"/>
      <c r="P1212" s="131"/>
      <c r="Q1212" s="131"/>
      <c r="R1212" s="385"/>
      <c r="S1212" s="169"/>
      <c r="T1212" s="131"/>
      <c r="U1212" s="131"/>
      <c r="V1212" s="385"/>
      <c r="W1212" s="169"/>
      <c r="X1212" s="131"/>
      <c r="Y1212" s="53"/>
      <c r="Z1212" s="110"/>
      <c r="AA1212" s="110"/>
      <c r="AB1212" s="110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</row>
    <row r="1213" spans="1:47" s="141" customFormat="1" hidden="1">
      <c r="A1213" s="140" t="s">
        <v>276</v>
      </c>
      <c r="C1213" s="142">
        <f>C1214</f>
        <v>1152921</v>
      </c>
      <c r="D1213" s="138"/>
      <c r="E1213" s="143"/>
      <c r="F1213" s="144"/>
      <c r="G1213" s="138"/>
      <c r="H1213" s="143"/>
      <c r="I1213" s="144"/>
      <c r="J1213" s="145">
        <v>0</v>
      </c>
      <c r="K1213" s="146" t="s">
        <v>107</v>
      </c>
      <c r="L1213" s="283">
        <f>ROUND(J1213*$C1213/100,0)</f>
        <v>0</v>
      </c>
      <c r="M1213" s="283"/>
      <c r="N1213" s="145" t="s">
        <v>0</v>
      </c>
      <c r="O1213" s="146" t="s">
        <v>0</v>
      </c>
      <c r="P1213" s="131">
        <v>0</v>
      </c>
      <c r="Q1213" s="283"/>
      <c r="R1213" s="145" t="s">
        <v>0</v>
      </c>
      <c r="S1213" s="146" t="s">
        <v>0</v>
      </c>
      <c r="T1213" s="131">
        <v>0</v>
      </c>
      <c r="U1213" s="283"/>
      <c r="V1213" s="145">
        <v>0</v>
      </c>
      <c r="W1213" s="146" t="s">
        <v>107</v>
      </c>
      <c r="X1213" s="283">
        <f>ROUND(V1213*$C1213/100,0)</f>
        <v>0</v>
      </c>
      <c r="Z1213" s="132"/>
      <c r="AC1213" s="148"/>
      <c r="AD1213" s="148"/>
      <c r="AI1213" s="143"/>
      <c r="AJ1213" s="143"/>
      <c r="AK1213" s="143"/>
      <c r="AL1213" s="143"/>
      <c r="AM1213" s="143"/>
      <c r="AN1213" s="143"/>
      <c r="AO1213" s="143"/>
      <c r="AP1213" s="143"/>
      <c r="AQ1213" s="143"/>
      <c r="AR1213" s="143"/>
      <c r="AS1213" s="143"/>
      <c r="AU1213" s="147"/>
    </row>
    <row r="1214" spans="1:47">
      <c r="A1214" s="111" t="s">
        <v>283</v>
      </c>
      <c r="C1214" s="129">
        <f>C1210+C1211</f>
        <v>1152921</v>
      </c>
      <c r="D1214" s="138"/>
      <c r="E1214" s="53"/>
      <c r="F1214" s="151">
        <f>SUM(F1209:F1211)</f>
        <v>78779</v>
      </c>
      <c r="G1214" s="138"/>
      <c r="H1214" s="53"/>
      <c r="I1214" s="151">
        <f>SUM(I1209:I1211)</f>
        <v>78779</v>
      </c>
      <c r="J1214" s="138"/>
      <c r="K1214" s="53"/>
      <c r="L1214" s="151">
        <f>SUM(L1209:L1213)</f>
        <v>79851</v>
      </c>
      <c r="M1214" s="151"/>
      <c r="N1214" s="138"/>
      <c r="O1214" s="53"/>
      <c r="P1214" s="151">
        <f>SUM(P1209:P1213)</f>
        <v>46730.566926977917</v>
      </c>
      <c r="Q1214" s="151"/>
      <c r="R1214" s="138"/>
      <c r="S1214" s="53"/>
      <c r="T1214" s="151">
        <f>SUM(T1209:T1213)</f>
        <v>6545.7797813307443</v>
      </c>
      <c r="U1214" s="151"/>
      <c r="V1214" s="138"/>
      <c r="W1214" s="53"/>
      <c r="X1214" s="151">
        <f>SUM(X1209:X1213)</f>
        <v>26574.653291691338</v>
      </c>
      <c r="Y1214" s="53"/>
      <c r="Z1214" s="110"/>
      <c r="AA1214" s="110"/>
      <c r="AB1214" s="110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</row>
    <row r="1215" spans="1:47">
      <c r="A1215" s="111" t="s">
        <v>284</v>
      </c>
      <c r="C1215" s="129">
        <v>-112849.8625519293</v>
      </c>
      <c r="D1215" s="138"/>
      <c r="E1215" s="53"/>
      <c r="F1215" s="151">
        <f>I1215</f>
        <v>-7756.9963437655988</v>
      </c>
      <c r="G1215" s="138"/>
      <c r="H1215" s="53"/>
      <c r="I1215" s="151">
        <v>-7756.9963437655988</v>
      </c>
      <c r="J1215" s="138"/>
      <c r="K1215" s="53"/>
      <c r="L1215" s="151">
        <f>I1215</f>
        <v>-7756.9963437655988</v>
      </c>
      <c r="M1215" s="151"/>
      <c r="N1215" s="138"/>
      <c r="O1215" s="53"/>
      <c r="P1215" s="151">
        <f>$L$1215*Y1176/($Y$1176+$Z$1176+$AA$1176)</f>
        <v>-4539.5654004916832</v>
      </c>
      <c r="Q1215" s="153"/>
      <c r="R1215" s="154"/>
      <c r="S1215" s="154"/>
      <c r="T1215" s="151">
        <f>$L$1215*Z1176/($Y$1176+$Z$1176+$AA$1176)</f>
        <v>-635.87919789204102</v>
      </c>
      <c r="U1215" s="153"/>
      <c r="V1215" s="154"/>
      <c r="W1215" s="154"/>
      <c r="X1215" s="151">
        <f>$L$1215*AA1176/($Y$1176+$Z$1176+$AA$1176)</f>
        <v>-2581.5517453818752</v>
      </c>
      <c r="Y1215" s="185"/>
      <c r="Z1215" s="183"/>
      <c r="AA1215" s="110"/>
      <c r="AB1215" s="110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</row>
    <row r="1216" spans="1:47" ht="16.5" thickBot="1">
      <c r="A1216" s="169" t="s">
        <v>112</v>
      </c>
      <c r="B1216" s="169"/>
      <c r="C1216" s="343">
        <f>C1214+C1215</f>
        <v>1040071.1374480707</v>
      </c>
      <c r="D1216" s="386"/>
      <c r="E1216" s="387"/>
      <c r="F1216" s="157">
        <f>F1214+F1215</f>
        <v>71022.003656234403</v>
      </c>
      <c r="G1216" s="388"/>
      <c r="H1216" s="258"/>
      <c r="I1216" s="157">
        <f>I1214+I1215</f>
        <v>71022.003656234403</v>
      </c>
      <c r="J1216" s="388"/>
      <c r="K1216" s="258"/>
      <c r="L1216" s="157">
        <f>L1214+L1215</f>
        <v>72094.003656234403</v>
      </c>
      <c r="M1216" s="158"/>
      <c r="N1216" s="388"/>
      <c r="O1216" s="258"/>
      <c r="P1216" s="157">
        <f>P1214+P1215</f>
        <v>42191.00152648623</v>
      </c>
      <c r="Q1216" s="158"/>
      <c r="R1216" s="388"/>
      <c r="S1216" s="258"/>
      <c r="T1216" s="157">
        <f>T1214+T1215</f>
        <v>5909.9005834387035</v>
      </c>
      <c r="U1216" s="158"/>
      <c r="V1216" s="388"/>
      <c r="W1216" s="258"/>
      <c r="X1216" s="157">
        <f>X1214+X1215</f>
        <v>23993.101546309463</v>
      </c>
      <c r="Y1216" s="186"/>
      <c r="Z1216" s="187"/>
      <c r="AA1216" s="110"/>
      <c r="AB1216" s="110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</row>
    <row r="1217" spans="1:47" ht="16.5" thickTop="1">
      <c r="A1217" s="391" t="s">
        <v>114</v>
      </c>
      <c r="B1217" s="169"/>
      <c r="C1217" s="308"/>
      <c r="D1217" s="392"/>
      <c r="E1217" s="264"/>
      <c r="F1217" s="153"/>
      <c r="G1217" s="392"/>
      <c r="H1217" s="264"/>
      <c r="I1217" s="153"/>
      <c r="J1217" s="392"/>
      <c r="K1217" s="264"/>
      <c r="L1217" s="153"/>
      <c r="M1217" s="153"/>
      <c r="N1217" s="392"/>
      <c r="O1217" s="264"/>
      <c r="P1217" s="153"/>
      <c r="Q1217" s="153"/>
      <c r="R1217" s="392"/>
      <c r="S1217" s="264"/>
      <c r="T1217" s="153"/>
      <c r="U1217" s="153"/>
      <c r="V1217" s="392"/>
      <c r="W1217" s="264"/>
      <c r="X1217" s="153"/>
      <c r="Y1217" s="186"/>
      <c r="Z1217" s="187"/>
      <c r="AA1217" s="110"/>
      <c r="AB1217" s="110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</row>
    <row r="1218" spans="1:47">
      <c r="A1218" s="169"/>
      <c r="B1218" s="169"/>
      <c r="C1218" s="308"/>
      <c r="D1218" s="392"/>
      <c r="E1218" s="264"/>
      <c r="F1218" s="153"/>
      <c r="G1218" s="392"/>
      <c r="H1218" s="264"/>
      <c r="I1218" s="153"/>
      <c r="J1218" s="392"/>
      <c r="K1218" s="264"/>
      <c r="L1218" s="153"/>
      <c r="M1218" s="153"/>
      <c r="N1218" s="392"/>
      <c r="O1218" s="264"/>
      <c r="P1218" s="153"/>
      <c r="Q1218" s="153"/>
      <c r="R1218" s="392"/>
      <c r="S1218" s="264"/>
      <c r="T1218" s="153"/>
      <c r="U1218" s="153"/>
      <c r="V1218" s="392"/>
      <c r="W1218" s="264"/>
      <c r="X1218" s="153"/>
      <c r="Y1218" s="173">
        <f>Y1175</f>
        <v>0.58522206267896359</v>
      </c>
      <c r="Z1218" s="173">
        <f t="shared" ref="Z1218:AA1218" si="261">Z1175</f>
        <v>8.1974925565500054E-2</v>
      </c>
      <c r="AA1218" s="173">
        <f t="shared" si="261"/>
        <v>0.33280301175553639</v>
      </c>
      <c r="AB1218" s="110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</row>
    <row r="1219" spans="1:47" hidden="1">
      <c r="A1219" s="169"/>
      <c r="B1219" s="169"/>
      <c r="C1219" s="308"/>
      <c r="D1219" s="392"/>
      <c r="E1219" s="264"/>
      <c r="F1219" s="153"/>
      <c r="G1219" s="392"/>
      <c r="H1219" s="264"/>
      <c r="I1219" s="153"/>
      <c r="J1219" s="392"/>
      <c r="K1219" s="264"/>
      <c r="L1219" s="153"/>
      <c r="M1219" s="153"/>
      <c r="N1219" s="392"/>
      <c r="O1219" s="264"/>
      <c r="P1219" s="153"/>
      <c r="Q1219" s="153"/>
      <c r="R1219" s="392"/>
      <c r="S1219" s="264"/>
      <c r="T1219" s="153"/>
      <c r="U1219" s="153"/>
      <c r="V1219" s="392"/>
      <c r="W1219" s="264"/>
      <c r="X1219" s="153"/>
      <c r="Y1219" s="166">
        <f>L1216*Y1218</f>
        <v>42191.001526486238</v>
      </c>
      <c r="Z1219" s="166">
        <f>L1216*Z1218</f>
        <v>5909.9005834387035</v>
      </c>
      <c r="AA1219" s="166">
        <f>L1216*AA1218</f>
        <v>23993.101546309463</v>
      </c>
      <c r="AB1219" s="110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</row>
    <row r="1220" spans="1:47" hidden="1">
      <c r="A1220" s="169"/>
      <c r="B1220" s="169"/>
      <c r="C1220" s="308"/>
      <c r="D1220" s="392" t="s">
        <v>0</v>
      </c>
      <c r="E1220" s="264"/>
      <c r="F1220" s="153"/>
      <c r="G1220" s="392" t="s">
        <v>0</v>
      </c>
      <c r="H1220" s="264"/>
      <c r="I1220" s="153"/>
      <c r="J1220" s="392" t="s">
        <v>0</v>
      </c>
      <c r="K1220" s="264"/>
      <c r="L1220" s="153" t="s">
        <v>0</v>
      </c>
      <c r="M1220" s="153"/>
      <c r="N1220" s="392" t="s">
        <v>0</v>
      </c>
      <c r="O1220" s="264"/>
      <c r="P1220" s="153" t="s">
        <v>0</v>
      </c>
      <c r="Q1220" s="153"/>
      <c r="R1220" s="392" t="s">
        <v>0</v>
      </c>
      <c r="S1220" s="264"/>
      <c r="T1220" s="153" t="s">
        <v>0</v>
      </c>
      <c r="U1220" s="153"/>
      <c r="V1220" s="392" t="s">
        <v>0</v>
      </c>
      <c r="W1220" s="264"/>
      <c r="X1220" s="153" t="s">
        <v>0</v>
      </c>
      <c r="Y1220" s="53"/>
      <c r="Z1220" s="110"/>
      <c r="AA1220" s="110"/>
      <c r="AB1220" s="110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</row>
    <row r="1221" spans="1:47">
      <c r="A1221" s="188" t="s">
        <v>309</v>
      </c>
      <c r="B1221" s="169"/>
      <c r="C1221" s="169"/>
      <c r="D1221" s="169"/>
      <c r="E1221" s="169"/>
      <c r="F1221" s="169"/>
      <c r="G1221" s="169"/>
      <c r="H1221" s="169"/>
      <c r="I1221" s="169"/>
      <c r="J1221" s="169"/>
      <c r="K1221" s="169"/>
      <c r="L1221" s="169" t="s">
        <v>0</v>
      </c>
      <c r="M1221" s="169"/>
      <c r="N1221" s="169"/>
      <c r="O1221" s="169"/>
      <c r="P1221" s="169" t="s">
        <v>0</v>
      </c>
      <c r="Q1221" s="169"/>
      <c r="R1221" s="169"/>
      <c r="S1221" s="169"/>
      <c r="T1221" s="169" t="s">
        <v>0</v>
      </c>
      <c r="U1221" s="169"/>
      <c r="V1221" s="169"/>
      <c r="W1221" s="169"/>
      <c r="X1221" s="169" t="s">
        <v>0</v>
      </c>
      <c r="Y1221" s="53"/>
      <c r="Z1221" s="110"/>
      <c r="AA1221" s="110"/>
      <c r="AB1221" s="110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</row>
    <row r="1222" spans="1:47">
      <c r="A1222" s="169" t="s">
        <v>59</v>
      </c>
      <c r="B1222" s="169"/>
      <c r="C1222" s="169"/>
      <c r="D1222" s="169"/>
      <c r="E1222" s="169"/>
      <c r="F1222" s="169"/>
      <c r="G1222" s="169"/>
      <c r="H1222" s="169"/>
      <c r="I1222" s="169"/>
      <c r="J1222" s="169"/>
      <c r="K1222" s="169"/>
      <c r="L1222" s="169"/>
      <c r="M1222" s="169"/>
      <c r="N1222" s="169"/>
      <c r="O1222" s="169"/>
      <c r="P1222" s="169"/>
      <c r="Q1222" s="169"/>
      <c r="R1222" s="169"/>
      <c r="S1222" s="169"/>
      <c r="T1222" s="169"/>
      <c r="U1222" s="169"/>
      <c r="V1222" s="169"/>
      <c r="W1222" s="169"/>
      <c r="X1222" s="169"/>
      <c r="Y1222" s="53"/>
      <c r="Z1222" s="110"/>
      <c r="AA1222" s="110"/>
      <c r="AB1222" s="110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</row>
    <row r="1223" spans="1:47">
      <c r="A1223" s="169"/>
      <c r="B1223" s="169"/>
      <c r="C1223" s="169"/>
      <c r="D1223" s="169"/>
      <c r="E1223" s="169"/>
      <c r="F1223" s="169"/>
      <c r="G1223" s="169"/>
      <c r="H1223" s="169"/>
      <c r="I1223" s="169"/>
      <c r="J1223" s="169"/>
      <c r="K1223" s="169"/>
      <c r="L1223" s="169"/>
      <c r="M1223" s="169"/>
      <c r="N1223" s="169"/>
      <c r="O1223" s="169"/>
      <c r="P1223" s="169"/>
      <c r="Q1223" s="169"/>
      <c r="R1223" s="169"/>
      <c r="S1223" s="169"/>
      <c r="T1223" s="169"/>
      <c r="U1223" s="169"/>
      <c r="V1223" s="169"/>
      <c r="W1223" s="169"/>
      <c r="X1223" s="169"/>
      <c r="Y1223" s="53"/>
      <c r="Z1223" s="110"/>
      <c r="AA1223" s="110"/>
      <c r="AB1223" s="110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</row>
    <row r="1224" spans="1:47">
      <c r="A1224" s="169" t="s">
        <v>310</v>
      </c>
      <c r="B1224" s="169"/>
      <c r="C1224" s="189">
        <v>178</v>
      </c>
      <c r="D1224" s="193">
        <v>3.75</v>
      </c>
      <c r="E1224" s="169"/>
      <c r="F1224" s="131">
        <f>ROUND(D1224*C1224,0)</f>
        <v>668</v>
      </c>
      <c r="G1224" s="193">
        <v>3.75</v>
      </c>
      <c r="H1224" s="169"/>
      <c r="I1224" s="131">
        <f>ROUND(C1224*G1224,0)</f>
        <v>668</v>
      </c>
      <c r="J1224" s="193">
        <v>3.75</v>
      </c>
      <c r="K1224" s="169"/>
      <c r="L1224" s="131">
        <f>ROUND(J1224*$C1224,0)</f>
        <v>668</v>
      </c>
      <c r="M1224" s="131"/>
      <c r="N1224" s="193">
        <v>3.75</v>
      </c>
      <c r="O1224" s="169"/>
      <c r="P1224" s="131">
        <v>668</v>
      </c>
      <c r="Q1224" s="131"/>
      <c r="R1224" s="193" t="s">
        <v>0</v>
      </c>
      <c r="S1224" s="169"/>
      <c r="T1224" s="131">
        <v>0</v>
      </c>
      <c r="U1224" s="131"/>
      <c r="V1224" s="193" t="s">
        <v>0</v>
      </c>
      <c r="W1224" s="169"/>
      <c r="X1224" s="131">
        <v>0</v>
      </c>
      <c r="Y1224" s="53"/>
      <c r="Z1224" s="394"/>
      <c r="AA1224" s="394"/>
      <c r="AB1224" s="394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</row>
    <row r="1225" spans="1:47">
      <c r="A1225" s="169" t="s">
        <v>311</v>
      </c>
      <c r="B1225" s="169"/>
      <c r="C1225" s="189">
        <v>181.73333333333301</v>
      </c>
      <c r="D1225" s="193">
        <v>6.75</v>
      </c>
      <c r="E1225" s="169"/>
      <c r="F1225" s="131">
        <f>ROUND(D1225*C1225,0)</f>
        <v>1227</v>
      </c>
      <c r="G1225" s="193">
        <v>6.75</v>
      </c>
      <c r="H1225" s="169"/>
      <c r="I1225" s="131">
        <f>ROUND(C1225*G1225,0)</f>
        <v>1227</v>
      </c>
      <c r="J1225" s="193">
        <v>6.75</v>
      </c>
      <c r="K1225" s="169"/>
      <c r="L1225" s="131">
        <f>ROUND(J1225*$C1225,0)</f>
        <v>1227</v>
      </c>
      <c r="M1225" s="131"/>
      <c r="N1225" s="193">
        <v>6.75</v>
      </c>
      <c r="O1225" s="169"/>
      <c r="P1225" s="131">
        <v>1227</v>
      </c>
      <c r="Q1225" s="131"/>
      <c r="R1225" s="193" t="s">
        <v>0</v>
      </c>
      <c r="S1225" s="169"/>
      <c r="T1225" s="131">
        <v>0</v>
      </c>
      <c r="U1225" s="131"/>
      <c r="V1225" s="193" t="s">
        <v>0</v>
      </c>
      <c r="W1225" s="169"/>
      <c r="X1225" s="131">
        <v>0</v>
      </c>
      <c r="Y1225" s="53"/>
      <c r="Z1225" s="394"/>
      <c r="AA1225" s="394"/>
      <c r="AB1225" s="394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</row>
    <row r="1226" spans="1:47">
      <c r="A1226" s="169" t="s">
        <v>312</v>
      </c>
      <c r="B1226" s="169"/>
      <c r="C1226" s="189">
        <f>SUM(C1224:C1225)</f>
        <v>359.73333333333301</v>
      </c>
      <c r="D1226" s="287"/>
      <c r="E1226" s="169"/>
      <c r="F1226" s="384"/>
      <c r="G1226" s="287"/>
      <c r="H1226" s="169"/>
      <c r="I1226" s="384"/>
      <c r="J1226" s="287"/>
      <c r="K1226" s="169"/>
      <c r="L1226" s="131"/>
      <c r="M1226" s="131"/>
      <c r="N1226" s="287"/>
      <c r="O1226" s="169"/>
      <c r="P1226" s="131"/>
      <c r="Q1226" s="131"/>
      <c r="R1226" s="287"/>
      <c r="S1226" s="169"/>
      <c r="T1226" s="131"/>
      <c r="U1226" s="131"/>
      <c r="V1226" s="287"/>
      <c r="W1226" s="169"/>
      <c r="X1226" s="131"/>
      <c r="Y1226" s="53"/>
      <c r="Z1226" s="394"/>
      <c r="AA1226" s="394"/>
      <c r="AB1226" s="394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</row>
    <row r="1227" spans="1:47">
      <c r="A1227" s="169" t="s">
        <v>222</v>
      </c>
      <c r="B1227" s="169"/>
      <c r="C1227" s="189">
        <v>295386</v>
      </c>
      <c r="D1227" s="297">
        <v>8.1110000000000007</v>
      </c>
      <c r="E1227" s="169" t="s">
        <v>107</v>
      </c>
      <c r="F1227" s="384">
        <f>ROUND(C1227*D1227/100,0)</f>
        <v>23959</v>
      </c>
      <c r="G1227" s="297">
        <v>8.1110000000000007</v>
      </c>
      <c r="H1227" s="131" t="s">
        <v>107</v>
      </c>
      <c r="I1227" s="384">
        <f>ROUND(G1227*C1227/100,0)</f>
        <v>23959</v>
      </c>
      <c r="J1227" s="297">
        <v>8.2409999999999997</v>
      </c>
      <c r="K1227" s="131" t="s">
        <v>107</v>
      </c>
      <c r="L1227" s="131">
        <f>ROUND(J1227*$C1227/100,0)</f>
        <v>24343</v>
      </c>
      <c r="M1227" s="131"/>
      <c r="N1227" s="297">
        <v>4.5567685945070675</v>
      </c>
      <c r="O1227" s="131" t="s">
        <v>107</v>
      </c>
      <c r="P1227" s="131">
        <v>13460.056480570647</v>
      </c>
      <c r="Q1227" s="131"/>
      <c r="R1227" s="297">
        <v>0.7281516717067128</v>
      </c>
      <c r="S1227" s="131" t="s">
        <v>107</v>
      </c>
      <c r="T1227" s="131">
        <v>2150.8580969875907</v>
      </c>
      <c r="U1227" s="131"/>
      <c r="V1227" s="297">
        <v>2.9561608953849414</v>
      </c>
      <c r="W1227" s="131" t="s">
        <v>107</v>
      </c>
      <c r="X1227" s="131">
        <v>8732.0854224417635</v>
      </c>
      <c r="Y1227" s="53"/>
      <c r="Z1227" s="394"/>
      <c r="AA1227" s="394"/>
      <c r="AB1227" s="394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</row>
    <row r="1228" spans="1:47" s="141" customFormat="1" hidden="1">
      <c r="A1228" s="140" t="s">
        <v>223</v>
      </c>
      <c r="C1228" s="142">
        <f>C1230</f>
        <v>295386</v>
      </c>
      <c r="D1228" s="138"/>
      <c r="E1228" s="143"/>
      <c r="F1228" s="144"/>
      <c r="G1228" s="138"/>
      <c r="H1228" s="143"/>
      <c r="I1228" s="144"/>
      <c r="J1228" s="145">
        <v>0</v>
      </c>
      <c r="K1228" s="283" t="s">
        <v>107</v>
      </c>
      <c r="L1228" s="283">
        <f>ROUND(J1228*$C1228/100,0)</f>
        <v>0</v>
      </c>
      <c r="M1228" s="283"/>
      <c r="N1228" s="145" t="s">
        <v>0</v>
      </c>
      <c r="O1228" s="146" t="s">
        <v>0</v>
      </c>
      <c r="P1228" s="131">
        <v>0</v>
      </c>
      <c r="Q1228" s="144"/>
      <c r="R1228" s="145" t="s">
        <v>0</v>
      </c>
      <c r="S1228" s="146" t="s">
        <v>0</v>
      </c>
      <c r="T1228" s="131">
        <v>0</v>
      </c>
      <c r="U1228" s="144"/>
      <c r="V1228" s="145">
        <v>0</v>
      </c>
      <c r="W1228" s="146" t="s">
        <v>107</v>
      </c>
      <c r="X1228" s="131">
        <v>0</v>
      </c>
      <c r="Y1228" s="147">
        <v>6802.2580688136959</v>
      </c>
      <c r="Z1228" s="132" t="s">
        <v>108</v>
      </c>
      <c r="AC1228" s="148"/>
      <c r="AD1228" s="148"/>
      <c r="AI1228" s="143"/>
      <c r="AJ1228" s="143"/>
      <c r="AK1228" s="143"/>
      <c r="AL1228" s="143"/>
      <c r="AM1228" s="143"/>
      <c r="AN1228" s="143"/>
      <c r="AO1228" s="143"/>
      <c r="AP1228" s="143"/>
      <c r="AQ1228" s="143"/>
      <c r="AR1228" s="143"/>
      <c r="AS1228" s="143"/>
      <c r="AU1228" s="147"/>
    </row>
    <row r="1229" spans="1:47" s="141" customFormat="1" hidden="1">
      <c r="A1229" s="202" t="s">
        <v>282</v>
      </c>
      <c r="B1229" s="203"/>
      <c r="C1229" s="368"/>
      <c r="D1229" s="205"/>
      <c r="E1229" s="206"/>
      <c r="F1229" s="207"/>
      <c r="G1229" s="298">
        <f>G1227</f>
        <v>8.1110000000000007</v>
      </c>
      <c r="H1229" s="207" t="s">
        <v>107</v>
      </c>
      <c r="I1229" s="207"/>
      <c r="J1229" s="298">
        <f>J1227+J1228</f>
        <v>8.2409999999999997</v>
      </c>
      <c r="K1229" s="207" t="s">
        <v>107</v>
      </c>
      <c r="L1229" s="299"/>
      <c r="M1229" s="299"/>
      <c r="N1229" s="298">
        <f>N1227+N1228</f>
        <v>4.5567685945070675</v>
      </c>
      <c r="O1229" s="207" t="s">
        <v>107</v>
      </c>
      <c r="P1229" s="299"/>
      <c r="Q1229" s="299"/>
      <c r="R1229" s="298">
        <f>R1227+R1228</f>
        <v>0.7281516717067128</v>
      </c>
      <c r="S1229" s="207" t="s">
        <v>107</v>
      </c>
      <c r="T1229" s="299"/>
      <c r="U1229" s="299"/>
      <c r="V1229" s="298">
        <f>V1227+V1228</f>
        <v>2.9561608953849414</v>
      </c>
      <c r="W1229" s="207" t="s">
        <v>107</v>
      </c>
      <c r="X1229" s="299"/>
      <c r="Y1229" s="147"/>
      <c r="Z1229" s="132"/>
      <c r="AA1229" s="314"/>
      <c r="AC1229" s="148"/>
      <c r="AD1229" s="148"/>
      <c r="AI1229" s="143"/>
      <c r="AJ1229" s="143"/>
      <c r="AK1229" s="143"/>
      <c r="AL1229" s="143"/>
      <c r="AM1229" s="143"/>
      <c r="AN1229" s="143"/>
      <c r="AO1229" s="143"/>
      <c r="AP1229" s="143"/>
      <c r="AQ1229" s="143"/>
      <c r="AR1229" s="143"/>
      <c r="AS1229" s="143"/>
      <c r="AU1229" s="147"/>
    </row>
    <row r="1230" spans="1:47">
      <c r="A1230" s="169" t="s">
        <v>133</v>
      </c>
      <c r="B1230" s="169"/>
      <c r="C1230" s="227">
        <f>SUM(C1227)</f>
        <v>295386</v>
      </c>
      <c r="D1230" s="189"/>
      <c r="E1230" s="189"/>
      <c r="F1230" s="384">
        <f>SUM(F1224:F1227)</f>
        <v>25854</v>
      </c>
      <c r="G1230" s="189"/>
      <c r="H1230" s="131"/>
      <c r="I1230" s="384">
        <f>SUM(I1224:I1227)</f>
        <v>25854</v>
      </c>
      <c r="J1230" s="189"/>
      <c r="K1230" s="131"/>
      <c r="L1230" s="384">
        <f>SUM(L1224:L1229)</f>
        <v>26238</v>
      </c>
      <c r="M1230" s="384"/>
      <c r="N1230" s="189"/>
      <c r="O1230" s="131"/>
      <c r="P1230" s="384">
        <f>SUM(P1224:P1229)</f>
        <v>15355.056480570647</v>
      </c>
      <c r="Q1230" s="384"/>
      <c r="R1230" s="189"/>
      <c r="S1230" s="131"/>
      <c r="T1230" s="384">
        <f>SUM(T1224:T1229)</f>
        <v>2150.8580969875907</v>
      </c>
      <c r="U1230" s="384"/>
      <c r="V1230" s="189"/>
      <c r="W1230" s="131"/>
      <c r="X1230" s="384">
        <f>SUM(X1224:X1229)</f>
        <v>8732.0854224417635</v>
      </c>
      <c r="Y1230" s="53"/>
      <c r="Z1230" s="110"/>
      <c r="AA1230" s="110"/>
      <c r="AB1230" s="110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</row>
    <row r="1231" spans="1:47">
      <c r="A1231" s="169" t="s">
        <v>111</v>
      </c>
      <c r="B1231" s="169"/>
      <c r="C1231" s="275">
        <v>-835.54696208078599</v>
      </c>
      <c r="D1231" s="395"/>
      <c r="E1231" s="395"/>
      <c r="F1231" s="396">
        <f>I1231</f>
        <v>-63.975508227073483</v>
      </c>
      <c r="G1231" s="397"/>
      <c r="H1231" s="397"/>
      <c r="I1231" s="396">
        <v>-63.975508227073483</v>
      </c>
      <c r="J1231" s="397"/>
      <c r="K1231" s="397"/>
      <c r="L1231" s="396">
        <f>I1231</f>
        <v>-63.975508227073483</v>
      </c>
      <c r="M1231" s="398"/>
      <c r="N1231" s="397"/>
      <c r="O1231" s="397"/>
      <c r="P1231" s="396">
        <f>$L$1231*Y1235/($Y$1235+$Z$1235+$AA$1235)</f>
        <v>-37.439878885582949</v>
      </c>
      <c r="Q1231" s="153"/>
      <c r="R1231" s="154"/>
      <c r="S1231" s="154"/>
      <c r="T1231" s="396">
        <f>$L$1231*Z1235/($Y$1235+$Z$1235+$AA$1235)</f>
        <v>-5.244387524929385</v>
      </c>
      <c r="U1231" s="153"/>
      <c r="V1231" s="154"/>
      <c r="W1231" s="154"/>
      <c r="X1231" s="396">
        <f>$L$1231*AA1235/($Y$1235+$Z$1235+$AA$1235)</f>
        <v>-21.291241816561151</v>
      </c>
      <c r="Y1231" s="306"/>
      <c r="Z1231" s="307"/>
      <c r="AA1231" s="110"/>
      <c r="AB1231" s="110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</row>
    <row r="1232" spans="1:47" ht="16.5" thickBot="1">
      <c r="A1232" s="169" t="s">
        <v>134</v>
      </c>
      <c r="B1232" s="169"/>
      <c r="C1232" s="293">
        <f>C1230+C1231</f>
        <v>294550.45303791919</v>
      </c>
      <c r="D1232" s="258"/>
      <c r="E1232" s="258"/>
      <c r="F1232" s="158">
        <f>F1230+F1231</f>
        <v>25790.024491772925</v>
      </c>
      <c r="G1232" s="258"/>
      <c r="H1232" s="258"/>
      <c r="I1232" s="158">
        <f>I1230+I1231</f>
        <v>25790.024491772925</v>
      </c>
      <c r="J1232" s="258"/>
      <c r="K1232" s="258"/>
      <c r="L1232" s="158">
        <f>L1230+L1231</f>
        <v>26174.024491772925</v>
      </c>
      <c r="M1232" s="158"/>
      <c r="N1232" s="258"/>
      <c r="O1232" s="258"/>
      <c r="P1232" s="158">
        <f>P1230+P1231</f>
        <v>15317.616601685064</v>
      </c>
      <c r="Q1232" s="158"/>
      <c r="R1232" s="258"/>
      <c r="S1232" s="258"/>
      <c r="T1232" s="158">
        <f>T1230+T1231</f>
        <v>2145.6137094626611</v>
      </c>
      <c r="U1232" s="158"/>
      <c r="V1232" s="258"/>
      <c r="W1232" s="258"/>
      <c r="X1232" s="158">
        <f>X1230+X1231</f>
        <v>8710.794180625202</v>
      </c>
      <c r="Y1232" s="376" t="s">
        <v>165</v>
      </c>
      <c r="Z1232" s="160">
        <v>26174.246384285834</v>
      </c>
      <c r="AA1232" s="161">
        <f>(L1232-I1232)/I1232</f>
        <v>1.4889477911217062E-2</v>
      </c>
      <c r="AB1232" s="110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</row>
    <row r="1233" spans="1:45" ht="16.5" thickTop="1">
      <c r="A1233" s="169"/>
      <c r="B1233" s="218"/>
      <c r="C1233" s="169"/>
      <c r="D1233" s="169" t="s">
        <v>0</v>
      </c>
      <c r="E1233" s="169"/>
      <c r="F1233" s="169"/>
      <c r="G1233" s="169" t="s">
        <v>0</v>
      </c>
      <c r="H1233" s="169"/>
      <c r="I1233" s="169"/>
      <c r="J1233" s="169" t="s">
        <v>0</v>
      </c>
      <c r="K1233" s="169"/>
      <c r="L1233" s="131" t="s">
        <v>0</v>
      </c>
      <c r="M1233" s="131"/>
      <c r="N1233" s="169" t="s">
        <v>0</v>
      </c>
      <c r="O1233" s="169"/>
      <c r="P1233" s="131" t="s">
        <v>0</v>
      </c>
      <c r="Q1233" s="131"/>
      <c r="R1233" s="169" t="s">
        <v>0</v>
      </c>
      <c r="S1233" s="169"/>
      <c r="T1233" s="131" t="s">
        <v>0</v>
      </c>
      <c r="U1233" s="131"/>
      <c r="V1233" s="169" t="s">
        <v>0</v>
      </c>
      <c r="W1233" s="169"/>
      <c r="X1233" s="131" t="s">
        <v>0</v>
      </c>
      <c r="Y1233" s="381" t="s">
        <v>115</v>
      </c>
      <c r="Z1233" s="171">
        <f>Z1232-L1232</f>
        <v>0.22189251290910761</v>
      </c>
      <c r="AA1233" s="310" t="s">
        <v>0</v>
      </c>
      <c r="AB1233" s="174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</row>
    <row r="1234" spans="1:45" hidden="1">
      <c r="A1234" s="169"/>
      <c r="B1234" s="218"/>
      <c r="C1234" s="169"/>
      <c r="D1234" s="169"/>
      <c r="E1234" s="169"/>
      <c r="F1234" s="169"/>
      <c r="G1234" s="169"/>
      <c r="H1234" s="169"/>
      <c r="I1234" s="169"/>
      <c r="J1234" s="169"/>
      <c r="K1234" s="169"/>
      <c r="L1234" s="131"/>
      <c r="M1234" s="131"/>
      <c r="N1234" s="169"/>
      <c r="O1234" s="169"/>
      <c r="P1234" s="131"/>
      <c r="Q1234" s="131"/>
      <c r="R1234" s="169"/>
      <c r="S1234" s="169"/>
      <c r="T1234" s="131"/>
      <c r="U1234" s="131"/>
      <c r="V1234" s="169"/>
      <c r="W1234" s="169"/>
      <c r="X1234" s="131"/>
      <c r="Y1234" s="173">
        <f>Y30</f>
        <v>0.58522206267896359</v>
      </c>
      <c r="Z1234" s="173">
        <f>Z30</f>
        <v>8.1974925565500054E-2</v>
      </c>
      <c r="AA1234" s="173">
        <f>AA30</f>
        <v>0.33280301175553639</v>
      </c>
      <c r="AB1234" s="174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</row>
    <row r="1235" spans="1:45" hidden="1">
      <c r="A1235" s="169"/>
      <c r="B1235" s="218"/>
      <c r="C1235" s="169"/>
      <c r="D1235" s="169"/>
      <c r="E1235" s="169"/>
      <c r="F1235" s="169"/>
      <c r="G1235" s="169"/>
      <c r="H1235" s="169"/>
      <c r="I1235" s="169"/>
      <c r="J1235" s="169"/>
      <c r="K1235" s="169"/>
      <c r="L1235" s="131"/>
      <c r="M1235" s="131"/>
      <c r="N1235" s="169"/>
      <c r="O1235" s="169"/>
      <c r="P1235" s="131"/>
      <c r="Q1235" s="131"/>
      <c r="R1235" s="169"/>
      <c r="S1235" s="169"/>
      <c r="T1235" s="131"/>
      <c r="U1235" s="131"/>
      <c r="V1235" s="169"/>
      <c r="W1235" s="169"/>
      <c r="X1235" s="131"/>
      <c r="Y1235" s="166">
        <f>L1232*Y1234</f>
        <v>15317.616601685064</v>
      </c>
      <c r="Z1235" s="166">
        <f>L1232*Z1234</f>
        <v>2145.6137094626611</v>
      </c>
      <c r="AA1235" s="166">
        <f>L1232*AA1234</f>
        <v>8710.794180625202</v>
      </c>
      <c r="AB1235" s="174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</row>
    <row r="1236" spans="1:45">
      <c r="A1236" s="127" t="s">
        <v>313</v>
      </c>
      <c r="B1236" s="199"/>
      <c r="C1236" s="199"/>
      <c r="D1236" s="199"/>
      <c r="E1236" s="199"/>
      <c r="F1236" s="199"/>
      <c r="G1236" s="199"/>
      <c r="H1236" s="199"/>
      <c r="I1236" s="199"/>
      <c r="J1236" s="199"/>
      <c r="K1236" s="199"/>
      <c r="L1236" s="199"/>
      <c r="M1236" s="199"/>
      <c r="N1236" s="199"/>
      <c r="O1236" s="199"/>
      <c r="P1236" s="199"/>
      <c r="Q1236" s="199"/>
      <c r="R1236" s="199"/>
      <c r="S1236" s="199"/>
      <c r="T1236" s="199"/>
      <c r="U1236" s="199"/>
      <c r="V1236" s="199"/>
      <c r="W1236" s="199"/>
      <c r="X1236" s="199"/>
      <c r="Y1236" s="53"/>
      <c r="Z1236" s="110"/>
      <c r="AA1236" s="110"/>
      <c r="AB1236" s="110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</row>
    <row r="1237" spans="1:45">
      <c r="A1237" s="199" t="s">
        <v>314</v>
      </c>
      <c r="B1237" s="199"/>
      <c r="C1237" s="199"/>
      <c r="D1237" s="199"/>
      <c r="E1237" s="199"/>
      <c r="F1237" s="199"/>
      <c r="G1237" s="199"/>
      <c r="H1237" s="199"/>
      <c r="I1237" s="199"/>
      <c r="J1237" s="199"/>
      <c r="K1237" s="199"/>
      <c r="L1237" s="199"/>
      <c r="M1237" s="199"/>
      <c r="N1237" s="199"/>
      <c r="O1237" s="199"/>
      <c r="P1237" s="199"/>
      <c r="Q1237" s="199"/>
      <c r="R1237" s="199"/>
      <c r="S1237" s="199"/>
      <c r="T1237" s="199"/>
      <c r="U1237" s="199"/>
      <c r="V1237" s="199"/>
      <c r="W1237" s="199"/>
      <c r="X1237" s="199"/>
      <c r="Y1237" s="175"/>
      <c r="Z1237" s="175"/>
      <c r="AA1237" s="175"/>
      <c r="AB1237" s="175"/>
      <c r="AC1237" s="175"/>
      <c r="AD1237" s="175"/>
      <c r="AE1237" s="175"/>
      <c r="AF1237" s="175"/>
      <c r="AG1237" s="175"/>
      <c r="AH1237" s="175"/>
      <c r="AI1237" s="175"/>
      <c r="AJ1237" s="175"/>
      <c r="AK1237" s="175"/>
      <c r="AL1237" s="175"/>
      <c r="AM1237" s="175"/>
      <c r="AN1237" s="175"/>
      <c r="AO1237" s="53"/>
      <c r="AP1237" s="53"/>
      <c r="AQ1237" s="53"/>
      <c r="AR1237" s="53"/>
      <c r="AS1237" s="53"/>
    </row>
    <row r="1238" spans="1:45">
      <c r="A1238" s="399" t="s">
        <v>315</v>
      </c>
      <c r="B1238" s="199"/>
      <c r="C1238" s="199"/>
      <c r="D1238" s="199"/>
      <c r="E1238" s="199"/>
      <c r="F1238" s="199"/>
      <c r="G1238" s="199"/>
      <c r="H1238" s="199"/>
      <c r="I1238" s="199"/>
      <c r="J1238" s="199"/>
      <c r="K1238" s="199"/>
      <c r="L1238" s="199"/>
      <c r="M1238" s="199"/>
      <c r="N1238" s="199"/>
      <c r="O1238" s="199"/>
      <c r="P1238" s="199"/>
      <c r="Q1238" s="199"/>
      <c r="R1238" s="199"/>
      <c r="S1238" s="199"/>
      <c r="T1238" s="199"/>
      <c r="U1238" s="199"/>
      <c r="V1238" s="199"/>
      <c r="W1238" s="199"/>
      <c r="X1238" s="199"/>
      <c r="Y1238" s="175"/>
      <c r="Z1238" s="175"/>
      <c r="AA1238" s="175"/>
      <c r="AB1238" s="175"/>
      <c r="AC1238" s="175"/>
      <c r="AD1238" s="175"/>
      <c r="AE1238" s="175"/>
      <c r="AF1238" s="175"/>
      <c r="AG1238" s="175"/>
      <c r="AH1238" s="175"/>
      <c r="AI1238" s="175"/>
      <c r="AJ1238" s="175"/>
      <c r="AK1238" s="175"/>
      <c r="AL1238" s="175"/>
      <c r="AM1238" s="175"/>
      <c r="AN1238" s="175"/>
      <c r="AO1238" s="53"/>
      <c r="AP1238" s="53"/>
      <c r="AQ1238" s="53"/>
      <c r="AR1238" s="53"/>
      <c r="AS1238" s="53"/>
    </row>
    <row r="1239" spans="1:45">
      <c r="A1239" s="111" t="s">
        <v>316</v>
      </c>
      <c r="F1239" s="128"/>
      <c r="I1239" s="128"/>
      <c r="Y1239" s="175"/>
      <c r="Z1239" s="175"/>
      <c r="AA1239" s="110"/>
      <c r="AB1239" s="110"/>
      <c r="AC1239" s="176"/>
      <c r="AD1239" s="176"/>
      <c r="AE1239" s="177"/>
      <c r="AF1239" s="177"/>
      <c r="AG1239" s="177"/>
      <c r="AH1239" s="177"/>
      <c r="AI1239" s="400"/>
      <c r="AJ1239" s="179"/>
      <c r="AK1239" s="175"/>
      <c r="AL1239" s="175"/>
      <c r="AM1239" s="175"/>
      <c r="AN1239" s="175"/>
      <c r="AO1239" s="53"/>
      <c r="AP1239" s="53"/>
      <c r="AQ1239" s="53"/>
      <c r="AR1239" s="53"/>
      <c r="AS1239" s="53"/>
    </row>
    <row r="1240" spans="1:45">
      <c r="A1240" s="111" t="s">
        <v>98</v>
      </c>
      <c r="C1240" s="129">
        <v>13341.9529241649</v>
      </c>
      <c r="D1240" s="130">
        <v>9.75</v>
      </c>
      <c r="F1240" s="131">
        <f>ROUND(D1240*$C1240,0)</f>
        <v>130084</v>
      </c>
      <c r="G1240" s="130">
        <v>9.75</v>
      </c>
      <c r="I1240" s="131">
        <f>ROUND(C1240*G1240,0)</f>
        <v>130084</v>
      </c>
      <c r="J1240" s="130">
        <v>9.8800000000000008</v>
      </c>
      <c r="L1240" s="131">
        <f>ROUND(J1240*$C1240,0)</f>
        <v>131818</v>
      </c>
      <c r="M1240" s="131"/>
      <c r="N1240" s="130">
        <v>5.78</v>
      </c>
      <c r="P1240" s="131">
        <v>77142.801858215622</v>
      </c>
      <c r="Q1240" s="131"/>
      <c r="R1240" s="130">
        <v>0.81</v>
      </c>
      <c r="T1240" s="131">
        <v>10805.770738193087</v>
      </c>
      <c r="U1240" s="131"/>
      <c r="V1240" s="130">
        <v>3.29</v>
      </c>
      <c r="X1240" s="131">
        <v>43869.427403591304</v>
      </c>
      <c r="Y1240" s="53"/>
      <c r="Z1240" s="178"/>
      <c r="AA1240" s="110"/>
      <c r="AB1240" s="110"/>
      <c r="AC1240" s="373"/>
      <c r="AD1240" s="373"/>
      <c r="AE1240" s="180"/>
      <c r="AF1240" s="180"/>
      <c r="AG1240" s="180"/>
      <c r="AH1240" s="180"/>
      <c r="AI1240" s="181"/>
      <c r="AJ1240" s="175"/>
      <c r="AK1240" s="178"/>
      <c r="AL1240" s="178"/>
      <c r="AM1240" s="401"/>
      <c r="AN1240" s="178"/>
      <c r="AO1240" s="53"/>
      <c r="AP1240" s="53"/>
      <c r="AQ1240" s="53"/>
      <c r="AR1240" s="53"/>
      <c r="AS1240" s="53"/>
    </row>
    <row r="1241" spans="1:45">
      <c r="A1241" s="111" t="s">
        <v>99</v>
      </c>
      <c r="C1241" s="129">
        <v>1917.0889268557601</v>
      </c>
      <c r="D1241" s="130">
        <v>17.850000000000001</v>
      </c>
      <c r="F1241" s="131">
        <f>ROUND(D1241*$C1241,0)</f>
        <v>34220</v>
      </c>
      <c r="G1241" s="130">
        <v>17.850000000000001</v>
      </c>
      <c r="I1241" s="131">
        <f t="shared" ref="I1241:I1245" si="262">ROUND(C1241*G1241,0)</f>
        <v>34220</v>
      </c>
      <c r="J1241" s="130">
        <v>18.09</v>
      </c>
      <c r="L1241" s="131">
        <f>ROUND(J1241*$C1241,0)</f>
        <v>34680</v>
      </c>
      <c r="M1241" s="131"/>
      <c r="N1241" s="130">
        <v>10.59</v>
      </c>
      <c r="P1241" s="131">
        <v>20295.501133706457</v>
      </c>
      <c r="Q1241" s="131"/>
      <c r="R1241" s="130">
        <v>1.48</v>
      </c>
      <c r="T1241" s="131">
        <v>2842.8904186115419</v>
      </c>
      <c r="U1241" s="131"/>
      <c r="V1241" s="130">
        <v>6.02</v>
      </c>
      <c r="X1241" s="131">
        <v>11541.608447682003</v>
      </c>
      <c r="Y1241" s="53"/>
      <c r="Z1241" s="178"/>
      <c r="AA1241" s="110"/>
      <c r="AB1241" s="110"/>
      <c r="AC1241" s="373"/>
      <c r="AD1241" s="373"/>
      <c r="AE1241" s="180"/>
      <c r="AF1241" s="180"/>
      <c r="AG1241" s="180"/>
      <c r="AH1241" s="180"/>
      <c r="AI1241" s="175"/>
      <c r="AJ1241" s="175"/>
      <c r="AK1241" s="178"/>
      <c r="AL1241" s="178"/>
      <c r="AM1241" s="401"/>
      <c r="AN1241" s="178"/>
      <c r="AO1241" s="53"/>
      <c r="AP1241" s="53"/>
      <c r="AQ1241" s="53"/>
      <c r="AR1241" s="53"/>
      <c r="AS1241" s="53"/>
    </row>
    <row r="1242" spans="1:45">
      <c r="A1242" s="111" t="s">
        <v>100</v>
      </c>
      <c r="C1242" s="129">
        <v>0</v>
      </c>
      <c r="D1242" s="130">
        <v>36.1</v>
      </c>
      <c r="F1242" s="131">
        <f>ROUND(D1242*$C1242,0)</f>
        <v>0</v>
      </c>
      <c r="G1242" s="130">
        <v>36.1</v>
      </c>
      <c r="I1242" s="131">
        <f t="shared" si="262"/>
        <v>0</v>
      </c>
      <c r="J1242" s="130">
        <v>36.590000000000003</v>
      </c>
      <c r="L1242" s="131">
        <f>ROUND(J1242*$C1242,0)</f>
        <v>0</v>
      </c>
      <c r="M1242" s="131"/>
      <c r="N1242" s="130">
        <v>21.41</v>
      </c>
      <c r="P1242" s="131">
        <v>0</v>
      </c>
      <c r="Q1242" s="131"/>
      <c r="R1242" s="130">
        <v>3</v>
      </c>
      <c r="T1242" s="131">
        <v>0</v>
      </c>
      <c r="U1242" s="131"/>
      <c r="V1242" s="130">
        <v>12.18</v>
      </c>
      <c r="X1242" s="131">
        <v>0</v>
      </c>
      <c r="Y1242" s="53"/>
      <c r="Z1242" s="178"/>
      <c r="AA1242" s="110"/>
      <c r="AB1242" s="110"/>
      <c r="AC1242" s="373"/>
      <c r="AD1242" s="373"/>
      <c r="AE1242" s="180"/>
      <c r="AF1242" s="180"/>
      <c r="AG1242" s="180"/>
      <c r="AH1242" s="180"/>
      <c r="AI1242" s="175"/>
      <c r="AJ1242" s="175"/>
      <c r="AK1242" s="178"/>
      <c r="AL1242" s="178"/>
      <c r="AM1242" s="401"/>
      <c r="AN1242" s="178"/>
      <c r="AO1242" s="53"/>
      <c r="AP1242" s="53"/>
      <c r="AQ1242" s="53"/>
      <c r="AR1242" s="53"/>
      <c r="AS1242" s="53"/>
    </row>
    <row r="1243" spans="1:45">
      <c r="A1243" s="111" t="s">
        <v>317</v>
      </c>
      <c r="C1243" s="129"/>
      <c r="D1243" s="137"/>
      <c r="F1243" s="128"/>
      <c r="G1243" s="137"/>
      <c r="I1243" s="128"/>
      <c r="J1243" s="137"/>
      <c r="N1243" s="137"/>
      <c r="R1243" s="137"/>
      <c r="V1243" s="137"/>
      <c r="Y1243" s="53"/>
      <c r="Z1243" s="178"/>
      <c r="AA1243" s="110"/>
      <c r="AB1243" s="110"/>
      <c r="AC1243" s="53"/>
      <c r="AD1243" s="53"/>
      <c r="AE1243" s="183"/>
      <c r="AF1243" s="183"/>
      <c r="AG1243" s="183"/>
      <c r="AH1243" s="183"/>
      <c r="AI1243" s="175"/>
      <c r="AJ1243" s="175"/>
      <c r="AK1243" s="178"/>
      <c r="AL1243" s="178"/>
      <c r="AM1243" s="401"/>
      <c r="AN1243" s="178"/>
      <c r="AO1243" s="53"/>
      <c r="AP1243" s="53"/>
      <c r="AQ1243" s="53"/>
      <c r="AR1243" s="53"/>
      <c r="AS1243" s="53"/>
    </row>
    <row r="1244" spans="1:45">
      <c r="A1244" s="111" t="s">
        <v>98</v>
      </c>
      <c r="C1244" s="129">
        <v>4255.2648184670697</v>
      </c>
      <c r="D1244" s="130">
        <v>9.15</v>
      </c>
      <c r="F1244" s="131">
        <f>ROUND(D1244*$C1244,0)</f>
        <v>38936</v>
      </c>
      <c r="G1244" s="130">
        <v>9.15</v>
      </c>
      <c r="I1244" s="131">
        <f t="shared" si="262"/>
        <v>38936</v>
      </c>
      <c r="J1244" s="130">
        <v>9.27</v>
      </c>
      <c r="L1244" s="131">
        <f>ROUND(J1244*$C1244,0)</f>
        <v>39446</v>
      </c>
      <c r="M1244" s="131"/>
      <c r="N1244" s="130">
        <v>5.42</v>
      </c>
      <c r="P1244" s="131">
        <v>23084.669484434398</v>
      </c>
      <c r="Q1244" s="131"/>
      <c r="R1244" s="130">
        <v>0.76</v>
      </c>
      <c r="T1244" s="131">
        <v>3233.5829138567151</v>
      </c>
      <c r="U1244" s="131"/>
      <c r="V1244" s="130">
        <v>3.0999999999999996</v>
      </c>
      <c r="X1244" s="131">
        <v>13127.74760170889</v>
      </c>
      <c r="Y1244" s="53"/>
      <c r="Z1244" s="178"/>
      <c r="AA1244" s="110"/>
      <c r="AB1244" s="110"/>
      <c r="AC1244" s="373"/>
      <c r="AD1244" s="373"/>
      <c r="AE1244" s="180"/>
      <c r="AF1244" s="180"/>
      <c r="AG1244" s="180"/>
      <c r="AH1244" s="180"/>
      <c r="AI1244" s="53"/>
      <c r="AJ1244" s="53"/>
      <c r="AK1244" s="178"/>
      <c r="AL1244" s="178"/>
      <c r="AM1244" s="401"/>
      <c r="AN1244" s="178"/>
      <c r="AO1244" s="53"/>
      <c r="AP1244" s="53"/>
      <c r="AQ1244" s="53"/>
      <c r="AR1244" s="53"/>
      <c r="AS1244" s="53"/>
    </row>
    <row r="1245" spans="1:45">
      <c r="A1245" s="111" t="s">
        <v>99</v>
      </c>
      <c r="C1245" s="129">
        <v>0</v>
      </c>
      <c r="D1245" s="130">
        <v>16.649999999999999</v>
      </c>
      <c r="F1245" s="131">
        <f>ROUND(D1245*$C1245,0)</f>
        <v>0</v>
      </c>
      <c r="G1245" s="130">
        <v>16.649999999999999</v>
      </c>
      <c r="I1245" s="131">
        <f t="shared" si="262"/>
        <v>0</v>
      </c>
      <c r="J1245" s="130">
        <v>16.88</v>
      </c>
      <c r="L1245" s="131">
        <f>ROUND(J1245*$C1245,0)</f>
        <v>0</v>
      </c>
      <c r="M1245" s="131"/>
      <c r="N1245" s="130">
        <v>9.8800000000000008</v>
      </c>
      <c r="P1245" s="131">
        <v>0</v>
      </c>
      <c r="Q1245" s="131"/>
      <c r="R1245" s="130">
        <v>1.38</v>
      </c>
      <c r="T1245" s="131">
        <v>0</v>
      </c>
      <c r="U1245" s="131"/>
      <c r="V1245" s="130">
        <v>5.62</v>
      </c>
      <c r="X1245" s="131">
        <v>0</v>
      </c>
      <c r="Y1245" s="53"/>
      <c r="Z1245" s="178"/>
      <c r="AA1245" s="110"/>
      <c r="AB1245" s="110"/>
      <c r="AC1245" s="373"/>
      <c r="AD1245" s="373"/>
      <c r="AE1245" s="180"/>
      <c r="AF1245" s="180"/>
      <c r="AG1245" s="180"/>
      <c r="AH1245" s="180"/>
      <c r="AI1245" s="53"/>
      <c r="AJ1245" s="53"/>
      <c r="AK1245" s="178"/>
      <c r="AL1245" s="178"/>
      <c r="AM1245" s="401"/>
      <c r="AN1245" s="178"/>
      <c r="AO1245" s="53"/>
      <c r="AP1245" s="53"/>
      <c r="AQ1245" s="53"/>
      <c r="AR1245" s="53"/>
      <c r="AS1245" s="53"/>
    </row>
    <row r="1246" spans="1:45">
      <c r="A1246" s="399" t="s">
        <v>318</v>
      </c>
      <c r="C1246" s="129"/>
      <c r="D1246" s="130"/>
      <c r="F1246" s="131"/>
      <c r="G1246" s="130"/>
      <c r="I1246" s="131"/>
      <c r="J1246" s="130"/>
      <c r="L1246" s="131"/>
      <c r="M1246" s="131"/>
      <c r="N1246" s="130"/>
      <c r="P1246" s="131"/>
      <c r="Q1246" s="131"/>
      <c r="R1246" s="130"/>
      <c r="T1246" s="131"/>
      <c r="U1246" s="131"/>
      <c r="V1246" s="130"/>
      <c r="X1246" s="131"/>
      <c r="Y1246" s="53"/>
      <c r="Z1246" s="178"/>
      <c r="AA1246" s="110"/>
      <c r="AB1246" s="110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401"/>
      <c r="AN1246" s="53"/>
      <c r="AO1246" s="53"/>
      <c r="AP1246" s="53"/>
      <c r="AQ1246" s="53"/>
      <c r="AR1246" s="53"/>
      <c r="AS1246" s="53"/>
    </row>
    <row r="1247" spans="1:45">
      <c r="A1247" s="111" t="s">
        <v>316</v>
      </c>
      <c r="C1247" s="129"/>
      <c r="D1247" s="137"/>
      <c r="F1247" s="128"/>
      <c r="G1247" s="137"/>
      <c r="I1247" s="128"/>
      <c r="J1247" s="137"/>
      <c r="N1247" s="137"/>
      <c r="R1247" s="137"/>
      <c r="V1247" s="137"/>
      <c r="Y1247" s="53"/>
      <c r="Z1247" s="110"/>
      <c r="AA1247" s="110"/>
      <c r="AB1247" s="110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401"/>
      <c r="AN1247" s="53"/>
      <c r="AO1247" s="53"/>
      <c r="AP1247" s="53"/>
      <c r="AQ1247" s="53"/>
      <c r="AR1247" s="53"/>
      <c r="AS1247" s="53"/>
    </row>
    <row r="1248" spans="1:45">
      <c r="A1248" s="111" t="s">
        <v>98</v>
      </c>
      <c r="C1248" s="129">
        <v>478.66694057746798</v>
      </c>
      <c r="D1248" s="130">
        <v>12.74</v>
      </c>
      <c r="F1248" s="131">
        <f>ROUND(D1248*$C1248,0)</f>
        <v>6098</v>
      </c>
      <c r="G1248" s="130">
        <v>12.74</v>
      </c>
      <c r="I1248" s="131">
        <f t="shared" ref="I1248:I1250" si="263">ROUND(C1248*G1248,0)</f>
        <v>6098</v>
      </c>
      <c r="J1248" s="130">
        <v>12.91</v>
      </c>
      <c r="L1248" s="131">
        <f>ROUND(J1248*$C1248,0)</f>
        <v>6180</v>
      </c>
      <c r="M1248" s="131"/>
      <c r="N1248" s="130">
        <v>7.56</v>
      </c>
      <c r="P1248" s="131">
        <v>3616.672347355995</v>
      </c>
      <c r="Q1248" s="131"/>
      <c r="R1248" s="130">
        <v>1.06</v>
      </c>
      <c r="T1248" s="131">
        <v>506.60503999479033</v>
      </c>
      <c r="U1248" s="131"/>
      <c r="V1248" s="130">
        <v>4.3</v>
      </c>
      <c r="X1248" s="131">
        <v>2056.7226126492151</v>
      </c>
      <c r="Y1248" s="53"/>
      <c r="Z1248" s="178"/>
      <c r="AA1248" s="110"/>
      <c r="AB1248" s="110"/>
      <c r="AC1248" s="373"/>
      <c r="AD1248" s="373"/>
      <c r="AE1248" s="180"/>
      <c r="AF1248" s="180"/>
      <c r="AG1248" s="180"/>
      <c r="AH1248" s="180"/>
      <c r="AI1248" s="53"/>
      <c r="AJ1248" s="53"/>
      <c r="AK1248" s="178"/>
      <c r="AL1248" s="178"/>
      <c r="AM1248" s="401"/>
      <c r="AN1248" s="178"/>
      <c r="AO1248" s="53"/>
      <c r="AP1248" s="53"/>
      <c r="AQ1248" s="53"/>
      <c r="AR1248" s="53"/>
      <c r="AS1248" s="53"/>
    </row>
    <row r="1249" spans="1:45">
      <c r="A1249" s="111" t="s">
        <v>99</v>
      </c>
      <c r="C1249" s="129">
        <v>396.000225274076</v>
      </c>
      <c r="D1249" s="130">
        <v>21.39</v>
      </c>
      <c r="F1249" s="131">
        <f>ROUND(D1249*$C1249,0)</f>
        <v>8470</v>
      </c>
      <c r="G1249" s="130">
        <v>21.39</v>
      </c>
      <c r="I1249" s="131">
        <f t="shared" si="263"/>
        <v>8470</v>
      </c>
      <c r="J1249" s="130">
        <v>21.68</v>
      </c>
      <c r="L1249" s="131">
        <f>ROUND(J1249*$C1249,0)</f>
        <v>8585</v>
      </c>
      <c r="M1249" s="131"/>
      <c r="N1249" s="130">
        <v>12.69</v>
      </c>
      <c r="P1249" s="131">
        <v>5024.1314080989023</v>
      </c>
      <c r="Q1249" s="131"/>
      <c r="R1249" s="130">
        <v>1.78</v>
      </c>
      <c r="T1249" s="131">
        <v>703.75473597981795</v>
      </c>
      <c r="U1249" s="131"/>
      <c r="V1249" s="130">
        <v>7.21</v>
      </c>
      <c r="X1249" s="131">
        <v>2857.1138559212804</v>
      </c>
      <c r="Y1249" s="53"/>
      <c r="Z1249" s="178"/>
      <c r="AA1249" s="110"/>
      <c r="AB1249" s="110"/>
      <c r="AC1249" s="373"/>
      <c r="AD1249" s="373"/>
      <c r="AE1249" s="180"/>
      <c r="AF1249" s="180"/>
      <c r="AG1249" s="180"/>
      <c r="AH1249" s="180"/>
      <c r="AI1249" s="402"/>
      <c r="AJ1249" s="402"/>
      <c r="AK1249" s="178"/>
      <c r="AL1249" s="178"/>
      <c r="AM1249" s="401"/>
      <c r="AN1249" s="178"/>
      <c r="AO1249" s="53"/>
      <c r="AP1249" s="53"/>
      <c r="AQ1249" s="53"/>
      <c r="AR1249" s="53"/>
      <c r="AS1249" s="53"/>
    </row>
    <row r="1250" spans="1:45">
      <c r="A1250" s="111" t="s">
        <v>100</v>
      </c>
      <c r="C1250" s="129">
        <v>0</v>
      </c>
      <c r="D1250" s="130">
        <v>39.67</v>
      </c>
      <c r="F1250" s="131">
        <f>ROUND(D1250*$C1250,0)</f>
        <v>0</v>
      </c>
      <c r="G1250" s="130">
        <v>39.67</v>
      </c>
      <c r="I1250" s="131">
        <f t="shared" si="263"/>
        <v>0</v>
      </c>
      <c r="J1250" s="130">
        <v>40.21</v>
      </c>
      <c r="L1250" s="131">
        <f>ROUND(J1250*$C1250,0)</f>
        <v>0</v>
      </c>
      <c r="M1250" s="131"/>
      <c r="N1250" s="130">
        <v>23.53</v>
      </c>
      <c r="P1250" s="131">
        <v>0</v>
      </c>
      <c r="Q1250" s="131"/>
      <c r="R1250" s="130">
        <v>3.3</v>
      </c>
      <c r="T1250" s="131">
        <v>0</v>
      </c>
      <c r="U1250" s="131"/>
      <c r="V1250" s="130">
        <v>13.38</v>
      </c>
      <c r="X1250" s="131">
        <v>0</v>
      </c>
      <c r="Y1250" s="53"/>
      <c r="Z1250" s="178"/>
      <c r="AA1250" s="110"/>
      <c r="AB1250" s="110"/>
      <c r="AC1250" s="373"/>
      <c r="AD1250" s="373"/>
      <c r="AE1250" s="180"/>
      <c r="AF1250" s="180"/>
      <c r="AG1250" s="180"/>
      <c r="AH1250" s="180"/>
      <c r="AI1250" s="402"/>
      <c r="AJ1250" s="402"/>
      <c r="AK1250" s="178"/>
      <c r="AL1250" s="178"/>
      <c r="AM1250" s="401"/>
      <c r="AN1250" s="178"/>
      <c r="AO1250" s="53"/>
      <c r="AP1250" s="53"/>
      <c r="AQ1250" s="53"/>
      <c r="AR1250" s="53"/>
      <c r="AS1250" s="53"/>
    </row>
    <row r="1251" spans="1:45">
      <c r="A1251" s="111" t="s">
        <v>317</v>
      </c>
      <c r="C1251" s="129"/>
      <c r="D1251" s="137"/>
      <c r="F1251" s="128"/>
      <c r="G1251" s="137"/>
      <c r="I1251" s="128"/>
      <c r="J1251" s="137"/>
      <c r="N1251" s="137"/>
      <c r="R1251" s="137"/>
      <c r="V1251" s="137"/>
      <c r="Y1251" s="53"/>
      <c r="Z1251" s="53"/>
      <c r="AA1251" s="403"/>
      <c r="AB1251" s="403"/>
      <c r="AC1251" s="403"/>
      <c r="AD1251" s="403"/>
      <c r="AE1251" s="404"/>
      <c r="AF1251" s="404"/>
      <c r="AG1251" s="404"/>
      <c r="AH1251" s="404"/>
      <c r="AI1251" s="402"/>
      <c r="AJ1251" s="402"/>
      <c r="AK1251" s="261"/>
      <c r="AL1251" s="53"/>
      <c r="AM1251" s="401"/>
      <c r="AN1251" s="53"/>
      <c r="AO1251" s="53"/>
      <c r="AP1251" s="53"/>
      <c r="AQ1251" s="53"/>
      <c r="AR1251" s="53"/>
      <c r="AS1251" s="53"/>
    </row>
    <row r="1252" spans="1:45">
      <c r="A1252" s="111" t="s">
        <v>98</v>
      </c>
      <c r="C1252" s="129">
        <v>0</v>
      </c>
      <c r="D1252" s="130">
        <v>12.06</v>
      </c>
      <c r="F1252" s="131">
        <f>ROUND(D1252*$C1252,0)</f>
        <v>0</v>
      </c>
      <c r="G1252" s="130">
        <v>12.06</v>
      </c>
      <c r="I1252" s="131">
        <f t="shared" ref="I1252:I1253" si="264">ROUND(C1252*G1252,0)</f>
        <v>0</v>
      </c>
      <c r="J1252" s="130">
        <v>12.22</v>
      </c>
      <c r="L1252" s="131">
        <f>ROUND(J1252*$C1252,0)</f>
        <v>0</v>
      </c>
      <c r="M1252" s="131"/>
      <c r="N1252" s="130">
        <v>7.15</v>
      </c>
      <c r="P1252" s="131">
        <v>0</v>
      </c>
      <c r="Q1252" s="131"/>
      <c r="R1252" s="130">
        <v>1</v>
      </c>
      <c r="T1252" s="131">
        <v>0</v>
      </c>
      <c r="U1252" s="131"/>
      <c r="V1252" s="130">
        <v>4.07</v>
      </c>
      <c r="X1252" s="131">
        <v>0</v>
      </c>
      <c r="Y1252" s="53"/>
      <c r="Z1252" s="178"/>
      <c r="AA1252" s="110"/>
      <c r="AB1252" s="110"/>
      <c r="AC1252" s="373"/>
      <c r="AD1252" s="373"/>
      <c r="AE1252" s="180"/>
      <c r="AF1252" s="180"/>
      <c r="AG1252" s="180"/>
      <c r="AH1252" s="180"/>
      <c r="AI1252" s="402"/>
      <c r="AJ1252" s="402"/>
      <c r="AK1252" s="178"/>
      <c r="AL1252" s="178"/>
      <c r="AM1252" s="401"/>
      <c r="AN1252" s="178"/>
      <c r="AO1252" s="53"/>
      <c r="AP1252" s="53"/>
      <c r="AQ1252" s="53"/>
      <c r="AR1252" s="53"/>
      <c r="AS1252" s="53"/>
    </row>
    <row r="1253" spans="1:45">
      <c r="A1253" s="111" t="s">
        <v>99</v>
      </c>
      <c r="C1253" s="129">
        <v>0</v>
      </c>
      <c r="D1253" s="130">
        <v>20.22</v>
      </c>
      <c r="F1253" s="131">
        <f>ROUND(D1253*$C1253,0)</f>
        <v>0</v>
      </c>
      <c r="G1253" s="130">
        <v>20.22</v>
      </c>
      <c r="I1253" s="131">
        <f t="shared" si="264"/>
        <v>0</v>
      </c>
      <c r="J1253" s="130">
        <v>20.5</v>
      </c>
      <c r="L1253" s="131">
        <f>ROUND(J1253*$C1253,0)</f>
        <v>0</v>
      </c>
      <c r="M1253" s="131"/>
      <c r="N1253" s="130">
        <v>12</v>
      </c>
      <c r="P1253" s="131">
        <v>0</v>
      </c>
      <c r="Q1253" s="131"/>
      <c r="R1253" s="130">
        <v>1.68</v>
      </c>
      <c r="T1253" s="131">
        <v>0</v>
      </c>
      <c r="U1253" s="131"/>
      <c r="V1253" s="130">
        <v>6.82</v>
      </c>
      <c r="X1253" s="131">
        <v>0</v>
      </c>
      <c r="Y1253" s="53"/>
      <c r="Z1253" s="178"/>
      <c r="AA1253" s="110"/>
      <c r="AB1253" s="110"/>
      <c r="AC1253" s="373"/>
      <c r="AD1253" s="373"/>
      <c r="AE1253" s="180"/>
      <c r="AF1253" s="180"/>
      <c r="AG1253" s="180"/>
      <c r="AH1253" s="180"/>
      <c r="AI1253" s="402"/>
      <c r="AJ1253" s="402"/>
      <c r="AK1253" s="178"/>
      <c r="AL1253" s="178"/>
      <c r="AM1253" s="401"/>
      <c r="AN1253" s="178"/>
      <c r="AO1253" s="53"/>
      <c r="AP1253" s="53"/>
      <c r="AQ1253" s="53"/>
      <c r="AR1253" s="53"/>
      <c r="AS1253" s="53"/>
    </row>
    <row r="1254" spans="1:45">
      <c r="A1254" s="399" t="s">
        <v>319</v>
      </c>
      <c r="B1254" s="199"/>
      <c r="C1254" s="129"/>
      <c r="D1254" s="137"/>
      <c r="E1254" s="199"/>
      <c r="F1254" s="199"/>
      <c r="G1254" s="137"/>
      <c r="H1254" s="199"/>
      <c r="I1254" s="199"/>
      <c r="J1254" s="137"/>
      <c r="K1254" s="199"/>
      <c r="L1254" s="199"/>
      <c r="M1254" s="199"/>
      <c r="N1254" s="137"/>
      <c r="O1254" s="199"/>
      <c r="P1254" s="199"/>
      <c r="Q1254" s="199"/>
      <c r="R1254" s="137"/>
      <c r="S1254" s="199"/>
      <c r="T1254" s="199"/>
      <c r="U1254" s="199"/>
      <c r="V1254" s="137"/>
      <c r="W1254" s="199"/>
      <c r="X1254" s="199"/>
      <c r="Y1254" s="53"/>
      <c r="Z1254" s="53"/>
      <c r="AA1254" s="403"/>
      <c r="AB1254" s="403"/>
      <c r="AC1254" s="403"/>
      <c r="AD1254" s="403"/>
      <c r="AE1254" s="404"/>
      <c r="AF1254" s="404"/>
      <c r="AG1254" s="404"/>
      <c r="AH1254" s="404"/>
      <c r="AI1254" s="402"/>
      <c r="AJ1254" s="402"/>
      <c r="AK1254" s="261"/>
      <c r="AL1254" s="53"/>
      <c r="AM1254" s="401"/>
      <c r="AN1254" s="53"/>
      <c r="AO1254" s="53"/>
      <c r="AP1254" s="53"/>
      <c r="AQ1254" s="53"/>
      <c r="AR1254" s="53"/>
      <c r="AS1254" s="53"/>
    </row>
    <row r="1255" spans="1:45">
      <c r="A1255" s="111" t="s">
        <v>316</v>
      </c>
      <c r="C1255" s="129"/>
      <c r="D1255" s="137"/>
      <c r="F1255" s="128"/>
      <c r="G1255" s="137"/>
      <c r="I1255" s="128"/>
      <c r="J1255" s="137"/>
      <c r="N1255" s="137"/>
      <c r="R1255" s="137"/>
      <c r="V1255" s="137"/>
      <c r="Y1255" s="53"/>
      <c r="Z1255" s="53"/>
      <c r="AA1255" s="403"/>
      <c r="AB1255" s="403"/>
      <c r="AC1255" s="403"/>
      <c r="AD1255" s="403"/>
      <c r="AE1255" s="404"/>
      <c r="AF1255" s="404"/>
      <c r="AG1255" s="404"/>
      <c r="AH1255" s="404"/>
      <c r="AI1255" s="402"/>
      <c r="AJ1255" s="402"/>
      <c r="AK1255" s="261"/>
      <c r="AL1255" s="53"/>
      <c r="AM1255" s="401"/>
      <c r="AN1255" s="53"/>
      <c r="AO1255" s="53"/>
      <c r="AP1255" s="53"/>
      <c r="AQ1255" s="53"/>
      <c r="AR1255" s="53"/>
      <c r="AS1255" s="53"/>
    </row>
    <row r="1256" spans="1:45">
      <c r="A1256" s="111" t="s">
        <v>98</v>
      </c>
      <c r="C1256" s="129">
        <v>0</v>
      </c>
      <c r="D1256" s="130">
        <v>12.73</v>
      </c>
      <c r="F1256" s="131">
        <f>ROUND(D1256*$C1256,0)</f>
        <v>0</v>
      </c>
      <c r="G1256" s="130">
        <v>12.73</v>
      </c>
      <c r="I1256" s="131">
        <f t="shared" ref="I1256:I1258" si="265">ROUND(C1256*G1256,0)</f>
        <v>0</v>
      </c>
      <c r="J1256" s="130">
        <v>12.9</v>
      </c>
      <c r="L1256" s="131">
        <f>ROUND(J1256*$C1256,0)</f>
        <v>0</v>
      </c>
      <c r="M1256" s="131"/>
      <c r="N1256" s="130">
        <v>7.55</v>
      </c>
      <c r="P1256" s="131">
        <v>0</v>
      </c>
      <c r="Q1256" s="131"/>
      <c r="R1256" s="130">
        <v>1.06</v>
      </c>
      <c r="T1256" s="131">
        <v>0</v>
      </c>
      <c r="U1256" s="131"/>
      <c r="V1256" s="130">
        <v>4.29</v>
      </c>
      <c r="X1256" s="131">
        <v>0</v>
      </c>
      <c r="Y1256" s="53"/>
      <c r="Z1256" s="178"/>
      <c r="AA1256" s="110"/>
      <c r="AB1256" s="110"/>
      <c r="AC1256" s="373"/>
      <c r="AD1256" s="373"/>
      <c r="AE1256" s="180"/>
      <c r="AF1256" s="180"/>
      <c r="AG1256" s="180"/>
      <c r="AH1256" s="180"/>
      <c r="AI1256" s="402"/>
      <c r="AJ1256" s="402"/>
      <c r="AK1256" s="178"/>
      <c r="AL1256" s="178"/>
      <c r="AM1256" s="401"/>
      <c r="AN1256" s="178"/>
      <c r="AO1256" s="53"/>
      <c r="AP1256" s="53"/>
      <c r="AQ1256" s="53"/>
      <c r="AR1256" s="53"/>
      <c r="AS1256" s="53"/>
    </row>
    <row r="1257" spans="1:45">
      <c r="A1257" s="111" t="s">
        <v>99</v>
      </c>
      <c r="C1257" s="129">
        <v>0</v>
      </c>
      <c r="D1257" s="130">
        <v>20.7</v>
      </c>
      <c r="F1257" s="131">
        <f>ROUND(D1257*$C1257,0)</f>
        <v>0</v>
      </c>
      <c r="G1257" s="130">
        <v>20.7</v>
      </c>
      <c r="I1257" s="131">
        <f t="shared" si="265"/>
        <v>0</v>
      </c>
      <c r="J1257" s="130">
        <v>20.98</v>
      </c>
      <c r="L1257" s="131">
        <f>ROUND(J1257*$C1257,0)</f>
        <v>0</v>
      </c>
      <c r="M1257" s="131"/>
      <c r="N1257" s="130">
        <v>12.28</v>
      </c>
      <c r="P1257" s="131">
        <v>0</v>
      </c>
      <c r="Q1257" s="131"/>
      <c r="R1257" s="130">
        <v>1.72</v>
      </c>
      <c r="T1257" s="131">
        <v>0</v>
      </c>
      <c r="U1257" s="131"/>
      <c r="V1257" s="130">
        <v>6.99</v>
      </c>
      <c r="X1257" s="131">
        <v>0</v>
      </c>
      <c r="Y1257" s="53"/>
      <c r="Z1257" s="178"/>
      <c r="AA1257" s="110"/>
      <c r="AB1257" s="110"/>
      <c r="AC1257" s="373"/>
      <c r="AD1257" s="373"/>
      <c r="AE1257" s="180"/>
      <c r="AF1257" s="180"/>
      <c r="AG1257" s="180"/>
      <c r="AH1257" s="180"/>
      <c r="AI1257" s="402"/>
      <c r="AJ1257" s="402"/>
      <c r="AK1257" s="178"/>
      <c r="AL1257" s="178"/>
      <c r="AM1257" s="401"/>
      <c r="AN1257" s="178"/>
      <c r="AO1257" s="53"/>
      <c r="AP1257" s="53"/>
      <c r="AQ1257" s="53"/>
      <c r="AR1257" s="53"/>
      <c r="AS1257" s="53"/>
    </row>
    <row r="1258" spans="1:45">
      <c r="A1258" s="111" t="s">
        <v>100</v>
      </c>
      <c r="C1258" s="129">
        <v>0</v>
      </c>
      <c r="D1258" s="130">
        <v>38.99</v>
      </c>
      <c r="F1258" s="131">
        <f>ROUND(D1258*$C1258,0)</f>
        <v>0</v>
      </c>
      <c r="G1258" s="130">
        <v>38.99</v>
      </c>
      <c r="I1258" s="131">
        <f t="shared" si="265"/>
        <v>0</v>
      </c>
      <c r="J1258" s="130">
        <v>39.520000000000003</v>
      </c>
      <c r="L1258" s="131">
        <f>ROUND(J1258*$C1258,0)</f>
        <v>0</v>
      </c>
      <c r="M1258" s="131"/>
      <c r="N1258" s="130">
        <v>23.13</v>
      </c>
      <c r="P1258" s="131">
        <v>0</v>
      </c>
      <c r="Q1258" s="131"/>
      <c r="R1258" s="130">
        <v>3.24</v>
      </c>
      <c r="T1258" s="131">
        <v>0</v>
      </c>
      <c r="U1258" s="131"/>
      <c r="V1258" s="130">
        <v>13.15</v>
      </c>
      <c r="X1258" s="131">
        <v>0</v>
      </c>
      <c r="Y1258" s="53"/>
      <c r="Z1258" s="178"/>
      <c r="AA1258" s="110"/>
      <c r="AB1258" s="110"/>
      <c r="AC1258" s="373"/>
      <c r="AD1258" s="373"/>
      <c r="AE1258" s="180"/>
      <c r="AF1258" s="180"/>
      <c r="AG1258" s="180"/>
      <c r="AH1258" s="180"/>
      <c r="AI1258" s="402"/>
      <c r="AJ1258" s="402"/>
      <c r="AK1258" s="178"/>
      <c r="AL1258" s="178"/>
      <c r="AM1258" s="401"/>
      <c r="AN1258" s="178"/>
      <c r="AO1258" s="53"/>
      <c r="AP1258" s="53"/>
      <c r="AQ1258" s="53"/>
      <c r="AR1258" s="53"/>
      <c r="AS1258" s="53"/>
    </row>
    <row r="1259" spans="1:45">
      <c r="A1259" s="111" t="s">
        <v>317</v>
      </c>
      <c r="C1259" s="129"/>
      <c r="D1259" s="137"/>
      <c r="F1259" s="128"/>
      <c r="G1259" s="137"/>
      <c r="I1259" s="128"/>
      <c r="J1259" s="137"/>
      <c r="N1259" s="137"/>
      <c r="R1259" s="137"/>
      <c r="V1259" s="137"/>
      <c r="Y1259" s="53"/>
      <c r="Z1259" s="53"/>
      <c r="AA1259" s="403"/>
      <c r="AB1259" s="403"/>
      <c r="AC1259" s="403"/>
      <c r="AD1259" s="403"/>
      <c r="AE1259" s="404"/>
      <c r="AF1259" s="404"/>
      <c r="AG1259" s="404"/>
      <c r="AH1259" s="404"/>
      <c r="AI1259" s="402"/>
      <c r="AJ1259" s="402"/>
      <c r="AK1259" s="261"/>
      <c r="AL1259" s="53"/>
      <c r="AM1259" s="401"/>
      <c r="AN1259" s="53"/>
      <c r="AO1259" s="53"/>
      <c r="AP1259" s="53"/>
      <c r="AQ1259" s="53"/>
      <c r="AR1259" s="53"/>
      <c r="AS1259" s="53"/>
    </row>
    <row r="1260" spans="1:45">
      <c r="A1260" s="111" t="s">
        <v>98</v>
      </c>
      <c r="C1260" s="129">
        <v>0</v>
      </c>
      <c r="D1260" s="130">
        <v>12.06</v>
      </c>
      <c r="F1260" s="131">
        <f>ROUND(D1260*$C1260,0)</f>
        <v>0</v>
      </c>
      <c r="G1260" s="130">
        <v>12.06</v>
      </c>
      <c r="I1260" s="131">
        <f t="shared" ref="I1260:I1261" si="266">ROUND(C1260*G1260,0)</f>
        <v>0</v>
      </c>
      <c r="J1260" s="130">
        <v>12.22</v>
      </c>
      <c r="L1260" s="131">
        <f>ROUND(J1260*$C1260,0)</f>
        <v>0</v>
      </c>
      <c r="M1260" s="131"/>
      <c r="N1260" s="130">
        <v>7.15</v>
      </c>
      <c r="P1260" s="131">
        <v>0</v>
      </c>
      <c r="Q1260" s="131"/>
      <c r="R1260" s="130">
        <v>1</v>
      </c>
      <c r="T1260" s="131">
        <v>0</v>
      </c>
      <c r="U1260" s="131"/>
      <c r="V1260" s="130">
        <v>4.07</v>
      </c>
      <c r="X1260" s="131">
        <v>0</v>
      </c>
      <c r="Y1260" s="53"/>
      <c r="Z1260" s="178"/>
      <c r="AA1260" s="110"/>
      <c r="AB1260" s="110"/>
      <c r="AC1260" s="373"/>
      <c r="AD1260" s="373"/>
      <c r="AE1260" s="180"/>
      <c r="AF1260" s="180"/>
      <c r="AG1260" s="180"/>
      <c r="AH1260" s="180"/>
      <c r="AI1260" s="402"/>
      <c r="AJ1260" s="402"/>
      <c r="AK1260" s="178"/>
      <c r="AL1260" s="178"/>
      <c r="AM1260" s="401"/>
      <c r="AN1260" s="178"/>
      <c r="AO1260" s="53"/>
      <c r="AP1260" s="53"/>
      <c r="AQ1260" s="53"/>
      <c r="AR1260" s="53"/>
      <c r="AS1260" s="53"/>
    </row>
    <row r="1261" spans="1:45">
      <c r="A1261" s="111" t="s">
        <v>99</v>
      </c>
      <c r="C1261" s="129">
        <v>0</v>
      </c>
      <c r="D1261" s="130">
        <v>19.53</v>
      </c>
      <c r="F1261" s="131">
        <f>ROUND(D1261*$C1261,0)</f>
        <v>0</v>
      </c>
      <c r="G1261" s="130">
        <v>19.53</v>
      </c>
      <c r="I1261" s="131">
        <f t="shared" si="266"/>
        <v>0</v>
      </c>
      <c r="J1261" s="130">
        <v>19.8</v>
      </c>
      <c r="L1261" s="131">
        <f>ROUND(J1261*$C1261,0)</f>
        <v>0</v>
      </c>
      <c r="M1261" s="131"/>
      <c r="N1261" s="130">
        <v>11.59</v>
      </c>
      <c r="P1261" s="131">
        <v>0</v>
      </c>
      <c r="Q1261" s="131"/>
      <c r="R1261" s="130">
        <v>1.62</v>
      </c>
      <c r="T1261" s="131">
        <v>0</v>
      </c>
      <c r="U1261" s="131"/>
      <c r="V1261" s="130">
        <v>6.6</v>
      </c>
      <c r="X1261" s="131">
        <v>0</v>
      </c>
      <c r="Y1261" s="53"/>
      <c r="Z1261" s="178"/>
      <c r="AA1261" s="110"/>
      <c r="AB1261" s="110"/>
      <c r="AC1261" s="373"/>
      <c r="AD1261" s="373"/>
      <c r="AE1261" s="180"/>
      <c r="AF1261" s="180"/>
      <c r="AG1261" s="180"/>
      <c r="AH1261" s="180"/>
      <c r="AI1261" s="402"/>
      <c r="AJ1261" s="402"/>
      <c r="AK1261" s="178"/>
      <c r="AL1261" s="178"/>
      <c r="AM1261" s="401"/>
      <c r="AN1261" s="178"/>
      <c r="AO1261" s="53"/>
      <c r="AP1261" s="53"/>
      <c r="AQ1261" s="53"/>
      <c r="AR1261" s="53"/>
      <c r="AS1261" s="53"/>
    </row>
    <row r="1262" spans="1:45">
      <c r="A1262" s="399" t="s">
        <v>320</v>
      </c>
      <c r="B1262" s="199"/>
      <c r="C1262" s="129"/>
      <c r="D1262" s="137"/>
      <c r="E1262" s="199"/>
      <c r="F1262" s="199"/>
      <c r="G1262" s="137"/>
      <c r="H1262" s="199"/>
      <c r="I1262" s="199"/>
      <c r="J1262" s="137"/>
      <c r="K1262" s="199"/>
      <c r="L1262" s="199"/>
      <c r="M1262" s="199"/>
      <c r="N1262" s="137"/>
      <c r="O1262" s="199"/>
      <c r="P1262" s="199"/>
      <c r="Q1262" s="199"/>
      <c r="R1262" s="137"/>
      <c r="S1262" s="199"/>
      <c r="T1262" s="199"/>
      <c r="U1262" s="199"/>
      <c r="V1262" s="137"/>
      <c r="W1262" s="199"/>
      <c r="X1262" s="199"/>
      <c r="Y1262" s="53"/>
      <c r="Z1262" s="53"/>
      <c r="AA1262" s="403"/>
      <c r="AB1262" s="403"/>
      <c r="AC1262" s="403"/>
      <c r="AD1262" s="403"/>
      <c r="AE1262" s="404"/>
      <c r="AF1262" s="404"/>
      <c r="AG1262" s="404"/>
      <c r="AH1262" s="404"/>
      <c r="AI1262" s="402"/>
      <c r="AJ1262" s="402"/>
      <c r="AK1262" s="261"/>
      <c r="AL1262" s="53"/>
      <c r="AM1262" s="401"/>
      <c r="AN1262" s="53"/>
      <c r="AO1262" s="53"/>
      <c r="AP1262" s="53"/>
      <c r="AQ1262" s="53"/>
      <c r="AR1262" s="53"/>
      <c r="AS1262" s="53"/>
    </row>
    <row r="1263" spans="1:45">
      <c r="A1263" s="111" t="s">
        <v>98</v>
      </c>
      <c r="C1263" s="129">
        <v>419.99912545184998</v>
      </c>
      <c r="D1263" s="130">
        <v>10.19</v>
      </c>
      <c r="F1263" s="131">
        <f>ROUND(D1263*$C1263,0)</f>
        <v>4280</v>
      </c>
      <c r="G1263" s="130">
        <v>10.19</v>
      </c>
      <c r="I1263" s="131">
        <f t="shared" ref="I1263:I1265" si="267">ROUND(C1263*G1263,0)</f>
        <v>4280</v>
      </c>
      <c r="J1263" s="130">
        <v>10.33</v>
      </c>
      <c r="L1263" s="131">
        <f>ROUND(J1263*$C1263,0)</f>
        <v>4339</v>
      </c>
      <c r="M1263" s="131"/>
      <c r="N1263" s="130">
        <v>6.05</v>
      </c>
      <c r="P1263" s="131">
        <v>2539.2785299640227</v>
      </c>
      <c r="Q1263" s="131"/>
      <c r="R1263" s="130">
        <v>0.85</v>
      </c>
      <c r="T1263" s="131">
        <v>355.6892020287047</v>
      </c>
      <c r="U1263" s="131"/>
      <c r="V1263" s="130">
        <v>3.4499999999999997</v>
      </c>
      <c r="X1263" s="131">
        <v>1444.0322680072725</v>
      </c>
      <c r="Y1263" s="53"/>
      <c r="Z1263" s="178"/>
      <c r="AA1263" s="110"/>
      <c r="AB1263" s="110"/>
      <c r="AC1263" s="373"/>
      <c r="AD1263" s="373"/>
      <c r="AE1263" s="180"/>
      <c r="AF1263" s="180"/>
      <c r="AG1263" s="180"/>
      <c r="AH1263" s="180"/>
      <c r="AI1263" s="402"/>
      <c r="AJ1263" s="402"/>
      <c r="AK1263" s="178"/>
      <c r="AL1263" s="178"/>
      <c r="AM1263" s="401"/>
      <c r="AN1263" s="178"/>
      <c r="AO1263" s="53"/>
      <c r="AP1263" s="53"/>
      <c r="AQ1263" s="53"/>
      <c r="AR1263" s="53"/>
      <c r="AS1263" s="53"/>
    </row>
    <row r="1264" spans="1:45">
      <c r="A1264" s="111" t="s">
        <v>99</v>
      </c>
      <c r="C1264" s="129">
        <v>789.011016126664</v>
      </c>
      <c r="D1264" s="130">
        <v>17.84</v>
      </c>
      <c r="F1264" s="131">
        <f>ROUND(D1264*$C1264,0)</f>
        <v>14076</v>
      </c>
      <c r="G1264" s="130">
        <v>17.84</v>
      </c>
      <c r="I1264" s="131">
        <f t="shared" si="267"/>
        <v>14076</v>
      </c>
      <c r="J1264" s="130">
        <v>18.079999999999998</v>
      </c>
      <c r="L1264" s="131">
        <f>ROUND(J1264*$C1264,0)</f>
        <v>14265</v>
      </c>
      <c r="M1264" s="131"/>
      <c r="N1264" s="130">
        <v>10.58</v>
      </c>
      <c r="P1264" s="131">
        <v>8348.1927241154153</v>
      </c>
      <c r="Q1264" s="131"/>
      <c r="R1264" s="130">
        <v>1.48</v>
      </c>
      <c r="T1264" s="131">
        <v>1169.3723131918582</v>
      </c>
      <c r="U1264" s="131"/>
      <c r="V1264" s="130">
        <v>6.02</v>
      </c>
      <c r="X1264" s="131">
        <v>4747.4349626927269</v>
      </c>
      <c r="Y1264" s="53"/>
      <c r="Z1264" s="178"/>
      <c r="AA1264" s="110"/>
      <c r="AB1264" s="110"/>
      <c r="AC1264" s="373"/>
      <c r="AD1264" s="373"/>
      <c r="AE1264" s="180"/>
      <c r="AF1264" s="180"/>
      <c r="AG1264" s="180"/>
      <c r="AH1264" s="180"/>
      <c r="AI1264" s="402"/>
      <c r="AJ1264" s="402"/>
      <c r="AK1264" s="178"/>
      <c r="AL1264" s="178"/>
      <c r="AM1264" s="401"/>
      <c r="AN1264" s="178"/>
      <c r="AO1264" s="53"/>
      <c r="AP1264" s="53"/>
      <c r="AQ1264" s="53"/>
      <c r="AR1264" s="53"/>
      <c r="AS1264" s="53"/>
    </row>
    <row r="1265" spans="1:47">
      <c r="A1265" s="111" t="s">
        <v>100</v>
      </c>
      <c r="C1265" s="129">
        <v>0</v>
      </c>
      <c r="D1265" s="130">
        <v>38.11</v>
      </c>
      <c r="F1265" s="131">
        <f>ROUND(D1265*$C1265,0)</f>
        <v>0</v>
      </c>
      <c r="G1265" s="130">
        <v>38.11</v>
      </c>
      <c r="I1265" s="131">
        <f t="shared" si="267"/>
        <v>0</v>
      </c>
      <c r="J1265" s="130">
        <v>38.630000000000003</v>
      </c>
      <c r="L1265" s="131">
        <f>ROUND(J1265*$C1265,0)</f>
        <v>0</v>
      </c>
      <c r="M1265" s="131"/>
      <c r="N1265" s="130">
        <v>22.61</v>
      </c>
      <c r="P1265" s="131">
        <v>0</v>
      </c>
      <c r="Q1265" s="131"/>
      <c r="R1265" s="130">
        <v>3.17</v>
      </c>
      <c r="T1265" s="131">
        <v>0</v>
      </c>
      <c r="U1265" s="131"/>
      <c r="V1265" s="130">
        <v>12.85</v>
      </c>
      <c r="X1265" s="131">
        <v>0</v>
      </c>
      <c r="Y1265" s="53"/>
      <c r="Z1265" s="178"/>
      <c r="AA1265" s="110"/>
      <c r="AB1265" s="110"/>
      <c r="AC1265" s="373"/>
      <c r="AD1265" s="373"/>
      <c r="AE1265" s="180"/>
      <c r="AF1265" s="180"/>
      <c r="AG1265" s="180"/>
      <c r="AH1265" s="180"/>
      <c r="AI1265" s="402"/>
      <c r="AJ1265" s="402"/>
      <c r="AK1265" s="178"/>
      <c r="AL1265" s="178"/>
      <c r="AM1265" s="401"/>
      <c r="AN1265" s="178"/>
      <c r="AO1265" s="53"/>
      <c r="AP1265" s="53"/>
      <c r="AQ1265" s="53"/>
      <c r="AR1265" s="53"/>
      <c r="AS1265" s="53"/>
    </row>
    <row r="1266" spans="1:47">
      <c r="A1266" s="405" t="s">
        <v>321</v>
      </c>
      <c r="C1266" s="129"/>
      <c r="D1266" s="130"/>
      <c r="F1266" s="131"/>
      <c r="G1266" s="130"/>
      <c r="I1266" s="131"/>
      <c r="J1266" s="130"/>
      <c r="L1266" s="131"/>
      <c r="M1266" s="131"/>
      <c r="N1266" s="130"/>
      <c r="P1266" s="131"/>
      <c r="Q1266" s="131"/>
      <c r="R1266" s="130"/>
      <c r="T1266" s="131"/>
      <c r="U1266" s="131"/>
      <c r="V1266" s="130"/>
      <c r="X1266" s="131"/>
      <c r="Y1266" s="53"/>
      <c r="Z1266" s="53"/>
      <c r="AA1266" s="403"/>
      <c r="AB1266" s="403"/>
      <c r="AC1266" s="403"/>
      <c r="AD1266" s="403"/>
      <c r="AE1266" s="406"/>
      <c r="AF1266" s="406"/>
      <c r="AG1266" s="406"/>
      <c r="AH1266" s="406"/>
      <c r="AI1266" s="402"/>
      <c r="AJ1266" s="402"/>
      <c r="AK1266" s="261"/>
      <c r="AL1266" s="53"/>
      <c r="AM1266" s="401"/>
      <c r="AN1266" s="53"/>
      <c r="AO1266" s="53"/>
      <c r="AP1266" s="53"/>
      <c r="AQ1266" s="53"/>
      <c r="AR1266" s="53"/>
      <c r="AS1266" s="53"/>
    </row>
    <row r="1267" spans="1:47">
      <c r="A1267" s="111" t="s">
        <v>322</v>
      </c>
      <c r="C1267" s="129">
        <v>0</v>
      </c>
      <c r="D1267" s="130">
        <v>36.57</v>
      </c>
      <c r="F1267" s="131">
        <f>ROUND(D1267*$C1267,0)</f>
        <v>0</v>
      </c>
      <c r="G1267" s="130">
        <v>36.57</v>
      </c>
      <c r="I1267" s="131">
        <f t="shared" ref="I1267" si="268">ROUND(C1267*G1267,0)</f>
        <v>0</v>
      </c>
      <c r="J1267" s="130">
        <v>37.07</v>
      </c>
      <c r="L1267" s="131">
        <f>ROUND(J1267*$C1267,0)</f>
        <v>0</v>
      </c>
      <c r="M1267" s="131"/>
      <c r="N1267" s="130">
        <v>21.69</v>
      </c>
      <c r="P1267" s="131">
        <v>0</v>
      </c>
      <c r="Q1267" s="131"/>
      <c r="R1267" s="130">
        <v>3.04</v>
      </c>
      <c r="T1267" s="131">
        <v>0</v>
      </c>
      <c r="U1267" s="131"/>
      <c r="V1267" s="130">
        <v>12.34</v>
      </c>
      <c r="X1267" s="131">
        <v>0</v>
      </c>
      <c r="Y1267" s="53"/>
      <c r="Z1267" s="178"/>
      <c r="AA1267" s="110"/>
      <c r="AB1267" s="110"/>
      <c r="AC1267" s="373"/>
      <c r="AD1267" s="373"/>
      <c r="AE1267" s="180"/>
      <c r="AF1267" s="180"/>
      <c r="AG1267" s="180"/>
      <c r="AH1267" s="180"/>
      <c r="AI1267" s="402"/>
      <c r="AJ1267" s="402"/>
      <c r="AK1267" s="178"/>
      <c r="AL1267" s="178"/>
      <c r="AM1267" s="401"/>
      <c r="AN1267" s="178"/>
      <c r="AO1267" s="53"/>
      <c r="AP1267" s="53"/>
      <c r="AQ1267" s="53"/>
      <c r="AR1267" s="53"/>
      <c r="AS1267" s="53"/>
    </row>
    <row r="1268" spans="1:47">
      <c r="A1268" s="111" t="s">
        <v>109</v>
      </c>
      <c r="C1268" s="129">
        <v>407</v>
      </c>
      <c r="D1268" s="407"/>
      <c r="F1268" s="131"/>
      <c r="G1268" s="407"/>
      <c r="I1268" s="131"/>
      <c r="J1268" s="407"/>
      <c r="L1268" s="131"/>
      <c r="M1268" s="131"/>
      <c r="N1268" s="407"/>
      <c r="P1268" s="131"/>
      <c r="Q1268" s="131"/>
      <c r="R1268" s="407"/>
      <c r="T1268" s="131"/>
      <c r="U1268" s="131"/>
      <c r="V1268" s="407"/>
      <c r="X1268" s="131"/>
      <c r="Y1268" s="53"/>
      <c r="Z1268" s="178"/>
      <c r="AA1268" s="408"/>
      <c r="AB1268" s="408"/>
      <c r="AC1268" s="53"/>
      <c r="AD1268" s="53"/>
      <c r="AE1268" s="183"/>
      <c r="AF1268" s="183"/>
      <c r="AG1268" s="183"/>
      <c r="AH1268" s="183"/>
      <c r="AI1268" s="175"/>
      <c r="AJ1268" s="175"/>
      <c r="AK1268" s="178"/>
      <c r="AL1268" s="178"/>
      <c r="AM1268" s="178"/>
      <c r="AN1268" s="178"/>
      <c r="AO1268" s="53"/>
      <c r="AP1268" s="53"/>
      <c r="AQ1268" s="53"/>
      <c r="AR1268" s="53"/>
      <c r="AS1268" s="53"/>
    </row>
    <row r="1269" spans="1:47" s="141" customFormat="1" hidden="1">
      <c r="A1269" s="140" t="s">
        <v>276</v>
      </c>
      <c r="C1269" s="142">
        <f>C1270</f>
        <v>1932402.666666667</v>
      </c>
      <c r="D1269" s="138"/>
      <c r="E1269" s="143"/>
      <c r="F1269" s="144"/>
      <c r="G1269" s="138"/>
      <c r="H1269" s="143"/>
      <c r="I1269" s="144"/>
      <c r="J1269" s="145">
        <v>0</v>
      </c>
      <c r="K1269" s="283" t="s">
        <v>107</v>
      </c>
      <c r="L1269" s="283">
        <f>ROUND(J1269*$C1269/100,0)</f>
        <v>0</v>
      </c>
      <c r="M1269" s="283"/>
      <c r="N1269" s="145" t="s">
        <v>0</v>
      </c>
      <c r="O1269" s="146" t="s">
        <v>0</v>
      </c>
      <c r="P1269" s="131">
        <v>0</v>
      </c>
      <c r="Q1269" s="144"/>
      <c r="R1269" s="145" t="s">
        <v>0</v>
      </c>
      <c r="S1269" s="146" t="s">
        <v>0</v>
      </c>
      <c r="T1269" s="131">
        <v>0</v>
      </c>
      <c r="U1269" s="144"/>
      <c r="V1269" s="145">
        <v>0</v>
      </c>
      <c r="W1269" s="146" t="s">
        <v>107</v>
      </c>
      <c r="X1269" s="131">
        <v>0</v>
      </c>
      <c r="Y1269" s="147">
        <v>44500.08338760279</v>
      </c>
      <c r="Z1269" s="132" t="s">
        <v>108</v>
      </c>
      <c r="AC1269" s="148"/>
      <c r="AD1269" s="148"/>
      <c r="AI1269" s="143"/>
      <c r="AJ1269" s="143"/>
      <c r="AK1269" s="143"/>
      <c r="AL1269" s="143"/>
      <c r="AM1269" s="143"/>
      <c r="AN1269" s="143"/>
      <c r="AO1269" s="143"/>
      <c r="AP1269" s="143"/>
      <c r="AQ1269" s="143"/>
      <c r="AR1269" s="143"/>
      <c r="AS1269" s="143"/>
      <c r="AU1269" s="147"/>
    </row>
    <row r="1270" spans="1:47">
      <c r="A1270" s="111" t="s">
        <v>133</v>
      </c>
      <c r="C1270" s="129">
        <v>1932402.666666667</v>
      </c>
      <c r="D1270" s="138"/>
      <c r="E1270" s="53"/>
      <c r="F1270" s="151">
        <f>SUM(F1240:F1267)</f>
        <v>236164</v>
      </c>
      <c r="G1270" s="138"/>
      <c r="H1270" s="53"/>
      <c r="I1270" s="151">
        <f>SUM(I1240:I1267)</f>
        <v>236164</v>
      </c>
      <c r="J1270" s="138"/>
      <c r="K1270" s="53"/>
      <c r="L1270" s="151">
        <f>SUM(L1240:L1269)</f>
        <v>239313</v>
      </c>
      <c r="M1270" s="151"/>
      <c r="N1270" s="138"/>
      <c r="O1270" s="53"/>
      <c r="P1270" s="151">
        <f>SUM(P1240:P1269)</f>
        <v>140051.24748589081</v>
      </c>
      <c r="Q1270" s="151"/>
      <c r="R1270" s="138"/>
      <c r="S1270" s="53"/>
      <c r="T1270" s="151">
        <f>SUM(T1240:T1269)</f>
        <v>19617.665361856514</v>
      </c>
      <c r="U1270" s="151"/>
      <c r="V1270" s="138"/>
      <c r="W1270" s="53"/>
      <c r="X1270" s="151">
        <f>SUM(X1240:X1269)</f>
        <v>79644.087152252701</v>
      </c>
      <c r="Y1270" s="53"/>
      <c r="Z1270" s="178"/>
      <c r="AA1270" s="409"/>
      <c r="AB1270" s="409"/>
      <c r="AC1270" s="53"/>
      <c r="AD1270" s="53"/>
      <c r="AE1270" s="183"/>
      <c r="AF1270" s="183"/>
      <c r="AG1270" s="183"/>
      <c r="AH1270" s="183"/>
      <c r="AI1270" s="175"/>
      <c r="AJ1270" s="175"/>
      <c r="AK1270" s="184"/>
      <c r="AL1270" s="175"/>
      <c r="AM1270" s="175"/>
      <c r="AN1270" s="175"/>
      <c r="AO1270" s="53"/>
      <c r="AP1270" s="53"/>
      <c r="AQ1270" s="53"/>
      <c r="AR1270" s="53"/>
      <c r="AS1270" s="53"/>
    </row>
    <row r="1271" spans="1:47">
      <c r="A1271" s="111" t="s">
        <v>111</v>
      </c>
      <c r="C1271" s="129">
        <v>-189146.84989545256</v>
      </c>
      <c r="D1271" s="138"/>
      <c r="E1271" s="53"/>
      <c r="F1271" s="151">
        <f>I1271</f>
        <v>-23253.943225423351</v>
      </c>
      <c r="G1271" s="138"/>
      <c r="H1271" s="53"/>
      <c r="I1271" s="151">
        <v>-23253.943225423351</v>
      </c>
      <c r="J1271" s="138"/>
      <c r="K1271" s="53"/>
      <c r="L1271" s="151">
        <f>I1271</f>
        <v>-23253.943225423351</v>
      </c>
      <c r="M1271" s="151"/>
      <c r="N1271" s="138"/>
      <c r="O1271" s="53"/>
      <c r="P1271" s="151">
        <f>$L$1271*Y1275/($Y$1275+$Z$1275+$AA$1275)</f>
        <v>-13608.720619801767</v>
      </c>
      <c r="Q1271" s="153"/>
      <c r="R1271" s="154"/>
      <c r="S1271" s="154"/>
      <c r="T1271" s="151">
        <f>$L$1271*Z1275/($Y$1275+$Z$1275+$AA$1275)</f>
        <v>-1906.2402650084432</v>
      </c>
      <c r="U1271" s="153"/>
      <c r="V1271" s="154"/>
      <c r="W1271" s="154"/>
      <c r="X1271" s="151">
        <f>$L$1271*AA1275/($Y$1275+$Z$1275+$AA$1275)</f>
        <v>-7738.9823406131427</v>
      </c>
      <c r="Y1271" s="185"/>
      <c r="Z1271" s="183"/>
      <c r="AA1271" s="175"/>
      <c r="AB1271" s="175"/>
      <c r="AC1271" s="175"/>
      <c r="AD1271" s="175"/>
      <c r="AE1271" s="180"/>
      <c r="AF1271" s="180"/>
      <c r="AG1271" s="180"/>
      <c r="AH1271" s="180"/>
      <c r="AI1271" s="178"/>
      <c r="AJ1271" s="175"/>
      <c r="AK1271" s="53"/>
      <c r="AL1271" s="53"/>
      <c r="AM1271" s="53"/>
      <c r="AN1271" s="53"/>
      <c r="AO1271" s="53"/>
      <c r="AP1271" s="53"/>
      <c r="AQ1271" s="53"/>
      <c r="AR1271" s="53"/>
      <c r="AS1271" s="53"/>
    </row>
    <row r="1272" spans="1:47" ht="16.5" thickBot="1">
      <c r="A1272" s="111" t="s">
        <v>112</v>
      </c>
      <c r="C1272" s="156">
        <f>C1270+C1271</f>
        <v>1743255.8167712144</v>
      </c>
      <c r="D1272" s="157"/>
      <c r="E1272" s="157"/>
      <c r="F1272" s="157">
        <f>F1270+F1271</f>
        <v>212910.05677457666</v>
      </c>
      <c r="G1272" s="158"/>
      <c r="H1272" s="158"/>
      <c r="I1272" s="157">
        <f>I1270+I1271</f>
        <v>212910.05677457666</v>
      </c>
      <c r="J1272" s="158"/>
      <c r="K1272" s="158"/>
      <c r="L1272" s="157">
        <f>L1270+L1271</f>
        <v>216059.05677457666</v>
      </c>
      <c r="M1272" s="158"/>
      <c r="N1272" s="158"/>
      <c r="O1272" s="158"/>
      <c r="P1272" s="157">
        <f>P1270+P1271</f>
        <v>126442.52686608904</v>
      </c>
      <c r="Q1272" s="158"/>
      <c r="R1272" s="158"/>
      <c r="S1272" s="158"/>
      <c r="T1272" s="157">
        <f>T1270+T1271</f>
        <v>17711.42509684807</v>
      </c>
      <c r="U1272" s="158"/>
      <c r="V1272" s="158"/>
      <c r="W1272" s="158"/>
      <c r="X1272" s="157">
        <f>X1270+X1271</f>
        <v>71905.104811639554</v>
      </c>
      <c r="Y1272" s="376" t="s">
        <v>165</v>
      </c>
      <c r="Z1272" s="160">
        <v>216082.00820002239</v>
      </c>
      <c r="AA1272" s="161">
        <f>(L1272-I1272)/I1272</f>
        <v>1.479028303174084E-2</v>
      </c>
      <c r="AB1272" s="369"/>
      <c r="AC1272" s="175"/>
      <c r="AD1272" s="175"/>
      <c r="AE1272" s="175"/>
      <c r="AF1272" s="175"/>
      <c r="AG1272" s="175"/>
      <c r="AH1272" s="175"/>
      <c r="AI1272" s="175"/>
      <c r="AJ1272" s="175"/>
      <c r="AK1272" s="53"/>
      <c r="AL1272" s="53"/>
      <c r="AM1272" s="53"/>
      <c r="AN1272" s="53"/>
      <c r="AO1272" s="53"/>
      <c r="AP1272" s="53"/>
      <c r="AQ1272" s="53"/>
      <c r="AR1272" s="53"/>
      <c r="AS1272" s="53"/>
    </row>
    <row r="1273" spans="1:47" ht="16.5" thickTop="1">
      <c r="A1273" s="163" t="s">
        <v>114</v>
      </c>
      <c r="C1273" s="410" t="s">
        <v>0</v>
      </c>
      <c r="D1273" s="168"/>
      <c r="E1273" s="168"/>
      <c r="F1273" s="128"/>
      <c r="G1273" s="168" t="s">
        <v>0</v>
      </c>
      <c r="H1273" s="168"/>
      <c r="I1273" s="128"/>
      <c r="J1273" s="168" t="s">
        <v>0</v>
      </c>
      <c r="K1273" s="168"/>
      <c r="L1273" s="131" t="s">
        <v>0</v>
      </c>
      <c r="M1273" s="131"/>
      <c r="N1273" s="168" t="s">
        <v>0</v>
      </c>
      <c r="O1273" s="168"/>
      <c r="P1273" s="131" t="s">
        <v>0</v>
      </c>
      <c r="Q1273" s="131"/>
      <c r="R1273" s="168" t="s">
        <v>0</v>
      </c>
      <c r="S1273" s="168"/>
      <c r="T1273" s="131" t="s">
        <v>0</v>
      </c>
      <c r="U1273" s="131"/>
      <c r="V1273" s="168" t="s">
        <v>0</v>
      </c>
      <c r="W1273" s="168"/>
      <c r="X1273" s="131" t="s">
        <v>0</v>
      </c>
      <c r="Y1273" s="381" t="s">
        <v>115</v>
      </c>
      <c r="Z1273" s="171">
        <f>Z1272-L1272</f>
        <v>22.951425445731729</v>
      </c>
      <c r="AA1273" s="382">
        <v>-0.14423</v>
      </c>
      <c r="AB1273" s="252"/>
      <c r="AC1273" s="175"/>
      <c r="AD1273" s="175"/>
      <c r="AE1273" s="175"/>
      <c r="AF1273" s="175"/>
      <c r="AG1273" s="175"/>
      <c r="AH1273" s="175"/>
      <c r="AI1273" s="175"/>
      <c r="AJ1273" s="175"/>
      <c r="AK1273" s="53"/>
      <c r="AL1273" s="53"/>
      <c r="AM1273" s="53"/>
      <c r="AN1273" s="53"/>
      <c r="AO1273" s="53"/>
      <c r="AP1273" s="53"/>
      <c r="AQ1273" s="53"/>
      <c r="AR1273" s="53"/>
      <c r="AS1273" s="53"/>
    </row>
    <row r="1274" spans="1:47">
      <c r="C1274" s="308"/>
      <c r="D1274" s="168"/>
      <c r="E1274" s="168"/>
      <c r="F1274" s="128"/>
      <c r="G1274" s="168"/>
      <c r="H1274" s="168"/>
      <c r="I1274" s="128"/>
      <c r="J1274" s="168"/>
      <c r="K1274" s="168"/>
      <c r="L1274" s="131"/>
      <c r="M1274" s="131"/>
      <c r="N1274" s="168"/>
      <c r="O1274" s="168"/>
      <c r="P1274" s="131"/>
      <c r="Q1274" s="131"/>
      <c r="R1274" s="168"/>
      <c r="S1274" s="168"/>
      <c r="T1274" s="131"/>
      <c r="U1274" s="131"/>
      <c r="V1274" s="168"/>
      <c r="W1274" s="168"/>
      <c r="X1274" s="131"/>
      <c r="Y1274" s="173">
        <f>Y30</f>
        <v>0.58522206267896359</v>
      </c>
      <c r="Z1274" s="173">
        <f>Z30</f>
        <v>8.1974925565500054E-2</v>
      </c>
      <c r="AA1274" s="173">
        <f>AA30</f>
        <v>0.33280301175553639</v>
      </c>
      <c r="AB1274" s="252"/>
      <c r="AC1274" s="175"/>
      <c r="AD1274" s="175"/>
      <c r="AE1274" s="175"/>
      <c r="AF1274" s="175"/>
      <c r="AG1274" s="175"/>
      <c r="AH1274" s="175"/>
      <c r="AI1274" s="175"/>
      <c r="AJ1274" s="175"/>
      <c r="AK1274" s="53"/>
      <c r="AL1274" s="53"/>
      <c r="AM1274" s="53"/>
      <c r="AN1274" s="53"/>
      <c r="AO1274" s="53"/>
      <c r="AP1274" s="53"/>
      <c r="AQ1274" s="53"/>
      <c r="AR1274" s="53"/>
      <c r="AS1274" s="53"/>
    </row>
    <row r="1275" spans="1:47">
      <c r="C1275" s="308"/>
      <c r="D1275" s="168"/>
      <c r="E1275" s="168"/>
      <c r="F1275" s="128"/>
      <c r="G1275" s="168"/>
      <c r="H1275" s="168"/>
      <c r="I1275" s="128"/>
      <c r="J1275" s="168"/>
      <c r="K1275" s="168"/>
      <c r="L1275" s="131"/>
      <c r="M1275" s="131"/>
      <c r="N1275" s="168"/>
      <c r="O1275" s="168"/>
      <c r="P1275" s="131"/>
      <c r="Q1275" s="131"/>
      <c r="R1275" s="168"/>
      <c r="S1275" s="168"/>
      <c r="T1275" s="131"/>
      <c r="U1275" s="131"/>
      <c r="V1275" s="168"/>
      <c r="W1275" s="168"/>
      <c r="X1275" s="131"/>
      <c r="Y1275" s="166">
        <f>L1272*Y1274</f>
        <v>126442.52686608906</v>
      </c>
      <c r="Z1275" s="166">
        <f>L1272*Z1274</f>
        <v>17711.42509684807</v>
      </c>
      <c r="AA1275" s="166">
        <f>L1272*AA1274</f>
        <v>71905.10481163954</v>
      </c>
      <c r="AB1275" s="252"/>
      <c r="AC1275" s="175"/>
      <c r="AD1275" s="175"/>
      <c r="AE1275" s="175"/>
      <c r="AF1275" s="175"/>
      <c r="AG1275" s="175"/>
      <c r="AH1275" s="175"/>
      <c r="AI1275" s="175"/>
      <c r="AJ1275" s="175"/>
      <c r="AK1275" s="53"/>
      <c r="AL1275" s="53"/>
      <c r="AM1275" s="53"/>
      <c r="AN1275" s="53"/>
      <c r="AO1275" s="53"/>
      <c r="AP1275" s="53"/>
      <c r="AQ1275" s="53"/>
      <c r="AR1275" s="53"/>
      <c r="AS1275" s="53"/>
    </row>
    <row r="1276" spans="1:47">
      <c r="A1276" s="199"/>
      <c r="B1276" s="218"/>
      <c r="C1276" s="334"/>
      <c r="D1276" s="411"/>
      <c r="E1276" s="131"/>
      <c r="F1276" s="131"/>
      <c r="G1276" s="411"/>
      <c r="H1276" s="199"/>
      <c r="I1276" s="131"/>
      <c r="J1276" s="411"/>
      <c r="K1276" s="199"/>
      <c r="L1276" s="131"/>
      <c r="M1276" s="131"/>
      <c r="N1276" s="411"/>
      <c r="O1276" s="199"/>
      <c r="P1276" s="131"/>
      <c r="Q1276" s="131"/>
      <c r="R1276" s="411"/>
      <c r="S1276" s="199"/>
      <c r="T1276" s="131"/>
      <c r="U1276" s="131"/>
      <c r="V1276" s="411"/>
      <c r="W1276" s="199"/>
      <c r="X1276" s="131"/>
      <c r="Y1276" s="53"/>
      <c r="Z1276" s="110"/>
      <c r="AA1276" s="110"/>
      <c r="AB1276" s="110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</row>
    <row r="1277" spans="1:47" s="139" customFormat="1" ht="19.899999999999999" customHeight="1" thickBot="1">
      <c r="A1277" s="264" t="s">
        <v>323</v>
      </c>
      <c r="B1277" s="218"/>
      <c r="C1277" s="412">
        <f>C27+C101+C205+C597+C637+C769+C899+C917+C1141+C1158+C1172+C1232+C1272</f>
        <v>4010161433.2736087</v>
      </c>
      <c r="D1277" s="413"/>
      <c r="E1277" s="414"/>
      <c r="F1277" s="414">
        <f>F27+F101+F205+F597+F637+F769+F899+F917+F1141+F1158+F1172+F1232+F1272</f>
        <v>303763847.08834213</v>
      </c>
      <c r="G1277" s="413"/>
      <c r="H1277" s="414"/>
      <c r="I1277" s="414">
        <f>I27+I101+I205+I597+I637+I769+I899+I917+I1141+I1158+I1172+I1232+I1272</f>
        <v>320954139.52952307</v>
      </c>
      <c r="J1277" s="413"/>
      <c r="K1277" s="414"/>
      <c r="L1277" s="414">
        <f>L27+L101+L205+L597+L637+L769+L899+L955+L1012+L1106+L1141+L1158+L1172+L1232+L1272</f>
        <v>330517767.83531326</v>
      </c>
      <c r="M1277" s="414"/>
      <c r="N1277" s="413"/>
      <c r="O1277" s="414"/>
      <c r="P1277" s="414">
        <f>P27+P101+P205+P597+P637+P769+P899+P955+P1012+P1106+P1141+P1158+P1172+P1232+P1272</f>
        <v>62639875.45940464</v>
      </c>
      <c r="Q1277" s="414"/>
      <c r="R1277" s="413"/>
      <c r="S1277" s="414"/>
      <c r="T1277" s="414">
        <f>T27+T101+T205+T597+T637+T769+T899+T955+T1012+T1106+T1141+T1158+T1172+T1232+T1272</f>
        <v>53044150.849139169</v>
      </c>
      <c r="U1277" s="414"/>
      <c r="V1277" s="413"/>
      <c r="W1277" s="414"/>
      <c r="X1277" s="414">
        <f>X27+X101+X205+X597+X637+X769+X899+X955+X1012+X1106+X1141+X1158+X1172+X1232+X1272</f>
        <v>214833741.97244304</v>
      </c>
      <c r="Y1277" s="415" t="s">
        <v>165</v>
      </c>
      <c r="Z1277" s="416">
        <f>Z27+Z101+Z205+Z637+Z769+Z936+Z1106+Z1141+Z1158+Z1172+Z1232+Z1272</f>
        <v>330517433.96828282</v>
      </c>
      <c r="AA1277" s="110"/>
      <c r="AB1277" s="110"/>
      <c r="AC1277" s="222"/>
      <c r="AD1277" s="222"/>
      <c r="AE1277" s="222"/>
      <c r="AF1277" s="222"/>
      <c r="AG1277" s="222"/>
      <c r="AH1277" s="222"/>
      <c r="AI1277" s="222"/>
      <c r="AJ1277" s="222"/>
      <c r="AK1277" s="222"/>
      <c r="AL1277" s="222"/>
      <c r="AM1277" s="222"/>
      <c r="AN1277" s="222"/>
    </row>
    <row r="1278" spans="1:47" ht="17.25" thickTop="1" thickBot="1">
      <c r="A1278" s="169"/>
      <c r="B1278" s="218"/>
      <c r="C1278" s="412"/>
      <c r="D1278" s="250"/>
      <c r="E1278" s="131"/>
      <c r="F1278" s="131"/>
      <c r="G1278" s="250" t="s">
        <v>0</v>
      </c>
      <c r="H1278" s="169"/>
      <c r="I1278" s="131"/>
      <c r="J1278" s="277" t="s">
        <v>0</v>
      </c>
      <c r="K1278" s="169"/>
      <c r="L1278" s="131" t="s">
        <v>0</v>
      </c>
      <c r="M1278" s="131"/>
      <c r="N1278" s="277" t="s">
        <v>0</v>
      </c>
      <c r="O1278" s="169"/>
      <c r="P1278" s="131" t="s">
        <v>0</v>
      </c>
      <c r="Q1278" s="131"/>
      <c r="R1278" s="277" t="s">
        <v>0</v>
      </c>
      <c r="S1278" s="169"/>
      <c r="T1278" s="131" t="s">
        <v>0</v>
      </c>
      <c r="U1278" s="131"/>
      <c r="V1278" s="277" t="s">
        <v>0</v>
      </c>
      <c r="W1278" s="169"/>
      <c r="X1278" s="131" t="s">
        <v>0</v>
      </c>
      <c r="Y1278" s="170" t="s">
        <v>115</v>
      </c>
      <c r="Z1278" s="417">
        <f>Z1277-L1277</f>
        <v>-333.86703044176102</v>
      </c>
      <c r="AA1278" s="418" t="s">
        <v>0</v>
      </c>
      <c r="AB1278" s="418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</row>
    <row r="1279" spans="1:47" ht="16.5" thickTop="1">
      <c r="A1279" s="169" t="s">
        <v>324</v>
      </c>
      <c r="B1279" s="218"/>
      <c r="C1279" s="419"/>
      <c r="D1279" s="420"/>
      <c r="E1279" s="421"/>
      <c r="F1279" s="421">
        <f>I1279</f>
        <v>651518.29</v>
      </c>
      <c r="G1279" s="420"/>
      <c r="H1279" s="422"/>
      <c r="I1279" s="421">
        <v>651518.29</v>
      </c>
      <c r="J1279" s="423"/>
      <c r="K1279" s="422"/>
      <c r="L1279" s="424">
        <f>I1279</f>
        <v>651518.29</v>
      </c>
      <c r="M1279" s="421"/>
      <c r="N1279" s="423"/>
      <c r="O1279" s="422"/>
      <c r="P1279" s="424">
        <f>L1279</f>
        <v>651518.29</v>
      </c>
      <c r="Q1279" s="421"/>
      <c r="R1279" s="423"/>
      <c r="S1279" s="422"/>
      <c r="T1279" s="424" t="s">
        <v>0</v>
      </c>
      <c r="U1279" s="421"/>
      <c r="V1279" s="423"/>
      <c r="W1279" s="422"/>
      <c r="X1279" s="424" t="str">
        <f>T1279</f>
        <v xml:space="preserve"> </v>
      </c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</row>
    <row r="1280" spans="1:47" s="139" customFormat="1" ht="19.899999999999999" customHeight="1" thickBot="1">
      <c r="A1280" s="425" t="s">
        <v>325</v>
      </c>
      <c r="B1280" s="426"/>
      <c r="C1280" s="427">
        <f>C1277+C1279</f>
        <v>4010161433.2736087</v>
      </c>
      <c r="D1280" s="428"/>
      <c r="E1280" s="429"/>
      <c r="F1280" s="430">
        <f>F1277+F1279</f>
        <v>304415365.37834215</v>
      </c>
      <c r="G1280" s="431"/>
      <c r="H1280" s="429"/>
      <c r="I1280" s="430">
        <f>I1277+I1279</f>
        <v>321605657.8195231</v>
      </c>
      <c r="J1280" s="432"/>
      <c r="K1280" s="429"/>
      <c r="L1280" s="430">
        <f>L1277+L1279</f>
        <v>331169286.12531328</v>
      </c>
      <c r="M1280" s="430"/>
      <c r="N1280" s="432"/>
      <c r="O1280" s="429"/>
      <c r="P1280" s="430">
        <f>P1277+P1279</f>
        <v>63291393.749404639</v>
      </c>
      <c r="Q1280" s="430"/>
      <c r="R1280" s="432"/>
      <c r="S1280" s="429"/>
      <c r="T1280" s="430">
        <f>T1277+T1279</f>
        <v>53044150.849139169</v>
      </c>
      <c r="U1280" s="430"/>
      <c r="V1280" s="432"/>
      <c r="W1280" s="429"/>
      <c r="X1280" s="430">
        <f>X1277+X1279</f>
        <v>214833741.97244304</v>
      </c>
      <c r="AC1280" s="222"/>
      <c r="AD1280" s="222"/>
      <c r="AE1280" s="222"/>
      <c r="AF1280" s="222"/>
      <c r="AG1280" s="222"/>
      <c r="AH1280" s="222"/>
      <c r="AI1280" s="222"/>
      <c r="AJ1280" s="222"/>
      <c r="AK1280" s="222"/>
      <c r="AL1280" s="222"/>
      <c r="AM1280" s="222"/>
      <c r="AN1280" s="222"/>
    </row>
    <row r="1281" spans="1:40" ht="16.5" thickTop="1">
      <c r="A1281" s="169"/>
      <c r="B1281" s="218"/>
      <c r="C1281" s="189"/>
      <c r="D1281" s="433" t="s">
        <v>0</v>
      </c>
      <c r="E1281" s="131"/>
      <c r="F1281" s="131" t="s">
        <v>0</v>
      </c>
      <c r="G1281" s="250"/>
      <c r="H1281" s="433"/>
      <c r="I1281" s="131" t="s">
        <v>0</v>
      </c>
      <c r="J1281" s="250"/>
      <c r="K1281" s="169"/>
      <c r="L1281" s="131"/>
      <c r="M1281" s="131"/>
      <c r="N1281" s="250"/>
      <c r="O1281" s="169"/>
      <c r="P1281" s="131"/>
      <c r="Q1281" s="131"/>
      <c r="R1281" s="250"/>
      <c r="S1281" s="169"/>
      <c r="T1281" s="131"/>
      <c r="U1281" s="131"/>
      <c r="V1281" s="250"/>
      <c r="W1281" s="169"/>
      <c r="X1281" s="131"/>
      <c r="Y1281" s="53"/>
      <c r="Z1281" s="110"/>
      <c r="AA1281" s="110"/>
      <c r="AB1281" s="110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</row>
    <row r="1282" spans="1:40">
      <c r="C1282" s="308"/>
      <c r="D1282" s="149"/>
      <c r="G1282" s="149"/>
      <c r="H1282" s="149"/>
      <c r="I1282" s="434"/>
      <c r="L1282" s="129"/>
      <c r="M1282" s="129"/>
      <c r="P1282" s="129"/>
      <c r="Q1282" s="129"/>
      <c r="T1282" s="129"/>
      <c r="U1282" s="129"/>
      <c r="X1282" s="129"/>
      <c r="Y1282" s="53"/>
      <c r="Z1282" s="110"/>
      <c r="AA1282" s="110"/>
      <c r="AB1282" s="110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</row>
    <row r="1283" spans="1:40">
      <c r="A1283" s="435"/>
      <c r="Y1283" s="53"/>
      <c r="Z1283" s="110"/>
      <c r="AA1283" s="110"/>
      <c r="AB1283" s="110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</row>
    <row r="1284" spans="1:40">
      <c r="A1284" s="169" t="s">
        <v>326</v>
      </c>
      <c r="B1284" s="111" t="s">
        <v>327</v>
      </c>
      <c r="C1284" s="129">
        <v>4010161433.2736092</v>
      </c>
      <c r="F1284" s="436" t="s">
        <v>0</v>
      </c>
      <c r="I1284" s="135">
        <v>321605657.8195231</v>
      </c>
      <c r="L1284" s="135">
        <f>L23+L95+L96+L183+L184+L185+L616+L617+L743+L896+L951+L1008+L1102+L1138+L1169+L1228+L1269</f>
        <v>8498</v>
      </c>
      <c r="M1284" s="135"/>
      <c r="P1284" s="135">
        <f>P23+P95+P96+P183+P184+P185+P616+P617+P743+P896+P951+P1008+P1102+P1138+P1169+P1228+P1269</f>
        <v>0</v>
      </c>
      <c r="Q1284" s="135"/>
      <c r="T1284" s="135">
        <f>T23+T95+T96+T183+T184+T185+T616+T617+T743+T896+T951+T1008+T1102+T1138+T1169+T1228+T1269</f>
        <v>0</v>
      </c>
      <c r="U1284" s="135"/>
      <c r="X1284" s="135">
        <f>X23+X95+X96+X183+X184+X185+X616+X617+X743+X896+X951+X1008+X1102+X1138+X1169+X1228+X1269</f>
        <v>8498</v>
      </c>
      <c r="Y1284" s="166">
        <f>Y23+Y95+Y183+Y616+Y743+Y951+Y1008+Y1102+Y1138+Y1154+Y1169+Y1228+Y1269</f>
        <v>136662340.00000003</v>
      </c>
      <c r="Z1284" s="110"/>
      <c r="AA1284" s="110"/>
      <c r="AB1284" s="110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</row>
    <row r="1285" spans="1:40">
      <c r="B1285" s="111" t="s">
        <v>328</v>
      </c>
      <c r="C1285" s="129">
        <v>4010161433.2736092</v>
      </c>
      <c r="F1285" s="436" t="s">
        <v>0</v>
      </c>
      <c r="I1285" s="135">
        <v>321605657.8195231</v>
      </c>
      <c r="Y1285" s="53"/>
      <c r="Z1285" s="110"/>
      <c r="AA1285" s="110"/>
      <c r="AB1285" s="110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</row>
    <row r="1286" spans="1:40">
      <c r="Y1286" s="53"/>
      <c r="Z1286" s="110"/>
      <c r="AA1286" s="110"/>
      <c r="AB1286" s="110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</row>
    <row r="1287" spans="1:40">
      <c r="B1287" s="111" t="s">
        <v>329</v>
      </c>
      <c r="C1287" s="129">
        <f>C1280-C1285</f>
        <v>0</v>
      </c>
      <c r="F1287" s="437" t="s">
        <v>0</v>
      </c>
      <c r="I1287" s="129">
        <f>I1280-I1285</f>
        <v>0</v>
      </c>
      <c r="Y1287" s="53"/>
      <c r="Z1287" s="110"/>
      <c r="AA1287" s="110"/>
      <c r="AB1287" s="110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</row>
    <row r="1288" spans="1:40">
      <c r="Y1288" s="53"/>
      <c r="Z1288" s="110"/>
      <c r="AA1288" s="110"/>
      <c r="AB1288" s="110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</row>
    <row r="1290" spans="1:40">
      <c r="B1290" s="111" t="s">
        <v>330</v>
      </c>
      <c r="C1290" s="129">
        <f>C24+C89+C177+C606+C726+C885+C907+C1137+C1153+C1168+C1226+C1268</f>
        <v>1535623.9159594239</v>
      </c>
    </row>
    <row r="1291" spans="1:40">
      <c r="B1291" s="111" t="s">
        <v>331</v>
      </c>
      <c r="C1291" s="129">
        <f>((C24+C89+C217+C355+C606+C885+C907+C1137+C1153+C1168+C1226+C1268)/12)+C460+C726</f>
        <v>132780.63205734163</v>
      </c>
    </row>
    <row r="1292" spans="1:40">
      <c r="B1292" s="374" t="s">
        <v>332</v>
      </c>
      <c r="C1292" s="129">
        <v>132778.43714676326</v>
      </c>
      <c r="D1292" s="196" t="s">
        <v>0</v>
      </c>
      <c r="Z1292" s="111"/>
      <c r="AA1292" s="111"/>
      <c r="AB1292" s="111"/>
    </row>
    <row r="1293" spans="1:40">
      <c r="B1293" s="111" t="s">
        <v>329</v>
      </c>
      <c r="C1293" s="129">
        <f>C1291-C1292</f>
        <v>2.1949105783714913</v>
      </c>
      <c r="Z1293" s="111"/>
      <c r="AA1293" s="111"/>
      <c r="AB1293" s="111"/>
    </row>
  </sheetData>
  <mergeCells count="4">
    <mergeCell ref="A1:X1"/>
    <mergeCell ref="A2:X2"/>
    <mergeCell ref="A3:X3"/>
    <mergeCell ref="A4:X4"/>
  </mergeCells>
  <printOptions horizontalCentered="1"/>
  <pageMargins left="0" right="0" top="0.25" bottom="0.05" header="0.5" footer="0.25"/>
  <pageSetup scale="54" fitToHeight="10" orientation="landscape" r:id="rId1"/>
  <headerFooter alignWithMargins="0"/>
  <rowBreaks count="9" manualBreakCount="9">
    <brk id="119" max="23" man="1"/>
    <brk id="208" max="23" man="1"/>
    <brk id="598" max="23" man="1"/>
    <brk id="716" max="23" man="1"/>
    <brk id="878" max="23" man="1"/>
    <brk id="937" max="23" man="1"/>
    <brk id="1107" max="23" man="1"/>
    <brk id="1176" max="23" man="1"/>
    <brk id="1235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7"/>
  <sheetViews>
    <sheetView view="pageBreakPreview" zoomScale="75" zoomScaleNormal="100" workbookViewId="0">
      <selection activeCell="AJ42" sqref="AJ42"/>
    </sheetView>
  </sheetViews>
  <sheetFormatPr defaultColWidth="8.5" defaultRowHeight="15"/>
  <cols>
    <col min="1" max="1" width="4.625" style="438" customWidth="1"/>
    <col min="2" max="2" width="8.5" style="438"/>
    <col min="3" max="3" width="2.75" style="438" customWidth="1"/>
    <col min="4" max="4" width="7" style="438" bestFit="1" customWidth="1"/>
    <col min="5" max="5" width="2.875" style="438" customWidth="1"/>
    <col min="6" max="6" width="8.25" style="438" bestFit="1" customWidth="1"/>
    <col min="7" max="7" width="2.875" style="438" customWidth="1"/>
    <col min="8" max="8" width="6.75" style="438" bestFit="1" customWidth="1"/>
    <col min="9" max="9" width="2.875" style="438" customWidth="1"/>
    <col min="10" max="10" width="8.25" style="438" bestFit="1" customWidth="1"/>
    <col min="11" max="11" width="2.625" style="438" customWidth="1"/>
    <col min="12" max="12" width="8.25" style="438" bestFit="1" customWidth="1"/>
    <col min="13" max="13" width="2.625" style="438" customWidth="1"/>
    <col min="14" max="14" width="9" style="438" bestFit="1" customWidth="1"/>
    <col min="15" max="15" width="2.875" style="438" customWidth="1"/>
    <col min="16" max="16" width="7.75" style="438" bestFit="1" customWidth="1"/>
    <col min="17" max="17" width="2.875" style="438" customWidth="1"/>
    <col min="18" max="18" width="7.75" style="438" customWidth="1"/>
    <col min="19" max="19" width="3.125" style="438" customWidth="1"/>
    <col min="20" max="20" width="7.25" style="438" customWidth="1"/>
    <col min="21" max="21" width="2.25" style="438" customWidth="1"/>
    <col min="22" max="22" width="15.125" style="438" customWidth="1"/>
    <col min="23" max="23" width="15.25" style="438" customWidth="1"/>
    <col min="24" max="24" width="9.125" style="438" customWidth="1"/>
    <col min="25" max="25" width="8.25" style="438" customWidth="1"/>
    <col min="26" max="26" width="1.625" style="438" customWidth="1"/>
    <col min="27" max="16384" width="8.5" style="438"/>
  </cols>
  <sheetData>
    <row r="1" spans="1:29" ht="18.75">
      <c r="B1" s="439" t="s">
        <v>333</v>
      </c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</row>
    <row r="2" spans="1:29" ht="18.75">
      <c r="A2" s="440"/>
      <c r="B2" s="439" t="s">
        <v>334</v>
      </c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</row>
    <row r="3" spans="1:29" ht="18.75">
      <c r="A3" s="440"/>
      <c r="B3" s="439" t="s">
        <v>335</v>
      </c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</row>
    <row r="4" spans="1:29" ht="18.75">
      <c r="B4" s="441" t="s">
        <v>0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</row>
    <row r="6" spans="1:29" ht="18.75" thickBot="1">
      <c r="J6" s="442" t="s">
        <v>336</v>
      </c>
      <c r="K6" s="442"/>
      <c r="L6" s="442"/>
      <c r="M6" s="442"/>
      <c r="N6" s="442"/>
      <c r="O6" s="442"/>
      <c r="P6" s="442"/>
      <c r="Q6" s="443"/>
      <c r="R6" s="443"/>
      <c r="S6" s="443"/>
      <c r="T6" s="444"/>
      <c r="U6" s="440"/>
      <c r="V6" s="444"/>
    </row>
    <row r="7" spans="1:29">
      <c r="D7" s="442" t="s">
        <v>337</v>
      </c>
      <c r="E7" s="442"/>
      <c r="F7" s="442"/>
      <c r="G7" s="442"/>
      <c r="H7" s="442"/>
      <c r="I7" s="443"/>
      <c r="J7" s="443" t="s">
        <v>0</v>
      </c>
      <c r="K7" s="445"/>
      <c r="L7" s="445" t="s">
        <v>0</v>
      </c>
      <c r="N7" s="442" t="s">
        <v>16</v>
      </c>
      <c r="O7" s="442"/>
      <c r="P7" s="442"/>
      <c r="Q7" s="443"/>
      <c r="R7" s="442" t="s">
        <v>338</v>
      </c>
      <c r="S7" s="442"/>
      <c r="T7" s="442"/>
      <c r="U7" s="445"/>
      <c r="V7" s="446" t="s">
        <v>339</v>
      </c>
      <c r="W7" s="447"/>
      <c r="X7" s="446" t="s">
        <v>340</v>
      </c>
      <c r="Y7" s="447"/>
    </row>
    <row r="8" spans="1:29" ht="18">
      <c r="B8" s="448" t="s">
        <v>81</v>
      </c>
      <c r="D8" s="449" t="s">
        <v>9</v>
      </c>
      <c r="E8" s="450" t="s">
        <v>0</v>
      </c>
      <c r="F8" s="449" t="s">
        <v>10</v>
      </c>
      <c r="G8" s="450" t="s">
        <v>0</v>
      </c>
      <c r="H8" s="448" t="s">
        <v>16</v>
      </c>
      <c r="I8" s="443"/>
      <c r="J8" s="449" t="s">
        <v>9</v>
      </c>
      <c r="K8" s="450" t="s">
        <v>0</v>
      </c>
      <c r="L8" s="449" t="s">
        <v>10</v>
      </c>
      <c r="M8" s="450" t="s">
        <v>0</v>
      </c>
      <c r="N8" s="448" t="s">
        <v>341</v>
      </c>
      <c r="P8" s="451" t="s">
        <v>27</v>
      </c>
      <c r="Q8" s="445"/>
      <c r="R8" s="452" t="s">
        <v>341</v>
      </c>
      <c r="S8" s="445"/>
      <c r="T8" s="448" t="s">
        <v>27</v>
      </c>
      <c r="V8" s="453" t="s">
        <v>342</v>
      </c>
      <c r="W8" s="454">
        <f>'Billing Determinants'!G89</f>
        <v>7.75</v>
      </c>
      <c r="X8" s="453"/>
      <c r="Y8" s="454">
        <f>'Billing Determinants'!J89</f>
        <v>7.75</v>
      </c>
    </row>
    <row r="9" spans="1:29">
      <c r="B9" s="455"/>
      <c r="D9" s="455"/>
      <c r="E9" s="455"/>
      <c r="F9" s="455"/>
      <c r="J9" s="455"/>
      <c r="K9" s="455"/>
      <c r="L9" s="455"/>
      <c r="V9" s="453" t="s">
        <v>343</v>
      </c>
      <c r="W9" s="456">
        <f>'Billing Determinants'!G90+Y11</f>
        <v>6.4820000000000002</v>
      </c>
      <c r="X9" s="453"/>
      <c r="Y9" s="457">
        <f>'Billing Determinants'!J90+'Billing Determinants'!J95+Y12+Y19</f>
        <v>6.6980000000000004</v>
      </c>
      <c r="Z9" s="458"/>
      <c r="AA9" s="459">
        <f>(Y9-W9)/W9</f>
        <v>3.3323048441838969E-2</v>
      </c>
    </row>
    <row r="10" spans="1:29" ht="15.75" thickBot="1">
      <c r="B10" s="460">
        <v>50</v>
      </c>
      <c r="D10" s="461">
        <f>$W$8</f>
        <v>7.75</v>
      </c>
      <c r="F10" s="461">
        <f>$Y$8</f>
        <v>7.75</v>
      </c>
      <c r="H10" s="461">
        <f>F10-D10</f>
        <v>0</v>
      </c>
      <c r="I10" s="461"/>
      <c r="J10" s="461">
        <f>ROUND((($B10*W$9/100))+((B10*$Y$14)/100),2)+Y16</f>
        <v>3.7699999999999996</v>
      </c>
      <c r="L10" s="461">
        <f>ROUND((($B10*Y$9/100))+((B10*$Y$15)/100),2)+Y17</f>
        <v>3.88</v>
      </c>
      <c r="N10" s="462">
        <f>L10-J10</f>
        <v>0.11000000000000032</v>
      </c>
      <c r="P10" s="463">
        <f>(L10-J10)/J10</f>
        <v>2.9177718832891334E-2</v>
      </c>
      <c r="Q10" s="463"/>
      <c r="R10" s="464">
        <f>F10+L10-D10-J10</f>
        <v>0.10999999999999943</v>
      </c>
      <c r="S10" s="463"/>
      <c r="T10" s="463">
        <f>(F10+L10-D10-J10)/(D10+J10)</f>
        <v>9.5486111111110616E-3</v>
      </c>
      <c r="V10" s="465" t="s">
        <v>344</v>
      </c>
      <c r="W10" s="466">
        <f>'Billing Determinants'!G91+Y11</f>
        <v>10.1</v>
      </c>
      <c r="X10" s="465"/>
      <c r="Y10" s="466">
        <f>'Billing Determinants'!J91+'Billing Determinants'!J96+Y12+Y19</f>
        <v>10.439</v>
      </c>
      <c r="AA10" s="459">
        <f>(Y10-W10)/W10</f>
        <v>3.3564356435643608E-2</v>
      </c>
    </row>
    <row r="11" spans="1:29">
      <c r="B11" s="460">
        <v>100</v>
      </c>
      <c r="D11" s="461">
        <f>$W$8</f>
        <v>7.75</v>
      </c>
      <c r="F11" s="461">
        <f>$Y$8</f>
        <v>7.75</v>
      </c>
      <c r="H11" s="461">
        <f t="shared" ref="H11:H33" si="0">F11-D11</f>
        <v>0</v>
      </c>
      <c r="I11" s="461"/>
      <c r="J11" s="461">
        <f>ROUND((($B11*W$9/100))+((B11*$Y$14)/100),2)+Y16</f>
        <v>6.8</v>
      </c>
      <c r="L11" s="461">
        <f>ROUND((($B11*Y$9/100))+((B11*$Y$15)/100),2)+Y17</f>
        <v>7.0200000000000005</v>
      </c>
      <c r="N11" s="462">
        <f>L11-J11</f>
        <v>0.22000000000000064</v>
      </c>
      <c r="P11" s="463">
        <f>(L11-J11)/J11</f>
        <v>3.2352941176470681E-2</v>
      </c>
      <c r="Q11" s="463"/>
      <c r="R11" s="464">
        <f t="shared" ref="R11:R33" si="1">F11+L11-D11-J11</f>
        <v>0.21999999999999975</v>
      </c>
      <c r="S11" s="463"/>
      <c r="T11" s="463">
        <f t="shared" ref="T11:T33" si="2">(F11+L11-D11-J11)/(D11+J11)</f>
        <v>1.512027491408933E-2</v>
      </c>
      <c r="V11" s="467"/>
      <c r="W11" s="467" t="s">
        <v>345</v>
      </c>
      <c r="X11" s="467"/>
      <c r="Y11" s="468">
        <v>0.28299999999999997</v>
      </c>
      <c r="AC11" s="462"/>
    </row>
    <row r="12" spans="1:29">
      <c r="B12" s="460">
        <v>150</v>
      </c>
      <c r="D12" s="461">
        <f>$W$8</f>
        <v>7.75</v>
      </c>
      <c r="F12" s="461">
        <f>$Y$8</f>
        <v>7.75</v>
      </c>
      <c r="H12" s="461">
        <f t="shared" si="0"/>
        <v>0</v>
      </c>
      <c r="I12" s="461"/>
      <c r="J12" s="461">
        <f>ROUND((($B12*W$9/100))+((B12*$Y$14)/100),2)+Y16</f>
        <v>9.83</v>
      </c>
      <c r="L12" s="461">
        <f>ROUND((($B12*Y$9/100))+((B12*$Y$15)/100),2)+Y17</f>
        <v>10.15</v>
      </c>
      <c r="N12" s="462">
        <f>L12-J12</f>
        <v>0.32000000000000028</v>
      </c>
      <c r="P12" s="463">
        <f>(L12-J12)/J12</f>
        <v>3.2553407934893211E-2</v>
      </c>
      <c r="Q12" s="463"/>
      <c r="R12" s="464">
        <f t="shared" si="1"/>
        <v>0.31999999999999851</v>
      </c>
      <c r="S12" s="463"/>
      <c r="T12" s="463">
        <f t="shared" si="2"/>
        <v>1.8202502844140985E-2</v>
      </c>
      <c r="V12" s="467"/>
      <c r="W12" s="467"/>
      <c r="X12" s="467"/>
      <c r="Y12" s="468">
        <v>0.28299999999999997</v>
      </c>
      <c r="Z12" s="469"/>
      <c r="AC12" s="462"/>
    </row>
    <row r="13" spans="1:29">
      <c r="D13" s="464"/>
      <c r="F13" s="464"/>
      <c r="J13" s="464"/>
      <c r="L13" s="464"/>
      <c r="V13" s="467"/>
      <c r="W13" s="467"/>
      <c r="X13" s="467"/>
      <c r="Y13" s="470"/>
      <c r="AC13" s="462"/>
    </row>
    <row r="14" spans="1:29">
      <c r="B14" s="460">
        <v>200</v>
      </c>
      <c r="D14" s="461">
        <f>$W$8</f>
        <v>7.75</v>
      </c>
      <c r="F14" s="461">
        <f>$Y$8</f>
        <v>7.75</v>
      </c>
      <c r="H14" s="461">
        <f t="shared" si="0"/>
        <v>0</v>
      </c>
      <c r="I14" s="461"/>
      <c r="J14" s="461">
        <f>ROUND((($B14*W$9/100))+((B14*$Y$14)/100),2)+Y16</f>
        <v>12.86</v>
      </c>
      <c r="L14" s="461">
        <f>ROUND((($B14*Y$9/100))+((B14*$Y$15)/100),2)+Y17</f>
        <v>13.290000000000001</v>
      </c>
      <c r="N14" s="462">
        <f>L14-J14</f>
        <v>0.43000000000000149</v>
      </c>
      <c r="P14" s="463">
        <f>(L14-J14)/J14</f>
        <v>3.3437013996889697E-2</v>
      </c>
      <c r="Q14" s="463"/>
      <c r="R14" s="464">
        <f t="shared" si="1"/>
        <v>0.42999999999999972</v>
      </c>
      <c r="S14" s="463"/>
      <c r="T14" s="463">
        <f t="shared" si="2"/>
        <v>2.0863658418243558E-2</v>
      </c>
      <c r="V14" s="467"/>
      <c r="W14" s="467" t="s">
        <v>346</v>
      </c>
      <c r="X14" s="467"/>
      <c r="Y14" s="468">
        <v>-0.42199999999999999</v>
      </c>
      <c r="AA14" s="438" t="s">
        <v>0</v>
      </c>
      <c r="AC14" s="462"/>
    </row>
    <row r="15" spans="1:29">
      <c r="B15" s="460">
        <v>300</v>
      </c>
      <c r="D15" s="461">
        <f>$W$8</f>
        <v>7.75</v>
      </c>
      <c r="F15" s="461">
        <f>$Y$8</f>
        <v>7.75</v>
      </c>
      <c r="H15" s="461">
        <f t="shared" si="0"/>
        <v>0</v>
      </c>
      <c r="I15" s="461"/>
      <c r="J15" s="461">
        <f>ROUND((($B15*W$9/100))+((B15*$Y$14)/100),2)+Y16</f>
        <v>18.919999999999998</v>
      </c>
      <c r="L15" s="461">
        <f>ROUND((($B15*Y$9/100))+((B15*$Y$15)/100),2)+Y17</f>
        <v>19.569999999999997</v>
      </c>
      <c r="N15" s="462">
        <f>L15-J15</f>
        <v>0.64999999999999858</v>
      </c>
      <c r="P15" s="463">
        <f>(L15-J15)/J15</f>
        <v>3.4355179704016844E-2</v>
      </c>
      <c r="Q15" s="463"/>
      <c r="R15" s="464">
        <f t="shared" si="1"/>
        <v>0.64999999999999858</v>
      </c>
      <c r="S15" s="463"/>
      <c r="T15" s="463">
        <f t="shared" si="2"/>
        <v>2.4371953505811721E-2</v>
      </c>
      <c r="V15" s="467"/>
      <c r="W15" s="438" t="s">
        <v>0</v>
      </c>
      <c r="X15" s="438" t="s">
        <v>0</v>
      </c>
      <c r="Y15" s="468">
        <v>-0.42199999999999999</v>
      </c>
      <c r="AC15" s="462"/>
    </row>
    <row r="16" spans="1:29">
      <c r="B16" s="460">
        <v>400</v>
      </c>
      <c r="D16" s="461">
        <f>$W$8</f>
        <v>7.75</v>
      </c>
      <c r="F16" s="461">
        <f>$Y$8</f>
        <v>7.75</v>
      </c>
      <c r="H16" s="461">
        <f t="shared" si="0"/>
        <v>0</v>
      </c>
      <c r="I16" s="461"/>
      <c r="J16" s="461">
        <f>ROUND((($B16*W$9/100))+((B16*$Y$14)/100),2)+Y16</f>
        <v>24.979999999999997</v>
      </c>
      <c r="L16" s="461">
        <f>ROUND((($B16*Y$9/100))+((B16*$Y$15)/100),2)+Y17</f>
        <v>25.84</v>
      </c>
      <c r="N16" s="462">
        <f>L16-J16</f>
        <v>0.86000000000000298</v>
      </c>
      <c r="P16" s="463">
        <f>(L16-J16)/J16</f>
        <v>3.4427542033627023E-2</v>
      </c>
      <c r="Q16" s="463"/>
      <c r="R16" s="464">
        <f t="shared" si="1"/>
        <v>0.86000000000000654</v>
      </c>
      <c r="S16" s="463"/>
      <c r="T16" s="463">
        <f t="shared" si="2"/>
        <v>2.6275588145432526E-2</v>
      </c>
      <c r="W16" s="438" t="s">
        <v>347</v>
      </c>
      <c r="Y16" s="462">
        <f>'Rate Design Low Inc Surcharge'!D15</f>
        <v>0.74</v>
      </c>
      <c r="Z16" s="438" t="s">
        <v>0</v>
      </c>
      <c r="AC16" s="462"/>
    </row>
    <row r="17" spans="2:29">
      <c r="B17" s="460">
        <v>500</v>
      </c>
      <c r="D17" s="461">
        <f>$W$8</f>
        <v>7.75</v>
      </c>
      <c r="F17" s="461">
        <f>$Y$8</f>
        <v>7.75</v>
      </c>
      <c r="H17" s="461">
        <f t="shared" si="0"/>
        <v>0</v>
      </c>
      <c r="I17" s="461"/>
      <c r="J17" s="461">
        <f>ROUND((($B17*W$9/100))+((B17*$Y$14)/100),2)+Y16</f>
        <v>31.04</v>
      </c>
      <c r="L17" s="461">
        <f>ROUND((($B17*Y$9/100))+((B17*$Y$15)/100),2)+Y17</f>
        <v>32.119999999999997</v>
      </c>
      <c r="N17" s="462">
        <f>L17-J17</f>
        <v>1.0799999999999983</v>
      </c>
      <c r="P17" s="463">
        <f>(L17-J17)/J17</f>
        <v>3.4793814432989636E-2</v>
      </c>
      <c r="Q17" s="463"/>
      <c r="R17" s="464">
        <f t="shared" si="1"/>
        <v>1.0799999999999983</v>
      </c>
      <c r="S17" s="463"/>
      <c r="T17" s="463">
        <f t="shared" si="2"/>
        <v>2.7842227378190212E-2</v>
      </c>
      <c r="W17" s="438" t="s">
        <v>348</v>
      </c>
      <c r="Y17" s="462">
        <f>Y16</f>
        <v>0.74</v>
      </c>
      <c r="AC17" s="462"/>
    </row>
    <row r="18" spans="2:29">
      <c r="D18" s="464"/>
      <c r="F18" s="464"/>
      <c r="J18" s="464"/>
      <c r="L18" s="464"/>
      <c r="AC18" s="462"/>
    </row>
    <row r="19" spans="2:29">
      <c r="B19" s="460">
        <v>600</v>
      </c>
      <c r="D19" s="461">
        <f>$W$8</f>
        <v>7.75</v>
      </c>
      <c r="F19" s="461">
        <f>$Y$8</f>
        <v>7.75</v>
      </c>
      <c r="H19" s="461">
        <f t="shared" si="0"/>
        <v>0</v>
      </c>
      <c r="I19" s="461"/>
      <c r="J19" s="461">
        <f>ROUND((($B19*W$9/100))+((B19*$Y$14)/100),2)+Y16</f>
        <v>37.1</v>
      </c>
      <c r="L19" s="461">
        <f>ROUND((($B19*Y$9/100))+((B19*$Y$15)/100),2)+Y17</f>
        <v>38.4</v>
      </c>
      <c r="N19" s="462">
        <f>L19-J19</f>
        <v>1.2999999999999972</v>
      </c>
      <c r="P19" s="463">
        <f>(L19-J19)/J19</f>
        <v>3.5040431266846285E-2</v>
      </c>
      <c r="Q19" s="463"/>
      <c r="R19" s="464">
        <f t="shared" si="1"/>
        <v>1.2999999999999972</v>
      </c>
      <c r="S19" s="463"/>
      <c r="T19" s="463">
        <f t="shared" si="2"/>
        <v>2.8985507246376746E-2</v>
      </c>
      <c r="W19" s="438" t="s">
        <v>73</v>
      </c>
      <c r="Y19" s="471">
        <f>'Rate Spread Sch 92'!AB16</f>
        <v>-0.01</v>
      </c>
      <c r="AC19" s="462"/>
    </row>
    <row r="20" spans="2:29">
      <c r="B20" s="460">
        <v>700</v>
      </c>
      <c r="D20" s="461">
        <f>$W$8</f>
        <v>7.75</v>
      </c>
      <c r="F20" s="461">
        <f>$Y$8</f>
        <v>7.75</v>
      </c>
      <c r="H20" s="461">
        <f t="shared" si="0"/>
        <v>0</v>
      </c>
      <c r="I20" s="461"/>
      <c r="J20" s="461">
        <f>ROUND((((600*W$9/100)+(($B20-600)*W$10/100)))+((B20*$Y$14)/100),2)+Y16</f>
        <v>46.78</v>
      </c>
      <c r="L20" s="461">
        <f>ROUND((((600*Y$9/100)+(($B20-600)*Y$10/100)))+((B20*$Y$15)/100),2)+Y17</f>
        <v>48.410000000000004</v>
      </c>
      <c r="N20" s="462">
        <f>L20-J20</f>
        <v>1.6300000000000026</v>
      </c>
      <c r="P20" s="463">
        <f>(L20-J20)/J20</f>
        <v>3.4843950406156531E-2</v>
      </c>
      <c r="Q20" s="463"/>
      <c r="R20" s="464">
        <f t="shared" si="1"/>
        <v>1.6300000000000026</v>
      </c>
      <c r="S20" s="463"/>
      <c r="T20" s="463">
        <f t="shared" si="2"/>
        <v>2.9891802677425316E-2</v>
      </c>
      <c r="AC20" s="462"/>
    </row>
    <row r="21" spans="2:29">
      <c r="B21" s="460">
        <v>800</v>
      </c>
      <c r="D21" s="461">
        <f>$W$8</f>
        <v>7.75</v>
      </c>
      <c r="F21" s="461">
        <f>$Y$8</f>
        <v>7.75</v>
      </c>
      <c r="H21" s="461">
        <f t="shared" si="0"/>
        <v>0</v>
      </c>
      <c r="I21" s="461"/>
      <c r="J21" s="461">
        <f>ROUND((((600*W$9/100)+(($B21-600)*W$10/100)))+((B21*$Y$14)/100),2)+Y16</f>
        <v>56.46</v>
      </c>
      <c r="L21" s="461">
        <f>ROUND((((600*Y$9/100)+(($B21-600)*Y$10/100)))+((B21*$Y$15)/100),2)+Y17</f>
        <v>58.43</v>
      </c>
      <c r="N21" s="462">
        <f>L21-J21</f>
        <v>1.9699999999999989</v>
      </c>
      <c r="P21" s="463">
        <f>(L21-J21)/J21</f>
        <v>3.4891958908962073E-2</v>
      </c>
      <c r="Q21" s="463"/>
      <c r="R21" s="464">
        <f t="shared" si="1"/>
        <v>1.970000000000006</v>
      </c>
      <c r="S21" s="463"/>
      <c r="T21" s="463">
        <f t="shared" si="2"/>
        <v>3.0680579349011146E-2</v>
      </c>
      <c r="AC21" s="462"/>
    </row>
    <row r="22" spans="2:29">
      <c r="B22" s="460">
        <v>900</v>
      </c>
      <c r="D22" s="461">
        <f>$W$8</f>
        <v>7.75</v>
      </c>
      <c r="F22" s="461">
        <f>$Y$8</f>
        <v>7.75</v>
      </c>
      <c r="H22" s="461">
        <f t="shared" si="0"/>
        <v>0</v>
      </c>
      <c r="I22" s="461"/>
      <c r="J22" s="461">
        <f>ROUND((((600*W$9/100)+(($B22-600)*W$10/100)))+((B22*$Y$14)/100),2)+Y16</f>
        <v>66.13</v>
      </c>
      <c r="L22" s="461">
        <f>ROUND((((600*Y$9/100)+(($B22-600)*Y$10/100)))+((B22*$Y$15)/100),2)+Y17</f>
        <v>68.449999999999989</v>
      </c>
      <c r="N22" s="462">
        <f>L22-J22</f>
        <v>2.3199999999999932</v>
      </c>
      <c r="P22" s="463">
        <f>(L22-J22)/J22</f>
        <v>3.5082413428096072E-2</v>
      </c>
      <c r="Q22" s="463"/>
      <c r="R22" s="464">
        <f t="shared" si="1"/>
        <v>2.3199999999999932</v>
      </c>
      <c r="S22" s="463"/>
      <c r="T22" s="463">
        <f t="shared" si="2"/>
        <v>3.1402273957769268E-2</v>
      </c>
      <c r="V22" s="472" t="s">
        <v>349</v>
      </c>
      <c r="W22" s="473">
        <f>'Rate Spread combined'!V16</f>
        <v>3.229913823214603E-2</v>
      </c>
      <c r="AC22" s="462"/>
    </row>
    <row r="23" spans="2:29">
      <c r="B23" s="460">
        <v>1000</v>
      </c>
      <c r="D23" s="461">
        <f>$W$8</f>
        <v>7.75</v>
      </c>
      <c r="F23" s="461">
        <f>$Y$8</f>
        <v>7.75</v>
      </c>
      <c r="H23" s="461">
        <f t="shared" si="0"/>
        <v>0</v>
      </c>
      <c r="I23" s="461"/>
      <c r="J23" s="461">
        <f>ROUND((((600*W$9/100)+(($B23-600)*W$10/100)))+((B23*$Y$14)/100),2)+Y16</f>
        <v>75.809999999999988</v>
      </c>
      <c r="L23" s="461">
        <f>ROUND((((600*Y$9/100)+(($B23-600)*Y$10/100)))+((B23*$Y$15)/100),2)+Y17</f>
        <v>78.459999999999994</v>
      </c>
      <c r="N23" s="462">
        <f>L23-J23</f>
        <v>2.6500000000000057</v>
      </c>
      <c r="P23" s="463">
        <f>(L23-J23)/J23</f>
        <v>3.4955810579079358E-2</v>
      </c>
      <c r="Q23" s="463"/>
      <c r="R23" s="464">
        <f t="shared" si="1"/>
        <v>2.6500000000000057</v>
      </c>
      <c r="S23" s="463"/>
      <c r="T23" s="463">
        <f t="shared" si="2"/>
        <v>3.1713738630923957E-2</v>
      </c>
      <c r="W23" s="474" t="s">
        <v>0</v>
      </c>
      <c r="AC23" s="462"/>
    </row>
    <row r="24" spans="2:29">
      <c r="D24" s="464"/>
      <c r="F24" s="464"/>
      <c r="J24" s="464"/>
      <c r="L24" s="464"/>
      <c r="P24" s="475"/>
      <c r="Q24" s="475"/>
      <c r="R24" s="475"/>
      <c r="S24" s="475"/>
      <c r="T24" s="475"/>
      <c r="AC24" s="462"/>
    </row>
    <row r="25" spans="2:29">
      <c r="B25" s="460">
        <v>1100</v>
      </c>
      <c r="D25" s="461">
        <f>$W$8</f>
        <v>7.75</v>
      </c>
      <c r="F25" s="461">
        <f>$Y$8</f>
        <v>7.75</v>
      </c>
      <c r="H25" s="461">
        <f t="shared" si="0"/>
        <v>0</v>
      </c>
      <c r="I25" s="461"/>
      <c r="J25" s="461">
        <f>ROUND((((600*W$9/100)+(($B25-600)*W$10/100)))+((B25*$Y$14)/100),2)+Y16</f>
        <v>85.49</v>
      </c>
      <c r="L25" s="461">
        <f>ROUND((((600*Y$9/100)+(($B25-600)*Y$10/100)))+((B25*$Y$15)/100),2)+Y17</f>
        <v>88.47999999999999</v>
      </c>
      <c r="N25" s="462">
        <f>L25-J25</f>
        <v>2.9899999999999949</v>
      </c>
      <c r="P25" s="463">
        <f>(L25-J25)/J25</f>
        <v>3.497485085974962E-2</v>
      </c>
      <c r="Q25" s="463"/>
      <c r="R25" s="464">
        <f t="shared" si="1"/>
        <v>2.9899999999999949</v>
      </c>
      <c r="S25" s="463"/>
      <c r="T25" s="463">
        <f t="shared" si="2"/>
        <v>3.2067782067782012E-2</v>
      </c>
      <c r="AC25" s="462"/>
    </row>
    <row r="26" spans="2:29">
      <c r="B26" s="460">
        <v>1200</v>
      </c>
      <c r="D26" s="461">
        <f>$W$8</f>
        <v>7.75</v>
      </c>
      <c r="F26" s="461">
        <f>$Y$8</f>
        <v>7.75</v>
      </c>
      <c r="H26" s="461">
        <f t="shared" si="0"/>
        <v>0</v>
      </c>
      <c r="I26" s="461"/>
      <c r="J26" s="461">
        <f>ROUND((((600*W$9/100)+(($B26-600)*W$10/100)))+((B26*$Y$14)/100),2)+Y16</f>
        <v>95.17</v>
      </c>
      <c r="L26" s="461">
        <f>ROUND((((600*Y$9/100)+(($B26-600)*Y$10/100)))+((B26*$Y$15)/100),2)+Y17</f>
        <v>98.5</v>
      </c>
      <c r="N26" s="462">
        <f>L26-J26</f>
        <v>3.3299999999999983</v>
      </c>
      <c r="P26" s="463">
        <f>(L26-J26)/J26</f>
        <v>3.4990017862771866E-2</v>
      </c>
      <c r="Q26" s="463"/>
      <c r="R26" s="464">
        <f t="shared" si="1"/>
        <v>3.3299999999999983</v>
      </c>
      <c r="S26" s="463"/>
      <c r="T26" s="463">
        <f t="shared" si="2"/>
        <v>3.2355227361057115E-2</v>
      </c>
      <c r="AC26" s="462"/>
    </row>
    <row r="27" spans="2:29">
      <c r="B27" s="460">
        <v>1300</v>
      </c>
      <c r="C27" s="438" t="s">
        <v>350</v>
      </c>
      <c r="D27" s="461">
        <f>$W$8</f>
        <v>7.75</v>
      </c>
      <c r="F27" s="461">
        <f>$Y$8</f>
        <v>7.75</v>
      </c>
      <c r="H27" s="461">
        <f t="shared" si="0"/>
        <v>0</v>
      </c>
      <c r="I27" s="461"/>
      <c r="J27" s="461">
        <f>ROUND((((600*W$9/100)+(($B27-600)*W$10/100)))+((B27*$Y$14)/100),2)+Y16</f>
        <v>104.85</v>
      </c>
      <c r="L27" s="461">
        <f>ROUND((((600*Y$9/100)+(($B27-600)*Y$10/100)))+((B27*$Y$15)/100),2)+Y17</f>
        <v>108.52</v>
      </c>
      <c r="N27" s="462">
        <f>L27-J27</f>
        <v>3.6700000000000017</v>
      </c>
      <c r="P27" s="463">
        <f>(L27-J27)/J27</f>
        <v>3.5002384358607551E-2</v>
      </c>
      <c r="Q27" s="463"/>
      <c r="R27" s="464">
        <f t="shared" si="1"/>
        <v>3.6700000000000017</v>
      </c>
      <c r="S27" s="463"/>
      <c r="T27" s="463">
        <f t="shared" si="2"/>
        <v>3.2593250444049753E-2</v>
      </c>
      <c r="V27" s="462"/>
      <c r="AC27" s="462"/>
    </row>
    <row r="28" spans="2:29">
      <c r="B28" s="460">
        <v>1400</v>
      </c>
      <c r="D28" s="461">
        <f>$W$8</f>
        <v>7.75</v>
      </c>
      <c r="F28" s="461">
        <f>$Y$8</f>
        <v>7.75</v>
      </c>
      <c r="H28" s="461">
        <f t="shared" si="0"/>
        <v>0</v>
      </c>
      <c r="I28" s="461"/>
      <c r="J28" s="461">
        <f>ROUND((((600*W$9/100)+(($B28-600)*W$10/100)))+((B28*$Y$14)/100),2)+Y16</f>
        <v>114.52</v>
      </c>
      <c r="L28" s="461">
        <f>ROUND((((600*Y$9/100)+(($B28-600)*Y$10/100)))+((B28*$Y$15)/100),2)+Y17</f>
        <v>118.53</v>
      </c>
      <c r="N28" s="462">
        <f>L28-J28</f>
        <v>4.0100000000000051</v>
      </c>
      <c r="P28" s="463">
        <f>(L28-J28)/J28</f>
        <v>3.5015717778554008E-2</v>
      </c>
      <c r="Q28" s="463"/>
      <c r="R28" s="464">
        <f t="shared" si="1"/>
        <v>4.0100000000000051</v>
      </c>
      <c r="S28" s="463"/>
      <c r="T28" s="463">
        <f t="shared" si="2"/>
        <v>3.2796270548785519E-2</v>
      </c>
      <c r="AC28" s="462"/>
    </row>
    <row r="29" spans="2:29">
      <c r="B29" s="460">
        <v>1500</v>
      </c>
      <c r="D29" s="461">
        <f>$W$8</f>
        <v>7.75</v>
      </c>
      <c r="F29" s="461">
        <f>$Y$8</f>
        <v>7.75</v>
      </c>
      <c r="H29" s="461">
        <f t="shared" si="0"/>
        <v>0</v>
      </c>
      <c r="I29" s="461"/>
      <c r="J29" s="461">
        <f>ROUND((((600*W$9/100)+(($B29-600)*W$10/100)))+((B29*$Y$14)/100),2)+Y16</f>
        <v>124.19999999999999</v>
      </c>
      <c r="L29" s="461">
        <f>ROUND((((600*Y$9/100)+(($B29-600)*Y$10/100)))+((B29*$Y$15)/100),2)+Y17</f>
        <v>128.55000000000001</v>
      </c>
      <c r="N29" s="462">
        <f>L29-J29</f>
        <v>4.3500000000000227</v>
      </c>
      <c r="P29" s="463">
        <f>(L29-J29)/J29</f>
        <v>3.5024154589372164E-2</v>
      </c>
      <c r="Q29" s="463"/>
      <c r="R29" s="464">
        <f t="shared" si="1"/>
        <v>4.3500000000000227</v>
      </c>
      <c r="S29" s="463"/>
      <c r="T29" s="463">
        <f t="shared" si="2"/>
        <v>3.2967032967033141E-2</v>
      </c>
      <c r="AC29" s="462"/>
    </row>
    <row r="30" spans="2:29">
      <c r="D30" s="464"/>
      <c r="F30" s="464"/>
      <c r="J30" s="464"/>
      <c r="L30" s="464"/>
      <c r="AC30" s="462"/>
    </row>
    <row r="31" spans="2:29">
      <c r="B31" s="460">
        <v>1600</v>
      </c>
      <c r="D31" s="461">
        <f>$W$8</f>
        <v>7.75</v>
      </c>
      <c r="F31" s="461">
        <f>$Y$8</f>
        <v>7.75</v>
      </c>
      <c r="H31" s="461">
        <f t="shared" si="0"/>
        <v>0</v>
      </c>
      <c r="I31" s="461"/>
      <c r="J31" s="461">
        <f>ROUND((((600*W$9/100)+(($B31-600)*W$10/100)))+((B31*$Y$14)/100),2)+Y16</f>
        <v>133.88</v>
      </c>
      <c r="L31" s="461">
        <f>ROUND((((600*Y$9/100)+(($B31-600)*Y$10/100)))+((B31*$Y$15)/100),2)+Y17</f>
        <v>138.57000000000002</v>
      </c>
      <c r="N31" s="462">
        <f>L31-J31</f>
        <v>4.6900000000000261</v>
      </c>
      <c r="P31" s="463">
        <f>(L31-J31)/J31</f>
        <v>3.503137137735305E-2</v>
      </c>
      <c r="Q31" s="463"/>
      <c r="R31" s="464">
        <f t="shared" si="1"/>
        <v>4.6900000000000261</v>
      </c>
      <c r="S31" s="463"/>
      <c r="T31" s="463">
        <f t="shared" si="2"/>
        <v>3.3114453152580853E-2</v>
      </c>
      <c r="AC31" s="462"/>
    </row>
    <row r="32" spans="2:29">
      <c r="B32" s="460">
        <v>2000</v>
      </c>
      <c r="D32" s="461">
        <f>$W$8</f>
        <v>7.75</v>
      </c>
      <c r="F32" s="461">
        <f>$Y$8</f>
        <v>7.75</v>
      </c>
      <c r="H32" s="461">
        <f t="shared" si="0"/>
        <v>0</v>
      </c>
      <c r="I32" s="461"/>
      <c r="J32" s="461">
        <f>ROUND((((600*W$9/100)+(($B32-600)*W$10/100)))+((B32*$Y$14)/100),2)+Y16</f>
        <v>172.59</v>
      </c>
      <c r="L32" s="461">
        <f>ROUND((((600*Y$9/100)+(($B32-600)*Y$10/100)))+((B32*$Y$15)/100),2)+Y17</f>
        <v>178.63</v>
      </c>
      <c r="N32" s="462">
        <f>L32-J32</f>
        <v>6.039999999999992</v>
      </c>
      <c r="P32" s="463">
        <f>(L32-J32)/J32</f>
        <v>3.499623384900627E-2</v>
      </c>
      <c r="Q32" s="463"/>
      <c r="R32" s="464">
        <f t="shared" si="1"/>
        <v>6.039999999999992</v>
      </c>
      <c r="S32" s="463"/>
      <c r="T32" s="463">
        <f t="shared" si="2"/>
        <v>3.3492292336697302E-2</v>
      </c>
      <c r="AC32" s="462"/>
    </row>
    <row r="33" spans="2:29">
      <c r="B33" s="460">
        <v>2600</v>
      </c>
      <c r="D33" s="461">
        <f>$W$8</f>
        <v>7.75</v>
      </c>
      <c r="F33" s="461">
        <f>$Y$8</f>
        <v>7.75</v>
      </c>
      <c r="H33" s="461">
        <f t="shared" si="0"/>
        <v>0</v>
      </c>
      <c r="I33" s="461"/>
      <c r="J33" s="461">
        <f>ROUND((((600*W$9/100)+(($B33-600)*W$10/100)))+((B33*$Y$14)/100),2)+Y16</f>
        <v>230.66</v>
      </c>
      <c r="L33" s="461">
        <f>ROUND((((600*Y$9/100)+(($B33-600)*Y$10/100)))+((B33*$Y$15)/100),2)+Y17</f>
        <v>238.74</v>
      </c>
      <c r="N33" s="462">
        <f>L33-J33</f>
        <v>8.0800000000000125</v>
      </c>
      <c r="P33" s="463">
        <f>(L33-J33)/J33</f>
        <v>3.5029914159368826E-2</v>
      </c>
      <c r="Q33" s="463"/>
      <c r="R33" s="464">
        <f t="shared" si="1"/>
        <v>8.0800000000000125</v>
      </c>
      <c r="S33" s="463"/>
      <c r="T33" s="463">
        <f t="shared" si="2"/>
        <v>3.389119583910076E-2</v>
      </c>
      <c r="AC33" s="462"/>
    </row>
    <row r="34" spans="2:29">
      <c r="B34" s="476"/>
      <c r="C34" s="477"/>
      <c r="D34" s="478"/>
      <c r="E34" s="477"/>
      <c r="F34" s="478"/>
      <c r="G34" s="477"/>
      <c r="H34" s="477"/>
      <c r="I34" s="477"/>
      <c r="J34" s="478"/>
      <c r="K34" s="477"/>
      <c r="L34" s="478"/>
      <c r="M34" s="477"/>
      <c r="N34" s="477"/>
      <c r="O34" s="477"/>
      <c r="P34" s="479"/>
      <c r="Q34" s="479"/>
      <c r="R34" s="479"/>
      <c r="S34" s="479"/>
      <c r="T34" s="477"/>
      <c r="AC34" s="462"/>
    </row>
    <row r="35" spans="2:29">
      <c r="B35" s="480"/>
      <c r="T35" s="469"/>
    </row>
    <row r="36" spans="2:29">
      <c r="B36" s="438" t="s">
        <v>351</v>
      </c>
    </row>
    <row r="37" spans="2:29">
      <c r="B37" s="438" t="s">
        <v>352</v>
      </c>
    </row>
    <row r="38" spans="2:29" ht="16.5">
      <c r="B38" s="481" t="s">
        <v>353</v>
      </c>
    </row>
    <row r="39" spans="2:29">
      <c r="B39" s="481" t="s">
        <v>0</v>
      </c>
    </row>
    <row r="47" spans="2:29">
      <c r="Y47" s="474"/>
    </row>
  </sheetData>
  <mergeCells count="7">
    <mergeCell ref="B1:T1"/>
    <mergeCell ref="B2:T2"/>
    <mergeCell ref="B3:T3"/>
    <mergeCell ref="J6:P6"/>
    <mergeCell ref="D7:H7"/>
    <mergeCell ref="N7:P7"/>
    <mergeCell ref="R7:T7"/>
  </mergeCells>
  <printOptions horizontalCentered="1"/>
  <pageMargins left="0.75" right="0.75" top="1" bottom="1" header="0.5" footer="0.5"/>
  <pageSetup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7"/>
  <sheetViews>
    <sheetView view="pageBreakPreview" zoomScale="75" zoomScaleNormal="100" workbookViewId="0">
      <selection activeCell="AJ42" sqref="AJ42"/>
    </sheetView>
  </sheetViews>
  <sheetFormatPr defaultColWidth="8.5" defaultRowHeight="15"/>
  <cols>
    <col min="1" max="1" width="4.625" style="438" customWidth="1"/>
    <col min="2" max="2" width="8.5" style="438"/>
    <col min="3" max="3" width="2.75" style="438" customWidth="1"/>
    <col min="4" max="4" width="7" style="438" bestFit="1" customWidth="1"/>
    <col min="5" max="5" width="2.875" style="438" customWidth="1"/>
    <col min="6" max="6" width="8.25" style="438" bestFit="1" customWidth="1"/>
    <col min="7" max="7" width="2.875" style="438" customWidth="1"/>
    <col min="8" max="8" width="6.75" style="438" bestFit="1" customWidth="1"/>
    <col min="9" max="9" width="2.875" style="438" customWidth="1"/>
    <col min="10" max="10" width="8.25" style="438" bestFit="1" customWidth="1"/>
    <col min="11" max="11" width="2.625" style="438" customWidth="1"/>
    <col min="12" max="12" width="8.25" style="438" bestFit="1" customWidth="1"/>
    <col min="13" max="13" width="2.625" style="438" customWidth="1"/>
    <col min="14" max="14" width="9" style="438" bestFit="1" customWidth="1"/>
    <col min="15" max="15" width="2.875" style="438" customWidth="1"/>
    <col min="16" max="16" width="7.75" style="438" bestFit="1" customWidth="1"/>
    <col min="17" max="17" width="2.625" style="438" customWidth="1"/>
    <col min="18" max="18" width="7.75" style="438" customWidth="1"/>
    <col min="19" max="19" width="2.125" style="438" customWidth="1"/>
    <col min="20" max="20" width="7.75" style="438" bestFit="1" customWidth="1"/>
    <col min="21" max="21" width="2.25" style="438" customWidth="1"/>
    <col min="22" max="22" width="15.125" style="438" customWidth="1"/>
    <col min="23" max="23" width="15.25" style="438" customWidth="1"/>
    <col min="24" max="24" width="15.125" style="438" customWidth="1"/>
    <col min="25" max="25" width="8.25" style="438" customWidth="1"/>
    <col min="26" max="26" width="1.625" style="438" customWidth="1"/>
    <col min="27" max="16384" width="8.5" style="438"/>
  </cols>
  <sheetData>
    <row r="1" spans="1:29" ht="18.75">
      <c r="B1" s="439" t="s">
        <v>333</v>
      </c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82"/>
      <c r="R1" s="482"/>
      <c r="S1" s="441"/>
      <c r="T1" s="441"/>
    </row>
    <row r="2" spans="1:29" ht="18.75">
      <c r="A2" s="440"/>
      <c r="B2" s="439" t="s">
        <v>334</v>
      </c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82"/>
      <c r="R2" s="482"/>
      <c r="S2" s="441"/>
      <c r="T2" s="441"/>
    </row>
    <row r="3" spans="1:29" ht="18.75">
      <c r="A3" s="440"/>
      <c r="B3" s="439" t="s">
        <v>354</v>
      </c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82"/>
      <c r="R3" s="482"/>
      <c r="S3" s="441"/>
      <c r="T3" s="441"/>
    </row>
    <row r="4" spans="1:29" ht="18.75">
      <c r="B4" s="441" t="s">
        <v>0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</row>
    <row r="6" spans="1:29" ht="18.75" thickBot="1">
      <c r="J6" s="442" t="s">
        <v>336</v>
      </c>
      <c r="K6" s="442"/>
      <c r="L6" s="442"/>
      <c r="M6" s="442"/>
      <c r="N6" s="442"/>
      <c r="O6" s="442"/>
      <c r="P6" s="442"/>
      <c r="Q6" s="443"/>
      <c r="R6" s="443"/>
      <c r="S6" s="444"/>
      <c r="T6" s="444"/>
      <c r="U6" s="440"/>
      <c r="V6" s="444"/>
    </row>
    <row r="7" spans="1:29">
      <c r="D7" s="442" t="s">
        <v>337</v>
      </c>
      <c r="E7" s="442"/>
      <c r="F7" s="442"/>
      <c r="G7" s="442"/>
      <c r="H7" s="442"/>
      <c r="I7" s="443"/>
      <c r="J7" s="443" t="s">
        <v>0</v>
      </c>
      <c r="K7" s="445"/>
      <c r="L7" s="445" t="s">
        <v>0</v>
      </c>
      <c r="N7" s="442" t="s">
        <v>16</v>
      </c>
      <c r="O7" s="442"/>
      <c r="P7" s="442"/>
      <c r="Q7" s="443"/>
      <c r="R7" s="442" t="s">
        <v>338</v>
      </c>
      <c r="S7" s="442"/>
      <c r="T7" s="442"/>
      <c r="U7" s="445"/>
      <c r="V7" s="446" t="s">
        <v>339</v>
      </c>
      <c r="W7" s="447"/>
      <c r="X7" s="446" t="s">
        <v>340</v>
      </c>
      <c r="Y7" s="447"/>
    </row>
    <row r="8" spans="1:29" ht="18">
      <c r="B8" s="448" t="s">
        <v>81</v>
      </c>
      <c r="D8" s="449" t="s">
        <v>9</v>
      </c>
      <c r="E8" s="450" t="s">
        <v>0</v>
      </c>
      <c r="F8" s="449" t="s">
        <v>10</v>
      </c>
      <c r="G8" s="450" t="s">
        <v>0</v>
      </c>
      <c r="H8" s="448" t="s">
        <v>16</v>
      </c>
      <c r="I8" s="443"/>
      <c r="J8" s="449" t="s">
        <v>9</v>
      </c>
      <c r="K8" s="450" t="s">
        <v>0</v>
      </c>
      <c r="L8" s="449" t="s">
        <v>10</v>
      </c>
      <c r="M8" s="450" t="s">
        <v>0</v>
      </c>
      <c r="N8" s="448" t="s">
        <v>341</v>
      </c>
      <c r="P8" s="451" t="s">
        <v>27</v>
      </c>
      <c r="Q8" s="445"/>
      <c r="R8" s="452" t="s">
        <v>341</v>
      </c>
      <c r="S8" s="445"/>
      <c r="T8" s="448" t="s">
        <v>27</v>
      </c>
      <c r="V8" s="453" t="s">
        <v>342</v>
      </c>
      <c r="W8" s="454">
        <f>'Bill Comparison Sch 16'!W8</f>
        <v>7.75</v>
      </c>
      <c r="X8" s="453"/>
      <c r="Y8" s="454">
        <v>7.75</v>
      </c>
    </row>
    <row r="9" spans="1:29">
      <c r="B9" s="455"/>
      <c r="D9" s="455"/>
      <c r="E9" s="455"/>
      <c r="F9" s="455"/>
      <c r="J9" s="455"/>
      <c r="K9" s="455"/>
      <c r="L9" s="455"/>
      <c r="V9" s="453" t="s">
        <v>343</v>
      </c>
      <c r="W9" s="456">
        <f>'Bill Comparison Sch 16'!W9</f>
        <v>6.4820000000000002</v>
      </c>
      <c r="X9" s="453"/>
      <c r="Y9" s="457">
        <f>'Bill Comparison Sch 16'!Y9</f>
        <v>6.6980000000000004</v>
      </c>
      <c r="Z9" s="458"/>
      <c r="AA9" s="459">
        <f>(Y9-W9)/W9</f>
        <v>3.3323048441838969E-2</v>
      </c>
    </row>
    <row r="10" spans="1:29" ht="15.75" thickBot="1">
      <c r="B10" s="460">
        <v>50</v>
      </c>
      <c r="D10" s="461">
        <f>$W$8</f>
        <v>7.75</v>
      </c>
      <c r="F10" s="461">
        <f>$Y$8</f>
        <v>7.75</v>
      </c>
      <c r="H10" s="461">
        <f>F10-D10</f>
        <v>0</v>
      </c>
      <c r="I10" s="461"/>
      <c r="J10" s="461">
        <f>ROUND((($B10*W$9/100))+((B10*$Y$14)/100),2)+Y16</f>
        <v>3.03</v>
      </c>
      <c r="L10" s="461">
        <f>ROUND((($B10*Y$9/100))+((B10*$Y$15)/100),2)+Y17</f>
        <v>3.14</v>
      </c>
      <c r="N10" s="462">
        <f>L10-J10</f>
        <v>0.11000000000000032</v>
      </c>
      <c r="P10" s="463">
        <f>(L10-J10)/J10</f>
        <v>3.630363036303641E-2</v>
      </c>
      <c r="Q10" s="463"/>
      <c r="R10" s="464">
        <f>F10+L10-D10-J10</f>
        <v>0.11000000000000076</v>
      </c>
      <c r="T10" s="463">
        <f>(F10+L10-D10-J10)/(D10+J10)</f>
        <v>1.0204081632653133E-2</v>
      </c>
      <c r="V10" s="465" t="s">
        <v>344</v>
      </c>
      <c r="W10" s="466">
        <f>'Bill Comparison Sch 16'!W10+Y19</f>
        <v>3.7039999999999997</v>
      </c>
      <c r="X10" s="465"/>
      <c r="Y10" s="466">
        <f>'Bill Comparison Sch 16'!Y10+Y20</f>
        <v>3.149</v>
      </c>
      <c r="AA10" s="459">
        <f>(Y10-W10)/W10</f>
        <v>-0.14983801295896321</v>
      </c>
    </row>
    <row r="11" spans="1:29">
      <c r="B11" s="460">
        <v>100</v>
      </c>
      <c r="D11" s="461">
        <f>$W$8</f>
        <v>7.75</v>
      </c>
      <c r="F11" s="461">
        <f>$Y$8</f>
        <v>7.75</v>
      </c>
      <c r="H11" s="461">
        <f t="shared" ref="H11:H33" si="0">F11-D11</f>
        <v>0</v>
      </c>
      <c r="I11" s="461"/>
      <c r="J11" s="461">
        <f>ROUND((($B11*W$9/100))+((B11*$Y$14)/100),2)+Y16</f>
        <v>6.06</v>
      </c>
      <c r="L11" s="461">
        <f>ROUND((($B11*Y$9/100))+((B11*$Y$15)/100),2)+Y17</f>
        <v>6.28</v>
      </c>
      <c r="N11" s="462">
        <f>L11-J11</f>
        <v>0.22000000000000064</v>
      </c>
      <c r="P11" s="463">
        <f>(L11-J11)/J11</f>
        <v>3.630363036303641E-2</v>
      </c>
      <c r="Q11" s="463"/>
      <c r="R11" s="464">
        <f t="shared" ref="R11:R33" si="1">F11+L11-D11-J11</f>
        <v>0.22000000000000153</v>
      </c>
      <c r="T11" s="463">
        <f t="shared" ref="T11:T33" si="2">(F11+L11-D11-J11)/(D11+J11)</f>
        <v>1.5930485155684401E-2</v>
      </c>
      <c r="V11" s="467"/>
      <c r="W11" s="467" t="s">
        <v>345</v>
      </c>
      <c r="X11" s="467"/>
      <c r="Y11" s="468">
        <v>0.28299999999999997</v>
      </c>
      <c r="AC11" s="462"/>
    </row>
    <row r="12" spans="1:29">
      <c r="B12" s="460">
        <v>150</v>
      </c>
      <c r="D12" s="461">
        <f>$W$8</f>
        <v>7.75</v>
      </c>
      <c r="F12" s="461">
        <f>$Y$8</f>
        <v>7.75</v>
      </c>
      <c r="H12" s="461">
        <f t="shared" si="0"/>
        <v>0</v>
      </c>
      <c r="I12" s="461"/>
      <c r="J12" s="461">
        <f>ROUND((($B12*W$9/100))+((B12*$Y$14)/100),2)+Y16</f>
        <v>9.09</v>
      </c>
      <c r="L12" s="461">
        <f>ROUND((($B12*Y$9/100))+((B12*$Y$15)/100),2)+Y17</f>
        <v>9.41</v>
      </c>
      <c r="N12" s="462">
        <f>L12-J12</f>
        <v>0.32000000000000028</v>
      </c>
      <c r="P12" s="463">
        <f>(L12-J12)/J12</f>
        <v>3.5203520352035236E-2</v>
      </c>
      <c r="Q12" s="463"/>
      <c r="R12" s="464">
        <f t="shared" si="1"/>
        <v>0.32000000000000028</v>
      </c>
      <c r="T12" s="463">
        <f t="shared" si="2"/>
        <v>1.9002375296912132E-2</v>
      </c>
      <c r="V12" s="467"/>
      <c r="W12" s="467"/>
      <c r="X12" s="467"/>
      <c r="Y12" s="468">
        <v>0.28299999999999997</v>
      </c>
      <c r="Z12" s="469"/>
      <c r="AC12" s="462"/>
    </row>
    <row r="13" spans="1:29">
      <c r="D13" s="464"/>
      <c r="F13" s="464"/>
      <c r="J13" s="464"/>
      <c r="L13" s="464"/>
      <c r="V13" s="467"/>
      <c r="W13" s="467"/>
      <c r="X13" s="467"/>
      <c r="Y13" s="470"/>
      <c r="AC13" s="462"/>
    </row>
    <row r="14" spans="1:29">
      <c r="B14" s="460">
        <v>200</v>
      </c>
      <c r="D14" s="461">
        <f>$W$8</f>
        <v>7.75</v>
      </c>
      <c r="F14" s="461">
        <f>$Y$8</f>
        <v>7.75</v>
      </c>
      <c r="H14" s="461">
        <f t="shared" si="0"/>
        <v>0</v>
      </c>
      <c r="I14" s="461"/>
      <c r="J14" s="461">
        <f>ROUND((($B14*W$9/100))+((B14*$Y$14)/100),2)+Y16</f>
        <v>12.12</v>
      </c>
      <c r="L14" s="461">
        <f>ROUND((($B14*Y$9/100))+((B14*$Y$15)/100),2)+Y17</f>
        <v>12.55</v>
      </c>
      <c r="N14" s="462">
        <f>L14-J14</f>
        <v>0.43000000000000149</v>
      </c>
      <c r="P14" s="463">
        <f>(L14-J14)/J14</f>
        <v>3.5478547854785603E-2</v>
      </c>
      <c r="Q14" s="463"/>
      <c r="R14" s="464">
        <f t="shared" si="1"/>
        <v>0.43000000000000149</v>
      </c>
      <c r="T14" s="463">
        <f t="shared" si="2"/>
        <v>2.1640664318067517E-2</v>
      </c>
      <c r="V14" s="467"/>
      <c r="W14" s="467" t="s">
        <v>346</v>
      </c>
      <c r="X14" s="467"/>
      <c r="Y14" s="468">
        <v>-0.42199999999999999</v>
      </c>
      <c r="AA14" s="438" t="s">
        <v>0</v>
      </c>
      <c r="AC14" s="462"/>
    </row>
    <row r="15" spans="1:29">
      <c r="B15" s="460">
        <v>300</v>
      </c>
      <c r="D15" s="461">
        <f>$W$8</f>
        <v>7.75</v>
      </c>
      <c r="F15" s="461">
        <f>$Y$8</f>
        <v>7.75</v>
      </c>
      <c r="H15" s="461">
        <f t="shared" si="0"/>
        <v>0</v>
      </c>
      <c r="I15" s="461"/>
      <c r="J15" s="461">
        <f>ROUND((($B15*W$9/100))+((B15*$Y$14)/100),2)+Y16</f>
        <v>18.18</v>
      </c>
      <c r="L15" s="461">
        <f>ROUND((($B15*Y$9/100))+((B15*$Y$15)/100),2)+Y17</f>
        <v>18.829999999999998</v>
      </c>
      <c r="N15" s="462">
        <f>L15-J15</f>
        <v>0.64999999999999858</v>
      </c>
      <c r="P15" s="463">
        <f>(L15-J15)/J15</f>
        <v>3.5753575357535677E-2</v>
      </c>
      <c r="Q15" s="463"/>
      <c r="R15" s="464">
        <f t="shared" si="1"/>
        <v>0.64999999999999858</v>
      </c>
      <c r="T15" s="463">
        <f t="shared" si="2"/>
        <v>2.5067489394523662E-2</v>
      </c>
      <c r="V15" s="467"/>
      <c r="W15" s="438" t="s">
        <v>0</v>
      </c>
      <c r="X15" s="438" t="s">
        <v>0</v>
      </c>
      <c r="Y15" s="468">
        <v>-0.42199999999999999</v>
      </c>
      <c r="AC15" s="462"/>
    </row>
    <row r="16" spans="1:29">
      <c r="B16" s="460">
        <v>400</v>
      </c>
      <c r="D16" s="461">
        <f>$W$8</f>
        <v>7.75</v>
      </c>
      <c r="F16" s="461">
        <f>$Y$8</f>
        <v>7.75</v>
      </c>
      <c r="H16" s="461">
        <f t="shared" si="0"/>
        <v>0</v>
      </c>
      <c r="I16" s="461"/>
      <c r="J16" s="461">
        <f>ROUND((($B16*W$9/100))+((B16*$Y$14)/100),2)+Y16</f>
        <v>24.24</v>
      </c>
      <c r="L16" s="461">
        <f>ROUND((($B16*Y$9/100))+((B16*$Y$15)/100),2)+Y17</f>
        <v>25.1</v>
      </c>
      <c r="N16" s="462">
        <f>L16-J16</f>
        <v>0.86000000000000298</v>
      </c>
      <c r="P16" s="463">
        <f>(L16-J16)/J16</f>
        <v>3.5478547854785603E-2</v>
      </c>
      <c r="Q16" s="463"/>
      <c r="R16" s="464">
        <f t="shared" si="1"/>
        <v>0.86000000000000298</v>
      </c>
      <c r="T16" s="463">
        <f t="shared" si="2"/>
        <v>2.688340106283223E-2</v>
      </c>
      <c r="W16" s="438" t="s">
        <v>347</v>
      </c>
      <c r="Y16" s="462">
        <v>0</v>
      </c>
      <c r="Z16" s="438" t="s">
        <v>0</v>
      </c>
      <c r="AC16" s="462"/>
    </row>
    <row r="17" spans="2:29">
      <c r="B17" s="460">
        <v>500</v>
      </c>
      <c r="D17" s="461">
        <f>$W$8</f>
        <v>7.75</v>
      </c>
      <c r="F17" s="461">
        <f>$Y$8</f>
        <v>7.75</v>
      </c>
      <c r="H17" s="461">
        <f t="shared" si="0"/>
        <v>0</v>
      </c>
      <c r="I17" s="461"/>
      <c r="J17" s="461">
        <f>ROUND((($B17*W$9/100))+((B17*$Y$14)/100),2)+Y16</f>
        <v>30.3</v>
      </c>
      <c r="L17" s="461">
        <f>ROUND((($B17*Y$9/100))+((B17*$Y$15)/100),2)+Y17</f>
        <v>31.38</v>
      </c>
      <c r="N17" s="462">
        <f>L17-J17</f>
        <v>1.0799999999999983</v>
      </c>
      <c r="P17" s="463">
        <f>(L17-J17)/J17</f>
        <v>3.5643564356435585E-2</v>
      </c>
      <c r="Q17" s="463"/>
      <c r="R17" s="464">
        <f t="shared" si="1"/>
        <v>1.0799999999999947</v>
      </c>
      <c r="T17" s="463">
        <f t="shared" si="2"/>
        <v>2.8383705650459785E-2</v>
      </c>
      <c r="W17" s="438" t="s">
        <v>348</v>
      </c>
      <c r="Y17" s="462">
        <v>0</v>
      </c>
      <c r="AC17" s="462"/>
    </row>
    <row r="18" spans="2:29">
      <c r="D18" s="464"/>
      <c r="F18" s="464"/>
      <c r="J18" s="464"/>
      <c r="L18" s="464"/>
      <c r="AC18" s="462"/>
    </row>
    <row r="19" spans="2:29">
      <c r="B19" s="460">
        <v>600</v>
      </c>
      <c r="D19" s="461">
        <f>$W$8</f>
        <v>7.75</v>
      </c>
      <c r="F19" s="461">
        <f>$Y$8</f>
        <v>7.75</v>
      </c>
      <c r="H19" s="461">
        <f t="shared" si="0"/>
        <v>0</v>
      </c>
      <c r="I19" s="461"/>
      <c r="J19" s="461">
        <f>ROUND((($B19*W$9/100))+((B19*$Y$14)/100),2)+Y16</f>
        <v>36.36</v>
      </c>
      <c r="L19" s="461">
        <f>ROUND((($B19*Y$9/100))+((B19*$Y$15)/100),2)+Y17</f>
        <v>37.659999999999997</v>
      </c>
      <c r="N19" s="462">
        <f>L19-J19</f>
        <v>1.2999999999999972</v>
      </c>
      <c r="P19" s="463">
        <f>(L19-J19)/J19</f>
        <v>3.5753575357535677E-2</v>
      </c>
      <c r="Q19" s="463"/>
      <c r="R19" s="464">
        <f t="shared" si="1"/>
        <v>1.2999999999999972</v>
      </c>
      <c r="T19" s="463">
        <f t="shared" si="2"/>
        <v>2.9471775107685269E-2</v>
      </c>
      <c r="W19" s="438" t="s">
        <v>355</v>
      </c>
      <c r="Y19" s="438">
        <f>-'Rate Design Low Income Credit'!H8</f>
        <v>-6.3959999999999999</v>
      </c>
      <c r="AC19" s="462"/>
    </row>
    <row r="20" spans="2:29">
      <c r="B20" s="460">
        <v>700</v>
      </c>
      <c r="D20" s="461">
        <f>$W$8</f>
        <v>7.75</v>
      </c>
      <c r="F20" s="461">
        <f>$Y$8</f>
        <v>7.75</v>
      </c>
      <c r="H20" s="461">
        <f t="shared" si="0"/>
        <v>0</v>
      </c>
      <c r="I20" s="461"/>
      <c r="J20" s="461">
        <f>ROUND((((600*W$9/100)+(($B20-600)*W$10/100)))+((B20*$Y$14)/100),2)+Y16</f>
        <v>39.64</v>
      </c>
      <c r="L20" s="461">
        <f>ROUND((((600*Y$9/100)+(($B20-600)*Y$10/100)))+((B20*$Y$15)/100),2)+Y17</f>
        <v>40.380000000000003</v>
      </c>
      <c r="N20" s="462">
        <f>L20-J20</f>
        <v>0.74000000000000199</v>
      </c>
      <c r="P20" s="463">
        <f>(L20-J20)/J20</f>
        <v>1.8668012108980878E-2</v>
      </c>
      <c r="Q20" s="463"/>
      <c r="R20" s="464">
        <f t="shared" si="1"/>
        <v>0.74000000000000199</v>
      </c>
      <c r="T20" s="463">
        <f t="shared" si="2"/>
        <v>1.5615108672715804E-2</v>
      </c>
      <c r="W20" s="438" t="s">
        <v>356</v>
      </c>
      <c r="Y20" s="471">
        <f>-'Rate Design Low Income Credit'!E8</f>
        <v>-7.29</v>
      </c>
      <c r="AC20" s="462"/>
    </row>
    <row r="21" spans="2:29">
      <c r="B21" s="460">
        <v>800</v>
      </c>
      <c r="D21" s="461">
        <f>$W$8</f>
        <v>7.75</v>
      </c>
      <c r="F21" s="461">
        <f>$Y$8</f>
        <v>7.75</v>
      </c>
      <c r="H21" s="461">
        <f t="shared" si="0"/>
        <v>0</v>
      </c>
      <c r="I21" s="461"/>
      <c r="J21" s="461">
        <f>ROUND((((600*W$9/100)+(($B21-600)*W$10/100)))+((B21*$Y$14)/100),2)+Y16</f>
        <v>42.92</v>
      </c>
      <c r="L21" s="461">
        <f>ROUND((((600*Y$9/100)+(($B21-600)*Y$10/100)))+((B21*$Y$15)/100),2)+Y17</f>
        <v>43.11</v>
      </c>
      <c r="N21" s="462">
        <f>L21-J21</f>
        <v>0.18999999999999773</v>
      </c>
      <c r="P21" s="463">
        <f>(L21-J21)/J21</f>
        <v>4.4268406337371327E-3</v>
      </c>
      <c r="Q21" s="463"/>
      <c r="R21" s="464">
        <f t="shared" si="1"/>
        <v>0.18999999999999773</v>
      </c>
      <c r="T21" s="463">
        <f t="shared" si="2"/>
        <v>3.7497533057035269E-3</v>
      </c>
      <c r="W21" s="438" t="s">
        <v>357</v>
      </c>
      <c r="Y21" s="438">
        <f>-'Rate Design Low Income Credit'!H9</f>
        <v>-4.3029999999999999</v>
      </c>
      <c r="AC21" s="462"/>
    </row>
    <row r="22" spans="2:29">
      <c r="B22" s="460">
        <v>900</v>
      </c>
      <c r="D22" s="461">
        <f>$W$8</f>
        <v>7.75</v>
      </c>
      <c r="F22" s="461">
        <f>$Y$8</f>
        <v>7.75</v>
      </c>
      <c r="H22" s="461">
        <f t="shared" si="0"/>
        <v>0</v>
      </c>
      <c r="I22" s="461"/>
      <c r="J22" s="461">
        <f>ROUND((((600*W$9/100)+(($B22-600)*W$10/100)))+((B22*$Y$14)/100),2)+Y16</f>
        <v>46.21</v>
      </c>
      <c r="L22" s="461">
        <f>ROUND((((600*Y$9/100)+(($B22-600)*Y$10/100)))+((B22*$Y$15)/100),2)+Y17</f>
        <v>45.84</v>
      </c>
      <c r="N22" s="462">
        <f>L22-J22</f>
        <v>-0.36999999999999744</v>
      </c>
      <c r="P22" s="463">
        <f>(L22-J22)/J22</f>
        <v>-8.0069249080285104E-3</v>
      </c>
      <c r="Q22" s="463"/>
      <c r="R22" s="464">
        <f t="shared" si="1"/>
        <v>-0.36999999999999744</v>
      </c>
      <c r="T22" s="463">
        <f t="shared" si="2"/>
        <v>-6.8569310600444296E-3</v>
      </c>
      <c r="W22" s="438" t="s">
        <v>358</v>
      </c>
      <c r="Y22" s="471">
        <f>-'Rate Design Low Income Credit'!E9</f>
        <v>-4.9039999999999999</v>
      </c>
      <c r="AC22" s="462"/>
    </row>
    <row r="23" spans="2:29">
      <c r="B23" s="460">
        <v>1000</v>
      </c>
      <c r="D23" s="461">
        <f>$W$8</f>
        <v>7.75</v>
      </c>
      <c r="F23" s="461">
        <f>$Y$8</f>
        <v>7.75</v>
      </c>
      <c r="H23" s="461">
        <f t="shared" si="0"/>
        <v>0</v>
      </c>
      <c r="I23" s="461"/>
      <c r="J23" s="461">
        <f>ROUND((((600*W$9/100)+(($B23-600)*W$10/100)))+((B23*$Y$14)/100),2)+Y16</f>
        <v>49.49</v>
      </c>
      <c r="L23" s="461">
        <f>ROUND((((600*Y$9/100)+(($B23-600)*Y$10/100)))+((B23*$Y$15)/100),2)+Y17</f>
        <v>48.56</v>
      </c>
      <c r="N23" s="462">
        <f>L23-J23</f>
        <v>-0.92999999999999972</v>
      </c>
      <c r="P23" s="463">
        <f>(L23-J23)/J23</f>
        <v>-1.8791675085875929E-2</v>
      </c>
      <c r="Q23" s="463"/>
      <c r="R23" s="464">
        <f t="shared" si="1"/>
        <v>-0.92999999999999972</v>
      </c>
      <c r="T23" s="463">
        <f t="shared" si="2"/>
        <v>-1.624737945492662E-2</v>
      </c>
      <c r="W23" s="438" t="s">
        <v>359</v>
      </c>
      <c r="Y23" s="438">
        <f>-'Rate Design Low Income Credit'!H10</f>
        <v>-2.6890000000000001</v>
      </c>
      <c r="AC23" s="462"/>
    </row>
    <row r="24" spans="2:29">
      <c r="D24" s="464"/>
      <c r="F24" s="464"/>
      <c r="J24" s="464"/>
      <c r="L24" s="464"/>
      <c r="P24" s="475"/>
      <c r="Q24" s="475"/>
      <c r="R24" s="475"/>
      <c r="T24" s="475"/>
      <c r="W24" s="438" t="s">
        <v>360</v>
      </c>
      <c r="Y24" s="471">
        <f>-'Rate Design Low Income Credit'!E10</f>
        <v>-3.0649999999999999</v>
      </c>
      <c r="AC24" s="462"/>
    </row>
    <row r="25" spans="2:29">
      <c r="B25" s="460">
        <v>1100</v>
      </c>
      <c r="D25" s="461">
        <f>$W$8</f>
        <v>7.75</v>
      </c>
      <c r="F25" s="461">
        <f>$Y$8</f>
        <v>7.75</v>
      </c>
      <c r="H25" s="461">
        <f t="shared" si="0"/>
        <v>0</v>
      </c>
      <c r="I25" s="461"/>
      <c r="J25" s="461">
        <f>ROUND((((600*W$9/100)+(($B25-600)*W$10/100)))+((B25*$Y$14)/100),2)+Y16</f>
        <v>52.77</v>
      </c>
      <c r="L25" s="461">
        <f>ROUND((((600*Y$9/100)+(($B25-600)*Y$10/100)))+((B25*$Y$15)/100),2)+Y17</f>
        <v>51.29</v>
      </c>
      <c r="N25" s="462">
        <f>L25-J25</f>
        <v>-1.480000000000004</v>
      </c>
      <c r="P25" s="463">
        <f>(L25-J25)/J25</f>
        <v>-2.8046238393026415E-2</v>
      </c>
      <c r="Q25" s="463"/>
      <c r="R25" s="464">
        <f t="shared" si="1"/>
        <v>-1.480000000000004</v>
      </c>
      <c r="T25" s="463">
        <f t="shared" si="2"/>
        <v>-2.4454725710508989E-2</v>
      </c>
      <c r="AC25" s="462"/>
    </row>
    <row r="26" spans="2:29">
      <c r="B26" s="460">
        <v>1200</v>
      </c>
      <c r="D26" s="461">
        <f>$W$8</f>
        <v>7.75</v>
      </c>
      <c r="F26" s="461">
        <f>$Y$8</f>
        <v>7.75</v>
      </c>
      <c r="H26" s="461">
        <f t="shared" si="0"/>
        <v>0</v>
      </c>
      <c r="I26" s="461"/>
      <c r="J26" s="461">
        <f>ROUND((((600*W$9/100)+(($B26-600)*W$10/100)))+((B26*$Y$14)/100),2)+Y16</f>
        <v>56.05</v>
      </c>
      <c r="L26" s="461">
        <f>ROUND((((600*Y$9/100)+(($B26-600)*Y$10/100)))+((B26*$Y$15)/100),2)+Y17</f>
        <v>54.02</v>
      </c>
      <c r="N26" s="462">
        <f>L26-J26</f>
        <v>-2.029999999999994</v>
      </c>
      <c r="P26" s="463">
        <f>(L26-J26)/J26</f>
        <v>-3.6217662801070367E-2</v>
      </c>
      <c r="Q26" s="463"/>
      <c r="R26" s="464">
        <f t="shared" si="1"/>
        <v>-2.029999999999994</v>
      </c>
      <c r="T26" s="463">
        <f t="shared" si="2"/>
        <v>-3.1818181818181725E-2</v>
      </c>
      <c r="AC26" s="462"/>
    </row>
    <row r="27" spans="2:29">
      <c r="B27" s="460">
        <v>1300</v>
      </c>
      <c r="D27" s="461">
        <f>$W$8</f>
        <v>7.75</v>
      </c>
      <c r="F27" s="461">
        <f>$Y$8</f>
        <v>7.75</v>
      </c>
      <c r="H27" s="461">
        <f t="shared" si="0"/>
        <v>0</v>
      </c>
      <c r="I27" s="461"/>
      <c r="J27" s="461">
        <f>ROUND((((600*W$9/100)+(($B27-600)*W$10/100)))+((B27*$Y$14)/100),2)+Y16</f>
        <v>59.33</v>
      </c>
      <c r="L27" s="461">
        <f>ROUND((((600*Y$9/100)+(($B27-600)*Y$10/100)))+((B27*$Y$15)/100),2)+Y17</f>
        <v>56.75</v>
      </c>
      <c r="N27" s="462">
        <f>L27-J27</f>
        <v>-2.5799999999999983</v>
      </c>
      <c r="P27" s="463">
        <f>(L27-J27)/J27</f>
        <v>-4.3485589078038067E-2</v>
      </c>
      <c r="Q27" s="463"/>
      <c r="R27" s="464">
        <f t="shared" si="1"/>
        <v>-2.5799999999999983</v>
      </c>
      <c r="T27" s="463">
        <f t="shared" si="2"/>
        <v>-3.8461538461538436E-2</v>
      </c>
      <c r="AC27" s="462"/>
    </row>
    <row r="28" spans="2:29">
      <c r="B28" s="460">
        <v>1400</v>
      </c>
      <c r="D28" s="461">
        <f>$W$8</f>
        <v>7.75</v>
      </c>
      <c r="F28" s="461">
        <f>$Y$8</f>
        <v>7.75</v>
      </c>
      <c r="H28" s="461">
        <f t="shared" si="0"/>
        <v>0</v>
      </c>
      <c r="I28" s="461"/>
      <c r="J28" s="461">
        <f>ROUND((((600*W$9/100)+(($B28-600)*W$10/100)))+((B28*$Y$14)/100),2)+Y16</f>
        <v>62.62</v>
      </c>
      <c r="L28" s="461">
        <f>ROUND((((600*Y$9/100)+(($B28-600)*Y$10/100)))+((B28*$Y$15)/100),2)+Y17</f>
        <v>59.47</v>
      </c>
      <c r="N28" s="462">
        <f>L28-J28</f>
        <v>-3.1499999999999986</v>
      </c>
      <c r="P28" s="463">
        <f>(L28-J28)/J28</f>
        <v>-5.0303417438518024E-2</v>
      </c>
      <c r="Q28" s="463"/>
      <c r="R28" s="464">
        <f t="shared" si="1"/>
        <v>-3.1499999999999986</v>
      </c>
      <c r="T28" s="463">
        <f t="shared" si="2"/>
        <v>-4.4763393491544672E-2</v>
      </c>
      <c r="AC28" s="462"/>
    </row>
    <row r="29" spans="2:29">
      <c r="B29" s="460">
        <v>1500</v>
      </c>
      <c r="D29" s="461">
        <f>$W$8</f>
        <v>7.75</v>
      </c>
      <c r="F29" s="461">
        <f>$Y$8</f>
        <v>7.75</v>
      </c>
      <c r="H29" s="461">
        <f t="shared" si="0"/>
        <v>0</v>
      </c>
      <c r="I29" s="461"/>
      <c r="J29" s="461">
        <f>ROUND((((600*W$9/100)+(($B29-600)*W$10/100)))+((B29*$Y$14)/100),2)+Y16</f>
        <v>65.900000000000006</v>
      </c>
      <c r="L29" s="461">
        <f>ROUND((((600*Y$9/100)+(($B29-600)*Y$10/100)))+((B29*$Y$15)/100),2)+Y17</f>
        <v>62.2</v>
      </c>
      <c r="N29" s="462">
        <f>L29-J29</f>
        <v>-3.7000000000000028</v>
      </c>
      <c r="P29" s="463">
        <f>(L29-J29)/J29</f>
        <v>-5.6145675265553911E-2</v>
      </c>
      <c r="Q29" s="463"/>
      <c r="R29" s="464">
        <f t="shared" si="1"/>
        <v>-3.7000000000000028</v>
      </c>
      <c r="T29" s="463">
        <f t="shared" si="2"/>
        <v>-5.0237610319076746E-2</v>
      </c>
      <c r="AC29" s="462"/>
    </row>
    <row r="30" spans="2:29">
      <c r="D30" s="464"/>
      <c r="F30" s="464"/>
      <c r="J30" s="464"/>
      <c r="L30" s="464"/>
      <c r="V30" s="472" t="s">
        <v>349</v>
      </c>
      <c r="W30" s="473">
        <f>'Bill Comparison Sch 16'!W22</f>
        <v>3.229913823214603E-2</v>
      </c>
      <c r="AC30" s="462"/>
    </row>
    <row r="31" spans="2:29">
      <c r="B31" s="460">
        <v>1700</v>
      </c>
      <c r="C31" s="438" t="s">
        <v>350</v>
      </c>
      <c r="D31" s="461">
        <f>$W$8</f>
        <v>7.75</v>
      </c>
      <c r="F31" s="461">
        <f>$Y$8</f>
        <v>7.75</v>
      </c>
      <c r="H31" s="461">
        <f t="shared" si="0"/>
        <v>0</v>
      </c>
      <c r="I31" s="461"/>
      <c r="J31" s="461">
        <f>ROUND((((600*W$9/100)+(($B31-600)*W$10/100)))+((B31*$Y$14)/100),2)+Y16</f>
        <v>72.459999999999994</v>
      </c>
      <c r="L31" s="461">
        <f>ROUND((((600*Y$9/100)+(($B31-600)*Y$10/100)))+((B31*$Y$15)/100),2)+Y17</f>
        <v>67.650000000000006</v>
      </c>
      <c r="N31" s="462">
        <f>L31-J31</f>
        <v>-4.8099999999999881</v>
      </c>
      <c r="P31" s="463">
        <f>(L31-J31)/J31</f>
        <v>-6.6381451835495292E-2</v>
      </c>
      <c r="Q31" s="463"/>
      <c r="R31" s="464">
        <f t="shared" si="1"/>
        <v>-4.8099999999999881</v>
      </c>
      <c r="T31" s="463">
        <f t="shared" si="2"/>
        <v>-5.9967585089140858E-2</v>
      </c>
      <c r="W31" s="474" t="s">
        <v>0</v>
      </c>
      <c r="AC31" s="462"/>
    </row>
    <row r="32" spans="2:29">
      <c r="B32" s="460">
        <v>2000</v>
      </c>
      <c r="D32" s="461">
        <f>$W$8</f>
        <v>7.75</v>
      </c>
      <c r="F32" s="461">
        <f>$Y$8</f>
        <v>7.75</v>
      </c>
      <c r="H32" s="461">
        <f t="shared" si="0"/>
        <v>0</v>
      </c>
      <c r="I32" s="461"/>
      <c r="J32" s="461">
        <f>ROUND((((600*W$9/100)+(($B32-600)*W$10/100)))+((B32*$Y$14)/100),2)+Y16</f>
        <v>82.31</v>
      </c>
      <c r="L32" s="461">
        <f>ROUND((((600*Y$9/100)+(($B32-600)*Y$10/100)))+((B32*$Y$15)/100),2)+Y17</f>
        <v>75.83</v>
      </c>
      <c r="N32" s="462">
        <f>L32-J32</f>
        <v>-6.480000000000004</v>
      </c>
      <c r="P32" s="463">
        <f>(L32-J32)/J32</f>
        <v>-7.8726764670149482E-2</v>
      </c>
      <c r="Q32" s="463"/>
      <c r="R32" s="464">
        <f t="shared" si="1"/>
        <v>-6.480000000000004</v>
      </c>
      <c r="T32" s="463">
        <f t="shared" si="2"/>
        <v>-7.1952031978680928E-2</v>
      </c>
      <c r="AC32" s="462"/>
    </row>
    <row r="33" spans="2:29">
      <c r="B33" s="460">
        <v>3000</v>
      </c>
      <c r="D33" s="461">
        <f>$W$8</f>
        <v>7.75</v>
      </c>
      <c r="F33" s="461">
        <f>$Y$8</f>
        <v>7.75</v>
      </c>
      <c r="H33" s="461">
        <f t="shared" si="0"/>
        <v>0</v>
      </c>
      <c r="I33" s="461"/>
      <c r="J33" s="461">
        <f>ROUND((((600*W$9/100)+(($B33-600)*W$10/100)))+((B33*$Y$14)/100),2)+Y16</f>
        <v>115.13</v>
      </c>
      <c r="L33" s="461">
        <f>ROUND((((600*Y$9/100)+(($B33-600)*Y$10/100)))+((B33*$Y$15)/100),2)+Y17</f>
        <v>103.1</v>
      </c>
      <c r="N33" s="462">
        <f>L33-J33</f>
        <v>-12.030000000000001</v>
      </c>
      <c r="P33" s="463">
        <f>(L33-J33)/J33</f>
        <v>-0.10449057587075482</v>
      </c>
      <c r="Q33" s="463"/>
      <c r="R33" s="464">
        <f t="shared" si="1"/>
        <v>-12.030000000000001</v>
      </c>
      <c r="T33" s="463">
        <f t="shared" si="2"/>
        <v>-9.7900390625000014E-2</v>
      </c>
      <c r="AC33" s="462"/>
    </row>
    <row r="34" spans="2:29">
      <c r="B34" s="476"/>
      <c r="C34" s="477"/>
      <c r="D34" s="478"/>
      <c r="E34" s="477"/>
      <c r="F34" s="478"/>
      <c r="G34" s="477"/>
      <c r="H34" s="477"/>
      <c r="I34" s="477"/>
      <c r="J34" s="478"/>
      <c r="K34" s="477"/>
      <c r="L34" s="478"/>
      <c r="M34" s="477"/>
      <c r="N34" s="477"/>
      <c r="O34" s="477"/>
      <c r="P34" s="479"/>
      <c r="Q34" s="479"/>
      <c r="R34" s="479"/>
      <c r="S34" s="477"/>
      <c r="T34" s="477"/>
      <c r="AC34" s="462"/>
    </row>
    <row r="35" spans="2:29">
      <c r="B35" s="480"/>
      <c r="S35" s="469"/>
      <c r="T35" s="469"/>
    </row>
    <row r="36" spans="2:29">
      <c r="B36" s="438" t="s">
        <v>351</v>
      </c>
    </row>
    <row r="37" spans="2:29">
      <c r="B37" s="438" t="s">
        <v>361</v>
      </c>
    </row>
    <row r="38" spans="2:29" ht="16.5">
      <c r="B38" s="481" t="s">
        <v>362</v>
      </c>
    </row>
    <row r="39" spans="2:29">
      <c r="B39" s="481" t="s">
        <v>0</v>
      </c>
    </row>
    <row r="47" spans="2:29">
      <c r="Y47" s="474"/>
    </row>
  </sheetData>
  <mergeCells count="7">
    <mergeCell ref="R7:T7"/>
    <mergeCell ref="B1:P1"/>
    <mergeCell ref="B2:P2"/>
    <mergeCell ref="B3:P3"/>
    <mergeCell ref="J6:P6"/>
    <mergeCell ref="D7:H7"/>
    <mergeCell ref="N7:P7"/>
  </mergeCells>
  <printOptions horizontalCentered="1"/>
  <pageMargins left="0.75" right="0.75" top="1" bottom="1" header="0.5" footer="0.5"/>
  <pageSetup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8"/>
  <sheetViews>
    <sheetView view="pageBreakPreview" zoomScale="75" zoomScaleNormal="85" workbookViewId="0">
      <selection activeCell="AJ42" sqref="AJ42"/>
    </sheetView>
  </sheetViews>
  <sheetFormatPr defaultColWidth="8.5" defaultRowHeight="15"/>
  <cols>
    <col min="1" max="1" width="1.5" style="438" customWidth="1"/>
    <col min="2" max="2" width="9.75" style="438" customWidth="1"/>
    <col min="3" max="3" width="2.875" style="438" customWidth="1"/>
    <col min="4" max="4" width="11.25" style="438" hidden="1" customWidth="1"/>
    <col min="5" max="5" width="7.625" style="438" bestFit="1" customWidth="1"/>
    <col min="6" max="6" width="3.375" style="438" customWidth="1"/>
    <col min="7" max="7" width="11" style="438" bestFit="1" customWidth="1"/>
    <col min="8" max="8" width="1.75" style="438" customWidth="1"/>
    <col min="9" max="9" width="11" style="438" bestFit="1" customWidth="1"/>
    <col min="10" max="10" width="6.125" style="438" bestFit="1" customWidth="1"/>
    <col min="11" max="11" width="11" style="438" bestFit="1" customWidth="1"/>
    <col min="12" max="12" width="2" style="438" customWidth="1"/>
    <col min="13" max="13" width="11" style="438" bestFit="1" customWidth="1"/>
    <col min="14" max="14" width="2.875" style="438" customWidth="1"/>
    <col min="15" max="15" width="10.25" style="438" hidden="1" customWidth="1"/>
    <col min="16" max="16" width="2" style="438" hidden="1" customWidth="1"/>
    <col min="17" max="17" width="10.25" style="438" hidden="1" customWidth="1"/>
    <col min="18" max="18" width="4.625" style="438" hidden="1" customWidth="1"/>
    <col min="19" max="19" width="11" style="438" bestFit="1" customWidth="1"/>
    <col min="20" max="20" width="2" style="438" customWidth="1"/>
    <col min="21" max="21" width="11" style="438" bestFit="1" customWidth="1"/>
    <col min="22" max="22" width="3.125" style="438" customWidth="1"/>
    <col min="23" max="23" width="12.5" style="438" customWidth="1"/>
    <col min="24" max="24" width="10.875" style="438" bestFit="1" customWidth="1"/>
    <col min="25" max="25" width="8.5" style="438"/>
    <col min="26" max="26" width="13.875" style="438" customWidth="1"/>
    <col min="27" max="27" width="12.75" style="438" bestFit="1" customWidth="1"/>
    <col min="28" max="28" width="8.5" style="438" customWidth="1"/>
    <col min="29" max="29" width="2.625" style="484" customWidth="1"/>
    <col min="30" max="16384" width="8.5" style="438"/>
  </cols>
  <sheetData>
    <row r="1" spans="1:30">
      <c r="A1" s="483"/>
      <c r="B1" s="483"/>
    </row>
    <row r="2" spans="1:30">
      <c r="A2" s="483"/>
      <c r="B2" s="483"/>
      <c r="C2" s="485"/>
      <c r="D2" s="485"/>
      <c r="E2" s="485"/>
      <c r="F2" s="485"/>
      <c r="G2" s="485"/>
      <c r="H2" s="485"/>
      <c r="I2" s="485"/>
      <c r="J2" s="485"/>
      <c r="K2" s="485"/>
      <c r="L2" s="485"/>
    </row>
    <row r="3" spans="1:30" ht="18.75">
      <c r="A3" s="483"/>
      <c r="B3" s="486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8"/>
      <c r="N3" s="488"/>
      <c r="O3" s="488"/>
      <c r="P3" s="488"/>
      <c r="Q3" s="489"/>
      <c r="S3" s="488"/>
      <c r="T3" s="490" t="s">
        <v>0</v>
      </c>
      <c r="U3" s="489"/>
    </row>
    <row r="4" spans="1:30" ht="20.25">
      <c r="B4" s="491" t="s">
        <v>333</v>
      </c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</row>
    <row r="5" spans="1:30" ht="20.25">
      <c r="B5" s="491" t="s">
        <v>334</v>
      </c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  <c r="P5" s="491"/>
      <c r="Q5" s="491"/>
      <c r="R5" s="491"/>
      <c r="S5" s="491"/>
      <c r="T5" s="491"/>
      <c r="U5" s="491"/>
    </row>
    <row r="6" spans="1:30" ht="20.25">
      <c r="B6" s="491" t="s">
        <v>363</v>
      </c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491"/>
      <c r="R6" s="491"/>
      <c r="S6" s="491"/>
      <c r="T6" s="491"/>
      <c r="U6" s="491"/>
    </row>
    <row r="7" spans="1:30" ht="20.25">
      <c r="B7" s="492" t="s">
        <v>0</v>
      </c>
      <c r="C7" s="492"/>
      <c r="D7" s="492"/>
      <c r="E7" s="492"/>
      <c r="F7" s="492"/>
      <c r="G7" s="492"/>
      <c r="H7" s="492"/>
      <c r="I7" s="492"/>
      <c r="J7" s="492"/>
      <c r="K7" s="492"/>
      <c r="L7" s="492"/>
      <c r="M7" s="492"/>
      <c r="N7" s="492"/>
      <c r="O7" s="492"/>
      <c r="P7" s="492"/>
      <c r="Q7" s="492"/>
      <c r="R7" s="492"/>
      <c r="S7" s="492"/>
      <c r="T7" s="492"/>
      <c r="U7" s="492"/>
    </row>
    <row r="8" spans="1:30" ht="18.75">
      <c r="B8" s="493"/>
      <c r="C8" s="494"/>
      <c r="D8" s="494"/>
      <c r="E8" s="494"/>
      <c r="F8" s="494"/>
      <c r="G8" s="494"/>
      <c r="H8" s="494"/>
      <c r="I8" s="494"/>
      <c r="J8" s="494"/>
      <c r="K8" s="494"/>
      <c r="L8" s="494"/>
      <c r="M8" s="494"/>
      <c r="N8" s="494"/>
      <c r="O8" s="494"/>
      <c r="P8" s="494"/>
      <c r="Q8" s="495"/>
      <c r="S8" s="494"/>
      <c r="T8" s="494"/>
      <c r="U8" s="495"/>
    </row>
    <row r="9" spans="1:30">
      <c r="A9" s="485"/>
      <c r="B9" s="483"/>
    </row>
    <row r="10" spans="1:30" ht="15.75">
      <c r="A10" s="485"/>
      <c r="B10" s="496" t="s">
        <v>364</v>
      </c>
      <c r="C10" s="497"/>
      <c r="D10" s="497"/>
      <c r="E10" s="497"/>
      <c r="F10" s="497"/>
      <c r="G10" s="498" t="s">
        <v>365</v>
      </c>
      <c r="H10" s="498"/>
      <c r="I10" s="498"/>
      <c r="J10" s="498"/>
      <c r="K10" s="498"/>
      <c r="L10" s="498"/>
      <c r="M10" s="498"/>
      <c r="N10" s="497"/>
      <c r="O10" s="499" t="s">
        <v>366</v>
      </c>
      <c r="P10" s="499"/>
      <c r="Q10" s="499"/>
      <c r="R10" s="500"/>
      <c r="S10" s="499" t="s">
        <v>367</v>
      </c>
      <c r="T10" s="499"/>
      <c r="U10" s="499"/>
    </row>
    <row r="11" spans="1:30" ht="16.5" thickBot="1">
      <c r="A11" s="485"/>
      <c r="B11" s="501" t="s">
        <v>368</v>
      </c>
      <c r="C11" s="499"/>
      <c r="D11" s="496" t="s">
        <v>369</v>
      </c>
      <c r="E11" s="497"/>
      <c r="F11" s="497"/>
      <c r="G11" s="502" t="s">
        <v>370</v>
      </c>
      <c r="H11" s="502"/>
      <c r="I11" s="502"/>
      <c r="J11" s="503"/>
      <c r="K11" s="502" t="s">
        <v>371</v>
      </c>
      <c r="L11" s="502"/>
      <c r="M11" s="502"/>
      <c r="N11" s="497"/>
      <c r="O11" s="502" t="s">
        <v>115</v>
      </c>
      <c r="P11" s="502"/>
      <c r="Q11" s="502"/>
      <c r="R11" s="500"/>
      <c r="S11" s="502" t="s">
        <v>115</v>
      </c>
      <c r="T11" s="502"/>
      <c r="U11" s="502"/>
    </row>
    <row r="12" spans="1:30" ht="15.75">
      <c r="A12" s="485"/>
      <c r="B12" s="504" t="s">
        <v>372</v>
      </c>
      <c r="C12" s="505"/>
      <c r="D12" s="506" t="s">
        <v>373</v>
      </c>
      <c r="E12" s="504" t="s">
        <v>81</v>
      </c>
      <c r="F12" s="497"/>
      <c r="G12" s="507" t="s">
        <v>374</v>
      </c>
      <c r="H12" s="508"/>
      <c r="I12" s="507" t="s">
        <v>375</v>
      </c>
      <c r="J12" s="497"/>
      <c r="K12" s="507" t="s">
        <v>374</v>
      </c>
      <c r="L12" s="508"/>
      <c r="M12" s="507" t="s">
        <v>375</v>
      </c>
      <c r="N12" s="497"/>
      <c r="O12" s="507" t="s">
        <v>374</v>
      </c>
      <c r="P12" s="497"/>
      <c r="Q12" s="507" t="s">
        <v>375</v>
      </c>
      <c r="R12" s="500"/>
      <c r="S12" s="507" t="s">
        <v>374</v>
      </c>
      <c r="T12" s="497"/>
      <c r="U12" s="507" t="s">
        <v>375</v>
      </c>
      <c r="W12" s="509"/>
      <c r="X12" s="510" t="s">
        <v>339</v>
      </c>
      <c r="Y12" s="511"/>
      <c r="Z12" s="510"/>
      <c r="AA12" s="510" t="s">
        <v>340</v>
      </c>
      <c r="AB12" s="511"/>
    </row>
    <row r="13" spans="1:30" ht="15.75">
      <c r="A13" s="485"/>
      <c r="B13" s="497"/>
      <c r="C13" s="497"/>
      <c r="D13" s="497"/>
      <c r="E13" s="497"/>
      <c r="F13" s="497"/>
      <c r="G13" s="505"/>
      <c r="H13" s="505"/>
      <c r="I13" s="505"/>
      <c r="J13" s="505"/>
      <c r="K13" s="505"/>
      <c r="L13" s="505"/>
      <c r="M13" s="505"/>
      <c r="N13" s="500"/>
      <c r="O13" s="500"/>
      <c r="P13" s="500"/>
      <c r="Q13" s="500"/>
      <c r="R13" s="500"/>
      <c r="S13" s="500"/>
      <c r="T13" s="500"/>
      <c r="U13" s="500"/>
      <c r="W13" s="512" t="s">
        <v>376</v>
      </c>
      <c r="X13" s="469" t="s">
        <v>377</v>
      </c>
      <c r="Y13" s="513" t="s">
        <v>378</v>
      </c>
      <c r="Z13" s="469"/>
      <c r="AA13" s="469" t="s">
        <v>377</v>
      </c>
      <c r="AB13" s="513" t="s">
        <v>378</v>
      </c>
    </row>
    <row r="14" spans="1:30" ht="15.75">
      <c r="A14" s="485"/>
      <c r="B14" s="497">
        <v>15</v>
      </c>
      <c r="C14" s="497"/>
      <c r="D14" s="497">
        <v>100</v>
      </c>
      <c r="E14" s="514">
        <v>5000</v>
      </c>
      <c r="F14" s="515"/>
      <c r="G14" s="516">
        <f>ROUND($X$15+IF($E14&gt;1000,IF($E14&gt;9000,(1000*X$21/100)+(8000*X$22/100)+(($E14-(9000))*X$23/100),(1000*X$21/100)+(($E14-1000)*X$22/100)),($E14*$X$21)/100)+IF(B$14&gt;W$18,$X$18*($B$14-W$18),0)+IF(B$14&gt;W$20,$X$20*($B$14-W$20),0),2)+AA$29</f>
        <v>414.25</v>
      </c>
      <c r="H14" s="516"/>
      <c r="I14" s="516">
        <f>ROUND($Y$15+IF($E14&gt;1000,IF($E14&gt;9000,(1000*Y$21/100)+(8000*Y$22/100)+(($E14-(9000))*Y$23/100),(1000*Y$21/100)+(($E14-1000)*Y$22/100)),($E14*$Y$21)/100)+IF(B$14&gt;W$18,$Y$18*($B$14-W$18),0)+IF(B$14&gt;W$20,$Y$20*($B$14-W$20),0),2)+AA$29</f>
        <v>418.52</v>
      </c>
      <c r="J14" s="516"/>
      <c r="K14" s="516">
        <f>ROUND($AA$15+IF($E14&gt;1000,IF($E14&gt;9000,(1000*AA$21/100)+(8000*AA$22/100)+(($E14-9000)*AA$23/100),(1000*AA$21/100)+(($E14-1000)*AA$22/100)),($E14*$AA$21)/100)+IF(B$14&gt;Z$18,$AA$18*($B$14-Z$18),0)+IF(B$14&gt;Z$20,$AA$20*($B$14-Z$20),0),2)+AA30</f>
        <v>418.02</v>
      </c>
      <c r="L14" s="516"/>
      <c r="M14" s="516">
        <f>ROUND($AB$15+IF($E14&gt;1000,IF($E14&gt;9000,(1000*AB$21/100)+(8000*AB$22/100)+(($E14-9000)*AB$23/100),(1000*AB$21/100)+(($E14-1000)*AB$22/100)),($E14*$AB$21)/100)+IF(B$14&gt;Z$18,$AB$18*($B$14-Z$18),0)+IF(B$14&gt;Z$20,$AB$20*($B$14-Z$20),0),2)+AA30</f>
        <v>422.72</v>
      </c>
      <c r="N14" s="497"/>
      <c r="O14" s="516">
        <f>K14-G14</f>
        <v>3.7699999999999818</v>
      </c>
      <c r="P14" s="516"/>
      <c r="Q14" s="516">
        <f>M14-I14</f>
        <v>4.2000000000000455</v>
      </c>
      <c r="R14" s="500"/>
      <c r="S14" s="517">
        <f>ROUND(K14/G14-1,4)</f>
        <v>9.1000000000000004E-3</v>
      </c>
      <c r="T14" s="497"/>
      <c r="U14" s="517">
        <f>ROUND(M14/I14-1,4)</f>
        <v>0.01</v>
      </c>
      <c r="W14" s="512" t="s">
        <v>379</v>
      </c>
      <c r="X14" s="518">
        <f>'Billing Determinants'!G173</f>
        <v>8.7100000000000009</v>
      </c>
      <c r="Y14" s="454">
        <f>'Billing Determinants'!G174</f>
        <v>12.98</v>
      </c>
      <c r="Z14" s="519"/>
      <c r="AA14" s="518">
        <f>'Billing Determinants'!J214</f>
        <v>9.6</v>
      </c>
      <c r="AB14" s="454">
        <f>'Billing Determinants'!J215</f>
        <v>14.3</v>
      </c>
      <c r="AC14" s="520"/>
      <c r="AD14" s="462"/>
    </row>
    <row r="15" spans="1:30" ht="15.75">
      <c r="A15" s="485"/>
      <c r="B15" s="497"/>
      <c r="C15" s="497"/>
      <c r="D15" s="497">
        <v>200</v>
      </c>
      <c r="E15" s="514">
        <v>7500</v>
      </c>
      <c r="F15" s="515"/>
      <c r="G15" s="516">
        <f>ROUND($X$15+IF($E15&gt;1000,IF($E15&gt;9000,(1000*X$21/100)+(8000*X$22/100)+(($E15-(9000))*X$23/100),(1000*X$21/100)+(($E15-1000)*X$22/100)),($E15*$X$21)/100)+IF(B$14&gt;W$18,$X$18*($B$14-W$18),0)+IF(B$14&gt;W$20,$X$20*($B$14-W$20),0),2)+AA$29</f>
        <v>600.2299999999999</v>
      </c>
      <c r="H15" s="516"/>
      <c r="I15" s="516">
        <f>ROUND($Y$15+IF($E15&gt;1000,IF($E15&gt;9000,(1000*Y$21/100)+(8000*Y$22/100)+(($E15-(9000))*Y$23/100),(1000*Y$21/100)+(($E15-1000)*Y$22/100)),($E15*$Y$21)/100)+IF(B$14&gt;W$18,$Y$18*($B$14-W$18),0)+IF(B$14&gt;W$20,$Y$20*($B$14-W$20),0),2)+AA$29</f>
        <v>604.5</v>
      </c>
      <c r="J15" s="516"/>
      <c r="K15" s="516">
        <f>ROUND($AA$15+IF($E15&gt;1000,IF($E15&gt;9000,(1000*AA$21/100)+(8000*AA$22/100)+(($E15-9000)*AA$23/100),(1000*AA$21/100)+(($E15-1000)*AA$22/100)),($E15*$AA$21)/100)+IF(B$14&gt;Z$18,$AA$18*($B$14-Z$18),0)+IF(B$14&gt;Z$20,$AA$20*($B$14-Z$20),0),2)+AA30</f>
        <v>605.29999999999995</v>
      </c>
      <c r="L15" s="516"/>
      <c r="M15" s="516">
        <f>ROUND($AB$15+IF($E15&gt;1000,IF($E15&gt;9000,(1000*AB$21/100)+(8000*AB$22/100)+(($E15-9000)*AB$23/100),(1000*AB$21/100)+(($E15-1000)*AB$22/100)),($E15*$AB$21)/100)+IF(B$14&gt;Z$18,$AB$18*($B$14-Z$18),0)+IF(B$14&gt;Z$20,$AB$20*($B$14-Z$20),0),2)+AA30</f>
        <v>610</v>
      </c>
      <c r="N15" s="497"/>
      <c r="O15" s="516">
        <f>K15-G15</f>
        <v>5.07000000000005</v>
      </c>
      <c r="P15" s="516"/>
      <c r="Q15" s="516">
        <f>M15-I15</f>
        <v>5.5</v>
      </c>
      <c r="R15" s="500"/>
      <c r="S15" s="517">
        <f>ROUND(K15/G15-1,4)</f>
        <v>8.3999999999999995E-3</v>
      </c>
      <c r="T15" s="497"/>
      <c r="U15" s="517">
        <f>ROUND(M15/I15-1,4)</f>
        <v>9.1000000000000004E-3</v>
      </c>
      <c r="W15" s="512" t="s">
        <v>380</v>
      </c>
      <c r="X15" s="518">
        <f>X14</f>
        <v>8.7100000000000009</v>
      </c>
      <c r="Y15" s="454">
        <f>Y14</f>
        <v>12.98</v>
      </c>
      <c r="Z15" s="519"/>
      <c r="AA15" s="518">
        <f>AA14</f>
        <v>9.6</v>
      </c>
      <c r="AB15" s="454">
        <f>AB14</f>
        <v>14.3</v>
      </c>
    </row>
    <row r="16" spans="1:30" ht="15.75">
      <c r="A16" s="485"/>
      <c r="B16" s="497"/>
      <c r="C16" s="497"/>
      <c r="D16" s="497">
        <v>300</v>
      </c>
      <c r="E16" s="514">
        <v>10000</v>
      </c>
      <c r="F16" s="515"/>
      <c r="G16" s="516">
        <f>ROUND($X$15+IF($E16&gt;1000,IF($E16&gt;9000,(1000*X$21/100)+(8000*X$22/100)+(($E16-(9000))*X$23/100),(1000*X$21/100)+(($E16-1000)*X$22/100)),($E16*$X$21)/100)+IF(B$14&gt;W$18,$X$18*($B$14-W$18),0)+IF(B$14&gt;W$20,$X$20*($B$14-W$20),0),2)+AA$29</f>
        <v>776.3</v>
      </c>
      <c r="H16" s="516"/>
      <c r="I16" s="516">
        <f>ROUND($Y$15+IF($E16&gt;1000,IF($E16&gt;9000,(1000*Y$21/100)+(8000*Y$22/100)+(($E16-(9000))*Y$23/100),(1000*Y$21/100)+(($E16-1000)*Y$22/100)),($E16*$Y$21)/100)+IF(B$14&gt;W$18,$Y$18*($B$14-W$18),0)+IF(B$14&gt;W$20,$Y$20*($B$14-W$20),0),2)+AA$29</f>
        <v>780.56999999999994</v>
      </c>
      <c r="J16" s="516"/>
      <c r="K16" s="516">
        <f>ROUND($AA$15+IF($E16&gt;1000,IF($E16&gt;9000,(1000*AA$21/100)+(8000*AA$22/100)+(($E16-9000)*AA$23/100),(1000*AA$21/100)+(($E16-1000)*AA$22/100)),($E16*$AA$21)/100)+IF(B$14&gt;Z$18,$AA$18*($B$14-Z$18),0)+IF(B$14&gt;Z$20,$AA$20*($B$14-Z$20),0),2)+AA30</f>
        <v>782.56999999999994</v>
      </c>
      <c r="L16" s="516"/>
      <c r="M16" s="516">
        <f>ROUND($AB$15+IF($E16&gt;1000,IF($E16&gt;9000,(1000*AB$21/100)+(8000*AB$22/100)+(($E16-9000)*AB$23/100),(1000*AB$21/100)+(($E16-1000)*AB$22/100)),($E16*$AB$21)/100)+IF(B$14&gt;Z$18,$AB$18*($B$14-Z$18),0)+IF(B$14&gt;Z$20,$AB$20*($B$14-Z$20),0),2)+AA30</f>
        <v>787.27</v>
      </c>
      <c r="N16" s="497"/>
      <c r="O16" s="516">
        <f>K16-G16</f>
        <v>6.2699999999999818</v>
      </c>
      <c r="P16" s="516"/>
      <c r="Q16" s="516">
        <f>M16-I16</f>
        <v>6.7000000000000455</v>
      </c>
      <c r="R16" s="500"/>
      <c r="S16" s="517">
        <f>ROUND(K16/G16-1,4)</f>
        <v>8.0999999999999996E-3</v>
      </c>
      <c r="T16" s="497"/>
      <c r="U16" s="517">
        <f>ROUND(M16/I16-1,4)</f>
        <v>8.6E-3</v>
      </c>
      <c r="W16" s="512"/>
      <c r="X16" s="469"/>
      <c r="Y16" s="513"/>
      <c r="Z16" s="469"/>
      <c r="AA16" s="518"/>
      <c r="AB16" s="454"/>
    </row>
    <row r="17" spans="1:30" ht="15.75">
      <c r="A17" s="485"/>
      <c r="B17" s="500"/>
      <c r="C17" s="500"/>
      <c r="D17" s="500"/>
      <c r="E17" s="500"/>
      <c r="F17" s="500"/>
      <c r="G17" s="500"/>
      <c r="H17" s="500"/>
      <c r="I17" s="500"/>
      <c r="J17" s="500"/>
      <c r="K17" s="500"/>
      <c r="L17" s="500"/>
      <c r="M17" s="500"/>
      <c r="N17" s="500"/>
      <c r="O17" s="500"/>
      <c r="P17" s="500"/>
      <c r="Q17" s="500"/>
      <c r="R17" s="500"/>
      <c r="S17" s="500"/>
      <c r="T17" s="500"/>
      <c r="U17" s="500"/>
      <c r="W17" s="512" t="s">
        <v>376</v>
      </c>
      <c r="X17" s="518"/>
      <c r="Y17" s="454"/>
      <c r="Z17" s="521" t="s">
        <v>376</v>
      </c>
      <c r="AA17" s="518"/>
      <c r="AB17" s="454"/>
    </row>
    <row r="18" spans="1:30" ht="15.75">
      <c r="A18" s="485"/>
      <c r="B18" s="497">
        <v>25</v>
      </c>
      <c r="C18" s="497"/>
      <c r="D18" s="497">
        <v>150</v>
      </c>
      <c r="E18" s="514">
        <f>ROUND((B$18*D18),0)</f>
        <v>3750</v>
      </c>
      <c r="F18" s="515"/>
      <c r="G18" s="516">
        <f>ROUND($X$15+IF($E18&gt;1000,IF($E18&gt;9000,(1000*X$21/100)+(8000*X$22/100)+(($E18-9000)*X$23/100),(1000*X$21/100)+(($E18-1000)*X$22/100)),($E18*$X$21)/100)+IF(B$18&gt;W$18,$X$18*($B$18-W$18),0)+IF(B$18&gt;W$20,$X$20*($B$18-W$20),0),2)+AA29</f>
        <v>366.56</v>
      </c>
      <c r="H18" s="516"/>
      <c r="I18" s="516">
        <f>ROUND($Y$15+IF($E18&gt;1000,IF($E18&gt;9000,(1000*Y$21/100)+(8000*Y$22/100)+(($E18-9000)*Y$23/100),(1000*Y$21/100)+(($E18-1000)*Y$22/100)),($E18*$Y$21)/100)+IF(B$18&gt;W$18,$Y$18*($B$18-W$18),0)+IF(B$18&gt;W$20,$Y$20*($B$18-W$20),0),2)+AA29</f>
        <v>370.83</v>
      </c>
      <c r="J18" s="516"/>
      <c r="K18" s="516">
        <f>ROUND($AA$15+IF($E18&gt;1000,IF($E18&gt;9000,(1000*AA$21/100)+(8000*AA$22/100)+(($E18-9000)*AA$23/100),(1000*AA$21/100)+(($E18-1000)*AA$22/100)),($E18*$AA$21)/100)+IF(B$18&gt;Z$18,$AA$18*($B$18-Z$18),0)+IF(B$18&gt;Z$20,$AA$20*($B$18-Z$20),0),2)+AA30</f>
        <v>370.78000000000003</v>
      </c>
      <c r="L18" s="516"/>
      <c r="M18" s="516">
        <f>ROUND($AB$15+IF($E18&gt;1000,IF($E18&gt;9000,(1000*AB$21/100)+(8000*AB$22/100)+(($E18-9000)*AB$23/100),(1000*AB$21/100)+(($E18-1000)*AB$22/100)),($E18*$AB$21)/100)+IF(B$18&gt;Z$18,$AB$18*($B$18-Z$18),0)+IF(B$18&gt;Z$20,$AB$20*($B$18-Z$20),0),2)+AA30</f>
        <v>375.48</v>
      </c>
      <c r="N18" s="497"/>
      <c r="O18" s="516">
        <f>K18-G18</f>
        <v>4.2200000000000273</v>
      </c>
      <c r="P18" s="516"/>
      <c r="Q18" s="516">
        <f>M18-I18</f>
        <v>4.6500000000000341</v>
      </c>
      <c r="R18" s="500"/>
      <c r="S18" s="517">
        <f>ROUND(K18/G18-1,4)</f>
        <v>1.15E-2</v>
      </c>
      <c r="T18" s="497"/>
      <c r="U18" s="517">
        <f>ROUND(M18/I18-1,4)</f>
        <v>1.2500000000000001E-2</v>
      </c>
      <c r="W18" s="522">
        <v>15</v>
      </c>
      <c r="X18" s="518">
        <f>'Billing Determinants'!G175</f>
        <v>0.92</v>
      </c>
      <c r="Y18" s="454">
        <f>X18</f>
        <v>0.92</v>
      </c>
      <c r="Z18" s="523">
        <v>15</v>
      </c>
      <c r="AA18" s="518">
        <f>'Billing Determinants'!J216</f>
        <v>1</v>
      </c>
      <c r="AB18" s="454">
        <f>AA18</f>
        <v>1</v>
      </c>
      <c r="AD18" s="462"/>
    </row>
    <row r="19" spans="1:30" ht="15.75">
      <c r="A19" s="485"/>
      <c r="B19" s="497"/>
      <c r="C19" s="497"/>
      <c r="D19" s="497">
        <v>200</v>
      </c>
      <c r="E19" s="514">
        <f>ROUND((B$18*D19),0)</f>
        <v>5000</v>
      </c>
      <c r="F19" s="515"/>
      <c r="G19" s="516">
        <f>ROUND($X$15+IF($E19&gt;1000,IF($E19&gt;9000,(1000*X$21/100)+(8000*X$22/100)+(($E19-9000)*X$23/100),(1000*X$21/100)+(($E19-1000)*X$22/100)),($E19*$X$21)/100)+IF(B$18&gt;W$18,$X$18*($B$18-W$18),0)+IF(B$18&gt;W$20,$X$20*($B$18-W$20),0),2)+AA29</f>
        <v>459.55</v>
      </c>
      <c r="H19" s="516"/>
      <c r="I19" s="516">
        <f>ROUND($Y$15+IF($E19&gt;1000,IF($E19&gt;9000,(1000*Y$21/100)+(8000*Y$22/100)+(($E19-9000)*Y$23/100),(1000*Y$21/100)+(($E19-1000)*Y$22/100)),($E19*$Y$21)/100)+IF(B$18&gt;W$18,$Y$18*($B$18-W$18),0)+IF(B$18&gt;W$20,$Y$20*($B$18-W$20),0),2)+AA29</f>
        <v>463.82</v>
      </c>
      <c r="J19" s="516"/>
      <c r="K19" s="516">
        <f>ROUND($AA$15+IF($E19&gt;1000,IF($E19&gt;9000,(1000*AA$21/100)+(8000*AA$22/100)+(($E19-9000)*AA$23/100),(1000*AA$21/100)+(($E19-1000)*AA$22/100)),($E19*$AA$21)/100)+IF(B$18&gt;Z$18,$AA$18*($B$18-Z$18),0)+IF(B$18&gt;Z$20,$AA$20*($B$18-Z$20),0),2)+AA30</f>
        <v>464.42</v>
      </c>
      <c r="L19" s="516"/>
      <c r="M19" s="516">
        <f>ROUND($AB$15+IF($E19&gt;1000,IF($E19&gt;9000,(1000*AB$21/100)+(8000*AB$22/100)+(($E19-9000)*AB$23/100),(1000*AB$21/100)+(($E19-1000)*AB$22/100)),($E19*$AB$21)/100)+IF(B$18&gt;Z$18,$AB$18*($B$18-Z$18),0)+IF(B$18&gt;Z$20,$AB$20*($B$18-Z$20),0),2)+AA30</f>
        <v>469.12</v>
      </c>
      <c r="N19" s="497"/>
      <c r="O19" s="516">
        <f>K19-G19</f>
        <v>4.8700000000000045</v>
      </c>
      <c r="P19" s="516"/>
      <c r="Q19" s="516">
        <f>M19-I19</f>
        <v>5.3000000000000114</v>
      </c>
      <c r="R19" s="500"/>
      <c r="S19" s="517">
        <f>ROUND(K19/G19-1,4)</f>
        <v>1.06E-2</v>
      </c>
      <c r="T19" s="497"/>
      <c r="U19" s="517">
        <f>ROUND(M19/I19-1,4)</f>
        <v>1.14E-2</v>
      </c>
      <c r="W19" s="512" t="s">
        <v>372</v>
      </c>
      <c r="X19" s="469"/>
      <c r="Y19" s="524"/>
      <c r="Z19" s="469" t="s">
        <v>372</v>
      </c>
      <c r="AA19" s="518"/>
      <c r="AB19" s="454"/>
    </row>
    <row r="20" spans="1:30" ht="15.75">
      <c r="A20" s="485"/>
      <c r="B20" s="497"/>
      <c r="C20" s="497"/>
      <c r="D20" s="497">
        <v>400</v>
      </c>
      <c r="E20" s="514">
        <f>ROUND((B$18*D20),0)</f>
        <v>10000</v>
      </c>
      <c r="F20" s="515"/>
      <c r="G20" s="516">
        <f>ROUND($X$15+IF($E20&gt;1000,IF($E20&gt;9000,(1000*X$21/100)+(8000*X$22/100)+(($E20-9000)*X$23/100),(1000*X$21/100)+(($E20-1000)*X$22/100)),($E20*$X$21)/100)+IF(B$18&gt;W$18,$X$18*($B$18-W$18),0)+IF(B$18&gt;W$20,$X$20*($B$18-W$20),0),2)+AA29</f>
        <v>821.59999999999991</v>
      </c>
      <c r="H20" s="516"/>
      <c r="I20" s="516">
        <f>ROUND($Y$15+IF($E20&gt;1000,IF($E20&gt;9000,(1000*Y$21/100)+(8000*Y$22/100)+(($E20-9000)*Y$23/100),(1000*Y$21/100)+(($E20-1000)*Y$22/100)),($E20*$Y$21)/100)+IF(B$18&gt;W$18,$Y$18*($B$18-W$18),0)+IF(B$18&gt;W$20,$Y$20*($B$18-W$20),0),2)+AA29</f>
        <v>825.86999999999989</v>
      </c>
      <c r="J20" s="516"/>
      <c r="K20" s="516">
        <f>ROUND($AA$15+IF($E20&gt;1000,IF($E20&gt;9000,(1000*AA$21/100)+(8000*AA$22/100)+(($E20-9000)*AA$23/100),(1000*AA$21/100)+(($E20-1000)*AA$22/100)),($E20*$AA$21)/100)+IF(B$18&gt;Z$18,$AA$18*($B$18-Z$18),0)+IF(B$18&gt;Z$20,$AA$20*($B$18-Z$20),0),2)+AA30</f>
        <v>828.96999999999991</v>
      </c>
      <c r="L20" s="516"/>
      <c r="M20" s="516">
        <f>ROUND($AB$15+IF($E20&gt;1000,IF($E20&gt;9000,(1000*AB$21/100)+(8000*AB$22/100)+(($E20-9000)*AB$23/100),(1000*AB$21/100)+(($E20-1000)*AB$22/100)),($E20*$AB$21)/100)+IF(B$18&gt;Z$18,$AB$18*($B$18-Z$18),0)+IF(B$18&gt;Z$20,$AB$20*($B$18-Z$20),0),2)+AA30</f>
        <v>833.67</v>
      </c>
      <c r="N20" s="497"/>
      <c r="O20" s="516">
        <f>K20-G20</f>
        <v>7.3700000000000045</v>
      </c>
      <c r="P20" s="516"/>
      <c r="Q20" s="516">
        <f>M20-I20</f>
        <v>7.8000000000000682</v>
      </c>
      <c r="R20" s="500"/>
      <c r="S20" s="517">
        <f>ROUND(K20/G20-1,4)</f>
        <v>8.9999999999999993E-3</v>
      </c>
      <c r="T20" s="497"/>
      <c r="U20" s="517">
        <f>ROUND(M20/I20-1,4)</f>
        <v>9.4000000000000004E-3</v>
      </c>
      <c r="W20" s="522">
        <v>15</v>
      </c>
      <c r="X20" s="518">
        <f>'Billing Determinants'!G178</f>
        <v>3.61</v>
      </c>
      <c r="Y20" s="454">
        <f>X20</f>
        <v>3.61</v>
      </c>
      <c r="Z20" s="525">
        <v>15</v>
      </c>
      <c r="AA20" s="518">
        <f>'Billing Determinants'!J218</f>
        <v>3.64</v>
      </c>
      <c r="AB20" s="454">
        <f>AA20</f>
        <v>3.64</v>
      </c>
      <c r="AD20" s="462"/>
    </row>
    <row r="21" spans="1:30" ht="15.75">
      <c r="A21" s="485"/>
      <c r="B21" s="500"/>
      <c r="C21" s="500"/>
      <c r="D21" s="500"/>
      <c r="E21" s="500"/>
      <c r="F21" s="515"/>
      <c r="G21" s="526"/>
      <c r="H21" s="526"/>
      <c r="I21" s="526"/>
      <c r="J21" s="526"/>
      <c r="K21" s="526"/>
      <c r="L21" s="526"/>
      <c r="M21" s="526"/>
      <c r="N21" s="500"/>
      <c r="O21" s="516"/>
      <c r="P21" s="516"/>
      <c r="Q21" s="516"/>
      <c r="R21" s="500"/>
      <c r="S21" s="517"/>
      <c r="T21" s="500"/>
      <c r="U21" s="500"/>
      <c r="W21" s="512" t="s">
        <v>381</v>
      </c>
      <c r="X21" s="527">
        <f>'Billing Determinants'!G179+AA25</f>
        <v>10.641999999999999</v>
      </c>
      <c r="Y21" s="456">
        <f>X21</f>
        <v>10.641999999999999</v>
      </c>
      <c r="Z21" s="469" t="s">
        <v>381</v>
      </c>
      <c r="AA21" s="527">
        <f>'Billing Determinants'!J219+'Billing Determinants'!J223+AA26+AA32</f>
        <v>10.722</v>
      </c>
      <c r="AB21" s="528">
        <f>AA21</f>
        <v>10.722</v>
      </c>
      <c r="AD21" s="458"/>
    </row>
    <row r="22" spans="1:30" ht="15.75">
      <c r="A22" s="485"/>
      <c r="B22" s="497">
        <v>50</v>
      </c>
      <c r="C22" s="497"/>
      <c r="D22" s="497">
        <f>D18</f>
        <v>150</v>
      </c>
      <c r="E22" s="514">
        <f>ROUND((B$22*D22),0)</f>
        <v>7500</v>
      </c>
      <c r="F22" s="515"/>
      <c r="G22" s="516">
        <f>ROUND($X$15+IF($E22&gt;1000,IF($E22&gt;9000,(1000*X$21/100)+(8000*X$22/100)+(($E22-9000)*X$23/100),(1000*X$21/100)+(($E22-1000)*X$22/100)),($E22*$X$21)/100)+IF(B$22&gt;W$18,$X$18*($B$22-W$18),0)+IF(B$22&gt;W$20,$X$20*($B$22-W$20),0),2)+AA29</f>
        <v>758.78</v>
      </c>
      <c r="H22" s="516"/>
      <c r="I22" s="516">
        <f>ROUND($Y$15+IF($E22&gt;1000,IF($E22&gt;9000,(1000*Y$21/100)+(8000*Y$22/100)+(($E22-9000)*Y$23/100),(1000*Y$21/100)+(($E22-1000)*Y$22/100)),($E22*$Y$21)/100)+IF(B$22&gt;W$18,$Y$18*($B$22-W$18),0)+IF(B$22&gt;W$20,$Y$20*($B$22-W$20),0),2)+AA29</f>
        <v>763.05</v>
      </c>
      <c r="J22" s="516"/>
      <c r="K22" s="516">
        <f>ROUND($AA$15+IF($E22&gt;1000,IF($E22&gt;9000,(1000*AA$21/100)+(8000*AA$22/100)+(($E22-9000)*AA$23/100),(1000*AA$21/100)+(($E22-1000)*AA$22/100)),($E22*$AA$21)/100)+IF(B$22&gt;Z$18,$AA$18*($B$22-Z$18),0)+IF(B$22&gt;Z$20,$AA$20*($B$22-Z$20),0),2)+AA30</f>
        <v>767.69999999999993</v>
      </c>
      <c r="L22" s="516"/>
      <c r="M22" s="516">
        <f>ROUND($AB$15+IF($E22&gt;1000,IF($E22&gt;9000,(1000*AB$21/100)+(8000*AB$22/100)+(($E22-9000)*AB$23/100),(1000*AB$21/100)+(($E22-1000)*AB$22/100)),($E22*$AB$21)/100)+IF(B$22&gt;Z$18,$AB$18*($B$22-Z$18),0)+IF(B$22&gt;Z$20,$AB$20*($B$22-Z$20),0),2)+AA30</f>
        <v>772.4</v>
      </c>
      <c r="N22" s="497"/>
      <c r="O22" s="516">
        <f>K22-G22</f>
        <v>8.9199999999999591</v>
      </c>
      <c r="P22" s="516"/>
      <c r="Q22" s="516">
        <f>M22-I22</f>
        <v>9.3500000000000227</v>
      </c>
      <c r="R22" s="500"/>
      <c r="S22" s="517">
        <f>ROUND(K22/G22-1,4)</f>
        <v>1.18E-2</v>
      </c>
      <c r="T22" s="497"/>
      <c r="U22" s="517">
        <f>ROUND(M22/I22-1,4)</f>
        <v>1.23E-2</v>
      </c>
      <c r="W22" s="512" t="s">
        <v>382</v>
      </c>
      <c r="X22" s="527">
        <f>'Billing Determinants'!G180+AA25</f>
        <v>7.4390000000000001</v>
      </c>
      <c r="Y22" s="456">
        <f>X22</f>
        <v>7.4390000000000001</v>
      </c>
      <c r="Z22" s="512" t="s">
        <v>382</v>
      </c>
      <c r="AA22" s="527">
        <f>'Billing Determinants'!J220+'Billing Determinants'!J224+AA26+AA32</f>
        <v>7.4910000000000005</v>
      </c>
      <c r="AB22" s="528">
        <f>AA22</f>
        <v>7.4910000000000005</v>
      </c>
      <c r="AD22" s="458"/>
    </row>
    <row r="23" spans="1:30" ht="15.75">
      <c r="B23" s="497"/>
      <c r="C23" s="497"/>
      <c r="D23" s="497">
        <f>D19</f>
        <v>200</v>
      </c>
      <c r="E23" s="514">
        <f>ROUND((B$22*D23),0)</f>
        <v>10000</v>
      </c>
      <c r="F23" s="515"/>
      <c r="G23" s="516">
        <f>ROUND($X$15+IF($E23&gt;1000,IF($E23&gt;9000,(1000*X$21/100)+(8000*X$22/100)+(($E23-9000)*X$23/100),(1000*X$21/100)+(($E23-1000)*X$22/100)),($E23*$X$21)/100)+IF(B$22&gt;W$18,$X$18*($B$22-W$18),0)+IF(B$22&gt;W$20,$X$20*($B$22-W$20),0),2)+AA29</f>
        <v>934.84999999999991</v>
      </c>
      <c r="H23" s="516"/>
      <c r="I23" s="516">
        <f>ROUND($Y$15+IF($E23&gt;1000,IF($E23&gt;9000,(1000*Y$21/100)+(8000*Y$22/100)+(($E23-9000)*Y$23/100),(1000*Y$21/100)+(($E23-1000)*Y$22/100)),($E23*$Y$21)/100)+IF(B$22&gt;W$18,$Y$18*($B$22-W$18),0)+IF(B$22&gt;W$20,$Y$20*($B$22-W$20),0),2)+AA29</f>
        <v>939.11999999999989</v>
      </c>
      <c r="J23" s="516"/>
      <c r="K23" s="516">
        <f>ROUND($AA$15+IF($E23&gt;1000,IF($E23&gt;9000,(1000*AA$21/100)+(8000*AA$22/100)+(($E23-9000)*AA$23/100),(1000*AA$21/100)+(($E23-1000)*AA$22/100)),($E23*$AA$21)/100)+IF(B$22&gt;Z$18,$AA$18*($B$22-Z$18),0)+IF(B$22&gt;Z$20,$AA$20*($B$22-Z$20),0),2)+AA30</f>
        <v>944.96999999999991</v>
      </c>
      <c r="L23" s="516"/>
      <c r="M23" s="516">
        <f>ROUND($AB$15+IF($E23&gt;1000,IF($E23&gt;9000,(1000*AB$21/100)+(8000*AB$22/100)+(($E23-9000)*AB$23/100),(1000*AB$21/100)+(($E23-1000)*AB$22/100)),($E23*$AB$21)/100)+IF(B$22&gt;Z$18,$AB$18*($B$22-Z$18),0)+IF(B$22&gt;Z$20,$AB$20*($B$22-Z$20),0),2)+AA30</f>
        <v>949.67</v>
      </c>
      <c r="N23" s="497"/>
      <c r="O23" s="516">
        <f>K23-G23</f>
        <v>10.120000000000005</v>
      </c>
      <c r="P23" s="516"/>
      <c r="Q23" s="516">
        <f>M23-I23</f>
        <v>10.550000000000068</v>
      </c>
      <c r="R23" s="500"/>
      <c r="S23" s="517">
        <f>ROUND(K23/G23-1,4)</f>
        <v>1.0800000000000001E-2</v>
      </c>
      <c r="T23" s="497"/>
      <c r="U23" s="517">
        <f>ROUND(M23/I23-1,4)</f>
        <v>1.12E-2</v>
      </c>
      <c r="W23" s="512" t="s">
        <v>383</v>
      </c>
      <c r="X23" s="527">
        <f>'Billing Determinants'!G181+AA25</f>
        <v>6.4490000000000007</v>
      </c>
      <c r="Y23" s="456">
        <f>X23</f>
        <v>6.4490000000000007</v>
      </c>
      <c r="Z23" s="512" t="s">
        <v>383</v>
      </c>
      <c r="AA23" s="527">
        <f>'Billing Determinants'!J221+'Billing Determinants'!J225+AA26+AA32</f>
        <v>6.4910000000000005</v>
      </c>
      <c r="AB23" s="528">
        <f>AA23</f>
        <v>6.4910000000000005</v>
      </c>
      <c r="AC23" s="520"/>
      <c r="AD23" s="462"/>
    </row>
    <row r="24" spans="1:30" ht="16.5" thickBot="1">
      <c r="A24" s="485"/>
      <c r="B24" s="497"/>
      <c r="C24" s="497"/>
      <c r="D24" s="497">
        <f>D20</f>
        <v>400</v>
      </c>
      <c r="E24" s="514">
        <f>ROUND((B$22*D24),0)</f>
        <v>20000</v>
      </c>
      <c r="F24" s="515"/>
      <c r="G24" s="516">
        <f>ROUND($X$15+IF($E24&gt;1000,IF($E24&gt;9000,(1000*X$21/100)+(8000*X$22/100)+(($E24-9000)*X$23/100),(1000*X$21/100)+(($E24-1000)*X$22/100)),($E24*$X$21)/100)+IF(B$22&gt;W$18,$X$18*($B$22-W$18),0)+IF(B$22&gt;W$20,$X$20*($B$22-W$20),0),2)+AA29</f>
        <v>1579.75</v>
      </c>
      <c r="H24" s="516"/>
      <c r="I24" s="516">
        <f>ROUND($Y$15+IF($E24&gt;1000,IF($E24&gt;9000,(1000*Y$21/100)+(8000*Y$22/100)+(($E24-9000)*Y$23/100),(1000*Y$21/100)+(($E24-1000)*Y$22/100)),($E24*$Y$21)/100)+IF(B$22&gt;W$18,$Y$18*($B$22-W$18),0)+IF(B$22&gt;W$20,$Y$20*($B$22-W$20),0),2)+AA29</f>
        <v>1584.02</v>
      </c>
      <c r="J24" s="516"/>
      <c r="K24" s="516">
        <f>ROUND($AA$15+IF($E24&gt;1000,IF($E24&gt;9000,(1000*AA$21/100)+(8000*AA$22/100)+(($E24-9000)*AA$23/100),(1000*AA$21/100)+(($E24-1000)*AA$22/100)),($E24*$AA$21)/100)+IF(B$22&gt;Z$18,$AA$18*($B$22-Z$18),0)+IF(B$22&gt;Z$20,$AA$20*($B$22-Z$20),0),2)+AA30</f>
        <v>1594.07</v>
      </c>
      <c r="L24" s="516"/>
      <c r="M24" s="516">
        <f>ROUND($AB$15+IF($E24&gt;1000,IF($E24&gt;9000,(1000*AB$21/100)+(8000*AB$22/100)+(($E24-9000)*AB$23/100),(1000*AB$21/100)+(($E24-1000)*AB$22/100)),($E24*$AB$21)/100)+IF(B$22&gt;Z$18,$AB$18*($B$22-Z$18),0)+IF(B$22&gt;Z$20,$AB$20*($B$22-Z$20),0),2)+AA30</f>
        <v>1598.77</v>
      </c>
      <c r="N24" s="497"/>
      <c r="O24" s="516">
        <f>K24-G24</f>
        <v>14.319999999999936</v>
      </c>
      <c r="P24" s="516"/>
      <c r="Q24" s="516">
        <f>M24-I24</f>
        <v>14.75</v>
      </c>
      <c r="R24" s="500"/>
      <c r="S24" s="517">
        <f>ROUND(K24/G24-1,4)</f>
        <v>9.1000000000000004E-3</v>
      </c>
      <c r="T24" s="497"/>
      <c r="U24" s="517">
        <f>ROUND(M24/I24-1,4)</f>
        <v>9.2999999999999992E-3</v>
      </c>
      <c r="W24" s="465" t="s">
        <v>0</v>
      </c>
      <c r="X24" s="529" t="s">
        <v>0</v>
      </c>
      <c r="Y24" s="530" t="s">
        <v>0</v>
      </c>
      <c r="Z24" s="465" t="s">
        <v>0</v>
      </c>
      <c r="AA24" s="529" t="s">
        <v>0</v>
      </c>
      <c r="AB24" s="530" t="s">
        <v>0</v>
      </c>
    </row>
    <row r="25" spans="1:30" ht="15.75">
      <c r="A25" s="485"/>
      <c r="B25" s="500"/>
      <c r="C25" s="500"/>
      <c r="D25" s="500"/>
      <c r="E25" s="500"/>
      <c r="F25" s="515"/>
      <c r="G25" s="526"/>
      <c r="H25" s="526"/>
      <c r="I25" s="526"/>
      <c r="J25" s="526"/>
      <c r="K25" s="526"/>
      <c r="L25" s="526"/>
      <c r="M25" s="526"/>
      <c r="N25" s="500"/>
      <c r="O25" s="516"/>
      <c r="P25" s="516"/>
      <c r="Q25" s="516"/>
      <c r="R25" s="500"/>
      <c r="S25" s="517"/>
      <c r="T25" s="500"/>
      <c r="U25" s="500"/>
      <c r="Y25" s="467" t="s">
        <v>345</v>
      </c>
      <c r="Z25" s="467"/>
      <c r="AA25" s="468">
        <v>0.28299999999999997</v>
      </c>
      <c r="AB25" s="471" t="s">
        <v>0</v>
      </c>
    </row>
    <row r="26" spans="1:30" ht="15.75">
      <c r="A26" s="485"/>
      <c r="B26" s="497">
        <v>75</v>
      </c>
      <c r="C26" s="497"/>
      <c r="D26" s="497">
        <v>333.33300000000003</v>
      </c>
      <c r="E26" s="514">
        <f>ROUND((B$26*D26),0)</f>
        <v>25000</v>
      </c>
      <c r="F26" s="531"/>
      <c r="G26" s="516">
        <f>ROUND($X$15+IF($E26&gt;1000,IF($E26&gt;9000,(1000*X$21/100)+(8000*X$22/100)+(($E26-9000)*X$23/100),(1000*X$21/100)+(($E26-1000)*X$22/100)),($E26*$X$21)/100)+IF(B$26&gt;W$18,$X$18*($B$26-W$18),0)+IF(B$26&gt;W$20,$X$20*($B$26-W$20),0),2)+AA29</f>
        <v>2015.45</v>
      </c>
      <c r="H26" s="516"/>
      <c r="I26" s="516">
        <f>ROUND($Y$15+IF($E26&gt;1000,IF($E26&gt;9000,(1000*Y$21/100)+(8000*Y$22/100)+(($E26-9000)*Y$23/100),(1000*Y$21/100)+(($E26-1000)*Y$22/100)),($E26*$Y$21)/100)+IF(B$26&gt;W$18,$Y$18*($B$26-W$18),0)+IF(B$26&gt;W$20,$Y$20*($B$26-W$20),0),2)+AA29</f>
        <v>2019.72</v>
      </c>
      <c r="J26" s="532"/>
      <c r="K26" s="516">
        <f>ROUND($AA$15+IF($E26&gt;1000,IF($E26&gt;9000,(1000*AA$21/100)+(8000*AA$22/100)+(($E26-9000)*AA$23/100),(1000*AA$21/100)+(($E26-1000)*AA$22/100)),($E26*$AA$21)/100)+IF(B$26&gt;Z$18,$AA$18*($B$26-Z$18),0)+IF(B$26&gt;Z$20,$AA$20*($B$26-Z$20),0),2)+AA30</f>
        <v>2034.62</v>
      </c>
      <c r="L26" s="516"/>
      <c r="M26" s="516">
        <f>ROUND($AB$15+IF($E26&gt;1000,IF($E26&gt;9000,(1000*AB$21/100)+(8000*AB$22/100)+(($E26-9000)*AB$23/100),(1000*AB$21/100)+(($E26-1000)*AB$22/100)),($E26*$AB$21)/100)+IF(B$26&gt;Z$18,$AB$18*($B$26-Z$18),0)+IF(B$26&gt;Z$20,$AB$20*($B$26-Z$20),0),2)+AA30</f>
        <v>2039.32</v>
      </c>
      <c r="N26" s="497"/>
      <c r="O26" s="516">
        <f>K26-G26</f>
        <v>19.169999999999845</v>
      </c>
      <c r="P26" s="516"/>
      <c r="Q26" s="516">
        <f>M26-I26</f>
        <v>19.599999999999909</v>
      </c>
      <c r="R26" s="500"/>
      <c r="S26" s="517">
        <f>ROUND(K26/G26-1,4)</f>
        <v>9.4999999999999998E-3</v>
      </c>
      <c r="T26" s="497"/>
      <c r="U26" s="517">
        <f>ROUND(M26/I26-1,4)</f>
        <v>9.7000000000000003E-3</v>
      </c>
      <c r="Y26" s="467"/>
      <c r="Z26" s="467"/>
      <c r="AA26" s="468">
        <v>0.28299999999999997</v>
      </c>
      <c r="AB26" s="471" t="s">
        <v>0</v>
      </c>
    </row>
    <row r="27" spans="1:30" ht="15.75">
      <c r="B27" s="497"/>
      <c r="C27" s="497"/>
      <c r="D27" s="497">
        <v>500</v>
      </c>
      <c r="E27" s="514">
        <f>ROUND((B$26*D27),0)</f>
        <v>37500</v>
      </c>
      <c r="F27" s="531"/>
      <c r="G27" s="516">
        <f>ROUND($X$15+IF($E27&gt;1000,IF($E27&gt;9000,(1000*X$21/100)+(8000*X$22/100)+(($E27-9000)*X$23/100),(1000*X$21/100)+(($E27-1000)*X$22/100)),($E27*$X$21)/100)+IF(B$26&gt;W$18,$X$18*($B$26-W$18),0)+IF(B$26&gt;W$20,$X$20*($B$26-W$20),0),2)+AA29</f>
        <v>2821.58</v>
      </c>
      <c r="H27" s="516"/>
      <c r="I27" s="516">
        <f>ROUND($Y$15+IF($E27&gt;1000,IF($E27&gt;9000,(1000*Y$21/100)+(8000*Y$22/100)+(($E27-9000)*Y$23/100),(1000*Y$21/100)+(($E27-1000)*Y$22/100)),($E27*$Y$21)/100)+IF(B$26&gt;W$18,$Y$18*($B$26-W$18),0)+IF(B$26&gt;W$20,$Y$20*($B$26-W$20),0),2)+AA29</f>
        <v>2825.85</v>
      </c>
      <c r="J27" s="532"/>
      <c r="K27" s="516">
        <f>ROUND($AA$15+IF($E27&gt;1000,IF($E27&gt;9000,(1000*AA$21/100)+(8000*AA$22/100)+(($E27-9000)*AA$23/100),(1000*AA$21/100)+(($E27-1000)*AA$22/100)),($E27*$AA$21)/100)+IF(B$26&gt;Z$18,$AA$18*($B$26-Z$18),0)+IF(B$26&gt;Z$20,$AA$20*($B$26-Z$20),0),2)+AA30</f>
        <v>2846</v>
      </c>
      <c r="L27" s="516"/>
      <c r="M27" s="516">
        <f>ROUND($AB$15+IF($E27&gt;1000,IF($E27&gt;9000,(1000*AB$21/100)+(8000*AB$22/100)+(($E27-9000)*AB$23/100),(1000*AB$21/100)+(($E27-1000)*AB$22/100)),($E27*$AB$21)/100)+IF(B$26&gt;Z$18,$AB$18*($B$26-Z$18),0)+IF(B$26&gt;Z$20,$AB$20*($B$26-Z$20),0),2)+AA30</f>
        <v>2850.7</v>
      </c>
      <c r="N27" s="497"/>
      <c r="O27" s="516">
        <f>K27-G27</f>
        <v>24.420000000000073</v>
      </c>
      <c r="P27" s="516"/>
      <c r="Q27" s="516">
        <f>M27-I27</f>
        <v>24.849999999999909</v>
      </c>
      <c r="R27" s="500"/>
      <c r="S27" s="517">
        <f>ROUND(K27/G27-1,4)</f>
        <v>8.6999999999999994E-3</v>
      </c>
      <c r="T27" s="497"/>
      <c r="U27" s="517">
        <f>ROUND(M27/I27-1,4)</f>
        <v>8.8000000000000005E-3</v>
      </c>
      <c r="Y27" s="467"/>
      <c r="Z27" s="467"/>
      <c r="AA27" s="470"/>
    </row>
    <row r="28" spans="1:30" ht="15.75">
      <c r="A28" s="485"/>
      <c r="B28" s="497"/>
      <c r="C28" s="497"/>
      <c r="D28" s="497">
        <v>666.66600000000005</v>
      </c>
      <c r="E28" s="514">
        <f>ROUND((B$26*D28),0)</f>
        <v>50000</v>
      </c>
      <c r="F28" s="531"/>
      <c r="G28" s="516">
        <f>ROUND($X$15+IF($E28&gt;1000,IF($E28&gt;9000,(1000*X$21/100)+(8000*X$22/100)+(($E28-9000)*X$23/100),(1000*X$21/100)+(($E28-1000)*X$22/100)),($E28*$X$21)/100)+IF(B$26&gt;W$18,$X$18*($B$26-W$18),0)+IF(B$26&gt;W$20,$X$20*($B$26-W$20),0),2)+AA29</f>
        <v>3627.7</v>
      </c>
      <c r="H28" s="516"/>
      <c r="I28" s="516">
        <f>ROUND($Y$15+IF($E28&gt;1000,IF($E28&gt;9000,(1000*Y$21/100)+(8000*Y$22/100)+(($E28-9000)*Y$23/100),(1000*Y$21/100)+(($E28-1000)*Y$22/100)),($E28*$Y$21)/100)+IF(B$26&gt;W$18,$Y$18*($B$26-W$18),0)+IF(B$26&gt;W$20,$Y$20*($B$26-W$20),0),2)+AA29</f>
        <v>3631.97</v>
      </c>
      <c r="J28" s="532"/>
      <c r="K28" s="516">
        <f>ROUND($AA$15+IF($E28&gt;1000,IF($E28&gt;9000,(1000*AA$21/100)+(8000*AA$22/100)+(($E28-9000)*AA$23/100),(1000*AA$21/100)+(($E28-1000)*AA$22/100)),($E28*$AA$21)/100)+IF(B$26&gt;Z$18,$AA$18*($B$26-Z$18),0)+IF(B$26&gt;Z$20,$AA$20*($B$26-Z$20),0),2)+AA30</f>
        <v>3657.37</v>
      </c>
      <c r="L28" s="516"/>
      <c r="M28" s="516">
        <f>ROUND($AB$15+IF($E28&gt;1000,IF($E28&gt;9000,(1000*AB$21/100)+(8000*AB$22/100)+(($E28-9000)*AB$23/100),(1000*AB$21/100)+(($E28-1000)*AB$22/100)),($E28*$AB$21)/100)+IF(B$26&gt;Z$18,$AB$18*($B$26-Z$18),0)+IF(B$26&gt;Z$20,$AB$20*($B$26-Z$20),0),2)+AA30</f>
        <v>3662.07</v>
      </c>
      <c r="N28" s="497"/>
      <c r="O28" s="516">
        <f>K28-G28</f>
        <v>29.670000000000073</v>
      </c>
      <c r="P28" s="516"/>
      <c r="Q28" s="516">
        <f>M28-I28</f>
        <v>30.100000000000364</v>
      </c>
      <c r="R28" s="500"/>
      <c r="S28" s="517">
        <f>ROUND(K28/G28-1,4)</f>
        <v>8.2000000000000007E-3</v>
      </c>
      <c r="T28" s="497"/>
      <c r="U28" s="517">
        <f>ROUND(M28/I28-1,4)</f>
        <v>8.3000000000000001E-3</v>
      </c>
      <c r="Y28" s="438" t="s">
        <v>0</v>
      </c>
      <c r="AA28" s="438" t="s">
        <v>0</v>
      </c>
    </row>
    <row r="29" spans="1:30" ht="15.75">
      <c r="A29" s="485"/>
      <c r="B29" s="533"/>
      <c r="C29" s="533"/>
      <c r="D29" s="533"/>
      <c r="E29" s="533"/>
      <c r="F29" s="534"/>
      <c r="G29" s="533"/>
      <c r="H29" s="533"/>
      <c r="I29" s="533"/>
      <c r="J29" s="533"/>
      <c r="K29" s="533"/>
      <c r="L29" s="533"/>
      <c r="M29" s="533"/>
      <c r="N29" s="533"/>
      <c r="O29" s="533"/>
      <c r="P29" s="533"/>
      <c r="Q29" s="533"/>
      <c r="R29" s="533"/>
      <c r="S29" s="533"/>
      <c r="T29" s="533"/>
      <c r="U29" s="533"/>
      <c r="Y29" s="438" t="s">
        <v>347</v>
      </c>
      <c r="AA29" s="462">
        <f>'Rate Design Low Inc Surcharge'!D16</f>
        <v>1.56</v>
      </c>
      <c r="AB29" s="438" t="s">
        <v>0</v>
      </c>
    </row>
    <row r="30" spans="1:30" ht="15.75">
      <c r="A30" s="485"/>
      <c r="B30" s="497">
        <v>100</v>
      </c>
      <c r="C30" s="497"/>
      <c r="D30" s="497">
        <v>333.33300000000003</v>
      </c>
      <c r="E30" s="514">
        <f>ROUND((B$26*D30),0)</f>
        <v>25000</v>
      </c>
      <c r="F30" s="531"/>
      <c r="G30" s="516">
        <f>ROUND($X$15+IF($E30&gt;1000,IF($E30&gt;9000,(1000*X$21/100)+(8000*X$22/100)+(($E30-9000)*X$23/100),(1000*X$21/100)+(($E30-1000)*X$22/100)),($E30*$X$21)/100)+IF(B$30&gt;W$18,$X$18*($B$30-W$18),0)+IF(B$30&gt;W$20,$X$20*($B$30-W$20),0),2)+AA29</f>
        <v>2128.6999999999998</v>
      </c>
      <c r="H30" s="516"/>
      <c r="I30" s="516">
        <f>ROUND($Y$15+IF($E30&gt;1000,IF($E30&gt;9000,(1000*Y$21/100)+(8000*Y$22/100)+(($E30-9000)*Y$23/100),(1000*Y$21/100)+(($E30-1000)*Y$22/100)),($E30*$Y$21)/100)+IF(B$30&gt;W$18,$Y$18*($B$30-W$18),0)+IF(B$30&gt;W$20,$Y$20*($B$30-W$20),0),2)+AA29</f>
        <v>2132.9699999999998</v>
      </c>
      <c r="J30" s="532"/>
      <c r="K30" s="516">
        <f>ROUND($AA$15+IF($E30&gt;1000,IF($E30&gt;9000,(1000*AA$21/100)+(8000*AA$22/100)+(($E30-9000)*AA$23/100),(1000*AA$21/100)+(($E30-1000)*AA$22/100)),($E30*$AA$21)/100)+IF(B$30&gt;Z$18,$AA$18*($B$30-Z$18),0)+IF(B$30&gt;Z$20,$AA$20*($B$30-Z$20),0),2)+AA30</f>
        <v>2150.62</v>
      </c>
      <c r="L30" s="516"/>
      <c r="M30" s="516">
        <f>ROUND($AB$15+IF($E30&gt;1000,IF($E30&gt;9000,(1000*AB$21/100)+(8000*AB$22/100)+(($E30-9000)*AB$23/100),(1000*AB$21/100)+(($E30-1000)*AB$22/100)),($E30*$AB$21)/100)+IF(B$30&gt;Z$18,$AB$18*($B$30-Z$18),0)+IF(B$30&gt;Z$20,$AB$20*($B$30-Z$20),0),2)+AA30</f>
        <v>2155.3200000000002</v>
      </c>
      <c r="N30" s="497"/>
      <c r="O30" s="516">
        <f>K30-G30</f>
        <v>21.920000000000073</v>
      </c>
      <c r="P30" s="516"/>
      <c r="Q30" s="516">
        <f>M30-I30</f>
        <v>22.350000000000364</v>
      </c>
      <c r="R30" s="500"/>
      <c r="S30" s="517">
        <f>ROUND(K30/G30-1,4)</f>
        <v>1.03E-2</v>
      </c>
      <c r="T30" s="497"/>
      <c r="U30" s="517">
        <f>ROUND(M30/I30-1,4)</f>
        <v>1.0500000000000001E-2</v>
      </c>
      <c r="Y30" s="438" t="s">
        <v>384</v>
      </c>
      <c r="Z30" s="458"/>
      <c r="AA30" s="462">
        <f>AA29</f>
        <v>1.56</v>
      </c>
    </row>
    <row r="31" spans="1:30" ht="15.75">
      <c r="B31" s="497"/>
      <c r="C31" s="497"/>
      <c r="D31" s="497">
        <v>500</v>
      </c>
      <c r="E31" s="514">
        <f>ROUND((B$26*D31),0)</f>
        <v>37500</v>
      </c>
      <c r="F31" s="531"/>
      <c r="G31" s="516">
        <f>ROUND($X$15+IF($E31&gt;1000,IF($E31&gt;9000,(1000*X$21/100)+(8000*X$22/100)+(($E31-9000)*X$23/100),(1000*X$21/100)+(($E31-1000)*X$22/100)),($E31*$X$21)/100)+IF(B$30&gt;W$18,$X$18*($B$30-W$18),0)+IF(B$30&gt;W$20,$X$20*($B$30-W$20),0),2)+AA29</f>
        <v>2934.83</v>
      </c>
      <c r="H31" s="516"/>
      <c r="I31" s="516">
        <f>ROUND($Y$15+IF($E31&gt;1000,IF($E31&gt;9000,(1000*Y$21/100)+(8000*Y$22/100)+(($E31-9000)*Y$23/100),(1000*Y$21/100)+(($E31-1000)*Y$22/100)),($E31*$Y$21)/100)+IF(B$30&gt;W$18,$Y$18*($B$30-W$18),0)+IF(B$30&gt;W$20,$Y$20*($B$30-W$20),0),2)+AA29</f>
        <v>2939.1</v>
      </c>
      <c r="J31" s="532"/>
      <c r="K31" s="516">
        <f>ROUND($AA$15+IF($E31&gt;1000,IF($E31&gt;9000,(1000*AA$21/100)+(8000*AA$22/100)+(($E31-9000)*AA$23/100),(1000*AA$21/100)+(($E31-1000)*AA$22/100)),($E31*$AA$21)/100)+IF(B$30&gt;Z$18,$AA$18*($B$30-Z$18),0)+IF(B$30&gt;Z$20,$AA$20*($B$30-Z$20),0),2)+AA30</f>
        <v>2962</v>
      </c>
      <c r="L31" s="516"/>
      <c r="M31" s="516">
        <f>ROUND($AB$15+IF($E31&gt;1000,IF($E31&gt;9000,(1000*AB$21/100)+(8000*AB$22/100)+(($E31-9000)*AB$23/100),(1000*AB$21/100)+(($E31-1000)*AB$22/100)),($E31*$AB$21)/100)+IF(B$30&gt;Z$18,$AB$18*($B$30-Z$18),0)+IF(B$30&gt;Z$20,$AB$20*($B$30-Z$20),0),2)+AA30</f>
        <v>2966.7</v>
      </c>
      <c r="N31" s="497"/>
      <c r="O31" s="516">
        <f>K31-G31</f>
        <v>27.170000000000073</v>
      </c>
      <c r="P31" s="516"/>
      <c r="Q31" s="516">
        <f>M31-I31</f>
        <v>27.599999999999909</v>
      </c>
      <c r="R31" s="500"/>
      <c r="S31" s="517">
        <f>ROUND(K31/G31-1,4)</f>
        <v>9.2999999999999992E-3</v>
      </c>
      <c r="T31" s="497"/>
      <c r="U31" s="517">
        <f>ROUND(M31/I31-1,4)</f>
        <v>9.4000000000000004E-3</v>
      </c>
      <c r="Y31" s="462"/>
      <c r="Z31" s="462"/>
    </row>
    <row r="32" spans="1:30" ht="15.75">
      <c r="A32" s="485"/>
      <c r="B32" s="497"/>
      <c r="C32" s="497"/>
      <c r="D32" s="497">
        <v>666.66600000000005</v>
      </c>
      <c r="E32" s="514">
        <f>ROUND((B$26*D32),0)</f>
        <v>50000</v>
      </c>
      <c r="F32" s="531"/>
      <c r="G32" s="516">
        <f>ROUND($X$15+IF($E32&gt;1000,IF($E32&gt;9000,(1000*X$21/100)+(8000*X$22/100)+(($E32-9000)*X$23/100),(1000*X$21/100)+(($E32-1000)*X$22/100)),($E32*$X$21)/100)+IF(B$30&gt;W$18,$X$18*($B$30-W$18),0)+IF(B$30&gt;W$20,$X$20*($B$30-W$20),0),2)+AA29</f>
        <v>3740.95</v>
      </c>
      <c r="H32" s="516"/>
      <c r="I32" s="516">
        <f>ROUND($Y$15+IF($E32&gt;1000,IF($E32&gt;9000,(1000*Y$21/100)+(8000*Y$22/100)+(($E32-9000)*Y$23/100),(1000*Y$21/100)+(($E32-1000)*Y$22/100)),($E32*$Y$21)/100)+IF(B$30&gt;W$18,$Y$18*($B$30-W$18),0)+IF(B$30&gt;W$20,$Y$20*($B$30-W$20),0),2)+AA29</f>
        <v>3745.22</v>
      </c>
      <c r="J32" s="532"/>
      <c r="K32" s="516">
        <f>ROUND($AA$15+IF($E32&gt;1000,IF($E32&gt;9000,(1000*AA$21/100)+(8000*AA$22/100)+(($E32-9000)*AA$23/100),(1000*AA$21/100)+(($E32-1000)*AA$22/100)),($E32*$AA$21)/100)+IF(B$30&gt;Z$18,$AA$18*($B$30-Z$18),0)+IF(B$30&gt;Z$20,$AA$20*($B$30-Z$20),0),2)+AA30</f>
        <v>3773.37</v>
      </c>
      <c r="L32" s="516"/>
      <c r="M32" s="516">
        <f>ROUND($AB$15+IF($E32&gt;1000,IF($E32&gt;9000,(1000*AB$21/100)+(8000*AB$22/100)+(($E32-9000)*AB$23/100),(1000*AB$21/100)+(($E32-1000)*AB$22/100)),($E32*$AB$21)/100)+IF(B$30&gt;Z$18,$AB$18*($B$30-Z$18),0)+IF(B$30&gt;Z$20,$AB$20*($B$30-Z$20),0),2)+AA30</f>
        <v>3778.07</v>
      </c>
      <c r="N32" s="497"/>
      <c r="O32" s="516">
        <f>K32-G32</f>
        <v>32.420000000000073</v>
      </c>
      <c r="P32" s="516"/>
      <c r="Q32" s="516">
        <f>M32-I32</f>
        <v>32.850000000000364</v>
      </c>
      <c r="R32" s="500"/>
      <c r="S32" s="517">
        <f>ROUND(K32/G32-1,4)</f>
        <v>8.6999999999999994E-3</v>
      </c>
      <c r="T32" s="497"/>
      <c r="U32" s="517">
        <f>ROUND(M32/I32-1,4)</f>
        <v>8.8000000000000005E-3</v>
      </c>
      <c r="Y32" s="438" t="s">
        <v>73</v>
      </c>
      <c r="AA32" s="471">
        <f>'Rate Spread Sch 92'!AB22</f>
        <v>-0.01</v>
      </c>
    </row>
    <row r="33" spans="1:24" ht="15.75">
      <c r="A33" s="485"/>
      <c r="B33" s="500"/>
      <c r="C33" s="500"/>
      <c r="D33" s="500"/>
      <c r="E33" s="500"/>
      <c r="F33" s="515"/>
      <c r="G33" s="500"/>
      <c r="H33" s="500"/>
      <c r="I33" s="500"/>
      <c r="J33" s="500"/>
      <c r="K33" s="500"/>
      <c r="L33" s="500"/>
      <c r="M33" s="500"/>
      <c r="N33" s="500"/>
      <c r="O33" s="500"/>
      <c r="P33" s="500"/>
      <c r="Q33" s="500"/>
      <c r="R33" s="500"/>
      <c r="S33" s="500"/>
      <c r="T33" s="500"/>
      <c r="U33" s="500"/>
    </row>
    <row r="34" spans="1:24" ht="15.75">
      <c r="A34" s="485"/>
      <c r="B34" s="500" t="s">
        <v>351</v>
      </c>
      <c r="C34" s="500"/>
      <c r="D34" s="500"/>
      <c r="E34" s="500"/>
      <c r="F34" s="515"/>
      <c r="G34" s="500"/>
      <c r="H34" s="500"/>
      <c r="I34" s="500"/>
      <c r="J34" s="500"/>
      <c r="K34" s="500"/>
      <c r="L34" s="500"/>
      <c r="M34" s="500"/>
      <c r="N34" s="500"/>
      <c r="O34" s="500"/>
      <c r="P34" s="500"/>
      <c r="Q34" s="500"/>
      <c r="R34" s="500"/>
      <c r="S34" s="500"/>
      <c r="T34" s="500"/>
      <c r="U34" s="500"/>
      <c r="W34" s="472" t="s">
        <v>385</v>
      </c>
      <c r="X34" s="473">
        <f>'Rate Spread combined'!V22</f>
        <v>1.3785973933648893E-2</v>
      </c>
    </row>
    <row r="35" spans="1:24" ht="15.75">
      <c r="B35" s="535" t="s">
        <v>386</v>
      </c>
      <c r="C35" s="500"/>
      <c r="D35" s="500"/>
      <c r="E35" s="500"/>
      <c r="F35" s="500"/>
      <c r="G35" s="500"/>
      <c r="H35" s="500"/>
      <c r="I35" s="500"/>
      <c r="J35" s="500"/>
      <c r="K35" s="500"/>
      <c r="L35" s="500"/>
      <c r="M35" s="500"/>
      <c r="N35" s="500"/>
      <c r="O35" s="500"/>
      <c r="P35" s="500"/>
      <c r="Q35" s="500"/>
      <c r="R35" s="500"/>
      <c r="S35" s="500"/>
      <c r="T35" s="500"/>
      <c r="U35" s="500"/>
      <c r="X35" s="474" t="s">
        <v>0</v>
      </c>
    </row>
    <row r="36" spans="1:24">
      <c r="A36" s="485"/>
    </row>
    <row r="37" spans="1:24">
      <c r="A37" s="485"/>
    </row>
    <row r="38" spans="1:24">
      <c r="A38" s="485"/>
    </row>
    <row r="40" spans="1:24">
      <c r="A40" s="485"/>
    </row>
    <row r="41" spans="1:24">
      <c r="A41" s="485"/>
    </row>
    <row r="42" spans="1:24">
      <c r="A42" s="485"/>
    </row>
    <row r="43" spans="1:24">
      <c r="A43" s="485"/>
    </row>
    <row r="44" spans="1:24">
      <c r="A44" s="485"/>
    </row>
    <row r="45" spans="1:24">
      <c r="A45" s="485"/>
    </row>
    <row r="46" spans="1:24">
      <c r="A46" s="485"/>
    </row>
    <row r="47" spans="1:24">
      <c r="A47" s="485"/>
    </row>
    <row r="48" spans="1:24">
      <c r="P48" s="474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view="pageBreakPreview" zoomScale="75" zoomScaleNormal="100" zoomScaleSheetLayoutView="100" workbookViewId="0">
      <selection activeCell="AJ42" sqref="AJ42"/>
    </sheetView>
  </sheetViews>
  <sheetFormatPr defaultColWidth="8.5" defaultRowHeight="15"/>
  <cols>
    <col min="1" max="1" width="1.625" style="438" customWidth="1"/>
    <col min="2" max="2" width="10.375" style="438" customWidth="1"/>
    <col min="3" max="3" width="2.375" style="438" customWidth="1"/>
    <col min="4" max="4" width="10.875" style="438" hidden="1" customWidth="1"/>
    <col min="5" max="5" width="9.375" style="438" customWidth="1"/>
    <col min="6" max="6" width="3.5" style="438" customWidth="1"/>
    <col min="7" max="7" width="11.75" style="438" bestFit="1" customWidth="1"/>
    <col min="8" max="8" width="3.625" style="438" customWidth="1"/>
    <col min="9" max="9" width="12.875" style="438" bestFit="1" customWidth="1"/>
    <col min="10" max="10" width="4.5" style="438" customWidth="1"/>
    <col min="11" max="11" width="12.375" style="438" customWidth="1"/>
    <col min="12" max="12" width="2.375" style="438" customWidth="1"/>
    <col min="13" max="13" width="3" style="438" customWidth="1"/>
    <col min="14" max="14" width="9.5" style="438" customWidth="1"/>
    <col min="15" max="15" width="10.75" style="438" bestFit="1" customWidth="1"/>
    <col min="16" max="16" width="15.25" style="438" customWidth="1"/>
    <col min="17" max="17" width="5.75" style="438" customWidth="1"/>
    <col min="18" max="18" width="8.5" style="438"/>
    <col min="19" max="19" width="7.75" style="438" customWidth="1"/>
    <col min="20" max="20" width="2.25" style="438" customWidth="1"/>
    <col min="21" max="16384" width="8.5" style="438"/>
  </cols>
  <sheetData>
    <row r="1" spans="1:19">
      <c r="A1" s="483"/>
      <c r="B1" s="483"/>
    </row>
    <row r="2" spans="1:19">
      <c r="A2" s="483"/>
      <c r="B2" s="483"/>
      <c r="C2" s="485"/>
      <c r="D2" s="485"/>
      <c r="E2" s="485"/>
      <c r="F2" s="485"/>
      <c r="G2" s="485"/>
      <c r="H2" s="485"/>
      <c r="I2" s="485"/>
    </row>
    <row r="3" spans="1:19" ht="18.75">
      <c r="A3" s="483"/>
      <c r="B3" s="486"/>
      <c r="C3" s="487"/>
      <c r="D3" s="487"/>
      <c r="E3" s="487"/>
      <c r="F3" s="487"/>
      <c r="G3" s="487"/>
      <c r="H3" s="487"/>
      <c r="I3" s="487"/>
      <c r="J3" s="490" t="s">
        <v>0</v>
      </c>
      <c r="K3" s="536"/>
    </row>
    <row r="4" spans="1:19" ht="20.25">
      <c r="B4" s="491" t="s">
        <v>333</v>
      </c>
      <c r="C4" s="491"/>
      <c r="D4" s="491"/>
      <c r="E4" s="491"/>
      <c r="F4" s="491"/>
      <c r="G4" s="491"/>
      <c r="H4" s="491"/>
      <c r="I4" s="491"/>
      <c r="J4" s="491"/>
      <c r="K4" s="491"/>
      <c r="L4" s="495"/>
      <c r="M4" s="495"/>
    </row>
    <row r="5" spans="1:19" ht="20.25">
      <c r="B5" s="491" t="s">
        <v>334</v>
      </c>
      <c r="C5" s="491"/>
      <c r="D5" s="491"/>
      <c r="E5" s="491"/>
      <c r="F5" s="491"/>
      <c r="G5" s="491"/>
      <c r="H5" s="491"/>
      <c r="I5" s="491"/>
      <c r="J5" s="491"/>
      <c r="K5" s="491"/>
      <c r="L5" s="495"/>
      <c r="M5" s="495"/>
    </row>
    <row r="6" spans="1:19" ht="20.25">
      <c r="B6" s="491" t="s">
        <v>387</v>
      </c>
      <c r="C6" s="491"/>
      <c r="D6" s="491"/>
      <c r="E6" s="491"/>
      <c r="F6" s="491"/>
      <c r="G6" s="491"/>
      <c r="H6" s="491"/>
      <c r="I6" s="491"/>
      <c r="J6" s="491"/>
      <c r="K6" s="491"/>
      <c r="L6" s="495"/>
      <c r="M6" s="495"/>
    </row>
    <row r="7" spans="1:19" ht="20.25">
      <c r="B7" s="491" t="s">
        <v>0</v>
      </c>
      <c r="C7" s="491"/>
      <c r="D7" s="491"/>
      <c r="E7" s="491"/>
      <c r="F7" s="491"/>
      <c r="G7" s="491"/>
      <c r="H7" s="491"/>
      <c r="I7" s="491"/>
      <c r="J7" s="491"/>
      <c r="K7" s="491"/>
      <c r="L7" s="495"/>
      <c r="M7" s="495"/>
    </row>
    <row r="8" spans="1:19" ht="18.75">
      <c r="A8" s="493"/>
      <c r="B8" s="494"/>
      <c r="C8" s="494"/>
      <c r="D8" s="494"/>
      <c r="E8" s="494"/>
      <c r="F8" s="494"/>
      <c r="G8" s="494"/>
      <c r="H8" s="494"/>
      <c r="I8" s="494"/>
      <c r="J8" s="494"/>
      <c r="K8" s="495"/>
      <c r="L8" s="494"/>
      <c r="M8" s="494"/>
    </row>
    <row r="9" spans="1:19">
      <c r="A9" s="485"/>
      <c r="B9" s="483"/>
    </row>
    <row r="10" spans="1:19" ht="15.75">
      <c r="A10" s="485"/>
      <c r="B10" s="496" t="s">
        <v>364</v>
      </c>
      <c r="C10" s="497"/>
      <c r="D10" s="497"/>
      <c r="E10" s="497"/>
      <c r="F10" s="497"/>
      <c r="G10" s="498" t="s">
        <v>365</v>
      </c>
      <c r="H10" s="498"/>
      <c r="I10" s="498"/>
      <c r="J10" s="497"/>
      <c r="K10" s="500"/>
      <c r="L10" s="485"/>
      <c r="M10" s="485"/>
    </row>
    <row r="11" spans="1:19" ht="16.5" thickBot="1">
      <c r="A11" s="485"/>
      <c r="B11" s="501" t="s">
        <v>368</v>
      </c>
      <c r="C11" s="499"/>
      <c r="D11" s="496" t="s">
        <v>369</v>
      </c>
      <c r="E11" s="497"/>
      <c r="F11" s="497"/>
      <c r="G11" s="537" t="s">
        <v>388</v>
      </c>
      <c r="H11" s="500"/>
      <c r="I11" s="537" t="s">
        <v>10</v>
      </c>
      <c r="J11" s="497"/>
      <c r="K11" s="499" t="s">
        <v>367</v>
      </c>
      <c r="L11" s="485"/>
      <c r="M11" s="485"/>
      <c r="O11" s="538"/>
    </row>
    <row r="12" spans="1:19" ht="15.75">
      <c r="A12" s="485"/>
      <c r="B12" s="504" t="s">
        <v>372</v>
      </c>
      <c r="C12" s="505"/>
      <c r="D12" s="506" t="s">
        <v>373</v>
      </c>
      <c r="E12" s="504" t="s">
        <v>81</v>
      </c>
      <c r="F12" s="497"/>
      <c r="G12" s="504" t="s">
        <v>389</v>
      </c>
      <c r="H12" s="539"/>
      <c r="I12" s="504" t="s">
        <v>390</v>
      </c>
      <c r="J12" s="497"/>
      <c r="K12" s="502" t="s">
        <v>115</v>
      </c>
      <c r="L12" s="485"/>
      <c r="M12" s="485"/>
      <c r="N12" s="540" t="s">
        <v>339</v>
      </c>
      <c r="P12" s="541"/>
      <c r="Q12" s="542"/>
      <c r="R12" s="541" t="s">
        <v>340</v>
      </c>
      <c r="S12" s="542"/>
    </row>
    <row r="13" spans="1:19" ht="15.75">
      <c r="A13" s="485"/>
      <c r="B13" s="497"/>
      <c r="C13" s="497"/>
      <c r="D13" s="497"/>
      <c r="E13" s="497"/>
      <c r="F13" s="497"/>
      <c r="G13" s="505"/>
      <c r="H13" s="505"/>
      <c r="I13" s="505"/>
      <c r="J13" s="500"/>
      <c r="K13" s="500"/>
      <c r="N13" s="512" t="s">
        <v>376</v>
      </c>
      <c r="O13" s="443" t="s">
        <v>14</v>
      </c>
      <c r="P13" s="443" t="s">
        <v>391</v>
      </c>
      <c r="Q13" s="513"/>
      <c r="R13" s="443" t="s">
        <v>14</v>
      </c>
      <c r="S13" s="543" t="s">
        <v>391</v>
      </c>
    </row>
    <row r="14" spans="1:19" ht="15.75">
      <c r="A14" s="485"/>
      <c r="B14" s="497">
        <v>100</v>
      </c>
      <c r="C14" s="497"/>
      <c r="D14" s="497">
        <v>300</v>
      </c>
      <c r="E14" s="514">
        <v>25000</v>
      </c>
      <c r="F14" s="497"/>
      <c r="G14" s="516">
        <f>ROUND(IF($E14&lt;40001,$E14*$O$19/100,40000*$O$19/100+($E14-40000)*$O$20/100)+MAX(100, $B$14)*$O$18+IF($B$14&lt;101,$O$14,IF($B$14&lt;301,$O$15+$B$14*$P$15,$O$16+$B$14*$P$16)),2)+R26</f>
        <v>2236.14</v>
      </c>
      <c r="H14" s="516"/>
      <c r="I14" s="516">
        <f>ROUND(IF($E14&lt;40001,$E14*$R$19/100,40000*$R$19/100+($E14-40000)*$R$20/100)+MAX(100, $B$14)*$R$18+IF($B$14&lt;101,$R$14,IF($B$14&lt;301,$R$15+$B$14*$S$15,$R$16+$B$14*$S$16)),2)+R27</f>
        <v>2311.64</v>
      </c>
      <c r="J14" s="497"/>
      <c r="K14" s="517">
        <f>ROUND(I14/G14-1,4)</f>
        <v>3.3799999999999997E-2</v>
      </c>
      <c r="L14" s="485"/>
      <c r="M14" s="485"/>
      <c r="N14" s="512" t="s">
        <v>392</v>
      </c>
      <c r="O14" s="544">
        <f>'Billing Determinants'!G603</f>
        <v>259</v>
      </c>
      <c r="P14" s="519"/>
      <c r="Q14" s="513"/>
      <c r="R14" s="544">
        <f>'Billing Determinants'!J645</f>
        <v>259</v>
      </c>
      <c r="S14" s="524"/>
    </row>
    <row r="15" spans="1:19" ht="15.75">
      <c r="A15" s="485"/>
      <c r="B15" s="497"/>
      <c r="C15" s="497"/>
      <c r="D15" s="497">
        <v>500</v>
      </c>
      <c r="E15" s="514">
        <v>37500</v>
      </c>
      <c r="F15" s="497"/>
      <c r="G15" s="516">
        <f>ROUND(IF($E15&lt;40001,$E15*$O$19/100,40000*$O$19/100+($E15-40000)*$O$20/100)+MAX(100, $B$14)*$O$18+IF($B$14&lt;101,$O$14,IF($B$14&lt;301,$O$15+$B$14*$P$15,$O$16+$B$14*$P$16)),2)+R26</f>
        <v>2969.77</v>
      </c>
      <c r="H15" s="516"/>
      <c r="I15" s="516">
        <f>ROUND(IF($E15&lt;40001,$E15*$R$19/100,40000*$R$19/100+($E15-40000)*$R$20/100)+MAX(100, $B$14)*$R$18+IF($B$14&lt;101,$R$14,IF($B$14&lt;301,$R$15+$B$14*$S$15,$R$16+$B$14*$S$16)),2)+R27</f>
        <v>3050.52</v>
      </c>
      <c r="J15" s="497"/>
      <c r="K15" s="517">
        <f>ROUND(I15/G15-1,4)</f>
        <v>2.7199999999999998E-2</v>
      </c>
      <c r="L15" s="485"/>
      <c r="M15" s="485"/>
      <c r="N15" s="512" t="s">
        <v>393</v>
      </c>
      <c r="O15" s="544">
        <f>'Billing Determinants'!G604</f>
        <v>96</v>
      </c>
      <c r="P15" s="518">
        <f>'Billing Determinants'!G607</f>
        <v>1.7</v>
      </c>
      <c r="Q15" s="543"/>
      <c r="R15" s="544">
        <f>'Billing Determinants'!J646</f>
        <v>96</v>
      </c>
      <c r="S15" s="454">
        <f>'Billing Determinants'!J649</f>
        <v>1.76</v>
      </c>
    </row>
    <row r="16" spans="1:19" ht="15.75">
      <c r="A16" s="485"/>
      <c r="B16" s="497"/>
      <c r="C16" s="497"/>
      <c r="D16" s="497">
        <v>700</v>
      </c>
      <c r="E16" s="514">
        <v>50000</v>
      </c>
      <c r="F16" s="497"/>
      <c r="G16" s="516">
        <f>ROUND(IF($E16&lt;40001,$E16*$O$19/100,40000*$O$19/100+($E16-40000)*$O$20/100)+MAX(100, $B$14)*$O$18+IF($B$14&lt;101,$O$14,IF($B$14&lt;301,$O$15+$B$14*$P$15,$O$16+$B$14*$P$16)),2)+R26</f>
        <v>3656.19</v>
      </c>
      <c r="H16" s="516"/>
      <c r="I16" s="516">
        <f>ROUND(IF($E16&lt;40001,$E16*$R$19/100,40000*$R$19/100+($E16-40000)*$R$20/100)+MAX(100, $B$14)*$R$18+IF($B$14&lt;101,$R$14,IF($B$14&lt;301,$R$15+$B$14*$S$15,$R$16+$B$14*$S$16)),2)+R27</f>
        <v>3741.49</v>
      </c>
      <c r="J16" s="497"/>
      <c r="K16" s="517">
        <f>ROUND(I16/G16-1,4)</f>
        <v>2.3300000000000001E-2</v>
      </c>
      <c r="N16" s="512" t="s">
        <v>394</v>
      </c>
      <c r="O16" s="544">
        <f>'Billing Determinants'!G605</f>
        <v>192</v>
      </c>
      <c r="P16" s="518">
        <f>'Billing Determinants'!G608</f>
        <v>1.39</v>
      </c>
      <c r="Q16" s="513"/>
      <c r="R16" s="544">
        <v>192</v>
      </c>
      <c r="S16" s="454">
        <f>'Billing Determinants'!J650</f>
        <v>1.44</v>
      </c>
    </row>
    <row r="17" spans="1:21" ht="15.75">
      <c r="A17" s="485"/>
      <c r="B17" s="497"/>
      <c r="C17" s="497"/>
      <c r="D17" s="497"/>
      <c r="E17" s="497"/>
      <c r="F17" s="497"/>
      <c r="G17" s="516"/>
      <c r="H17" s="516"/>
      <c r="I17" s="516"/>
      <c r="J17" s="500"/>
      <c r="K17" s="517"/>
      <c r="L17" s="485"/>
      <c r="M17" s="485"/>
      <c r="N17" s="512"/>
      <c r="O17" s="519"/>
      <c r="P17" s="519"/>
      <c r="Q17" s="513"/>
      <c r="R17" s="519"/>
      <c r="S17" s="524"/>
    </row>
    <row r="18" spans="1:21" ht="15.75">
      <c r="A18" s="485"/>
      <c r="B18" s="497">
        <v>200</v>
      </c>
      <c r="C18" s="497"/>
      <c r="D18" s="497">
        <v>300</v>
      </c>
      <c r="E18" s="514">
        <f>ROUND((B$18*D18),0)</f>
        <v>60000</v>
      </c>
      <c r="F18" s="497"/>
      <c r="G18" s="516">
        <f>ROUND(IF($E18&lt;40001,$E18*$O$19/100,40000*$O$19/100+($E18-40000)*$O$20/100)+MAX(100, $B$18)*$O$18+IF($B$18&lt;101,$O$14,IF($B$18&lt;301,$O$15+$B$18*$P$15,$O$16+$B$18*$P$16)),2)+R26</f>
        <v>4844.8900000000003</v>
      </c>
      <c r="H18" s="516"/>
      <c r="I18" s="516">
        <f>ROUND(IF($E18&lt;40001,$E18*$R$19/100,40000*$R$19/100+($E18-40000)*$R$20/100)+MAX(100, $B$18)*$R$18+IF($B$18&lt;101,$R$14,IF($B$18&lt;301,$R$15+$B$18*$S$15,$R$16+$B$18*$S$16)),2)+R27</f>
        <v>5010.6900000000005</v>
      </c>
      <c r="J18" s="497"/>
      <c r="K18" s="517">
        <f>ROUND(I18/G18-1,4)</f>
        <v>3.4200000000000001E-2</v>
      </c>
      <c r="L18" s="485"/>
      <c r="M18" s="485"/>
      <c r="N18" s="512" t="s">
        <v>372</v>
      </c>
      <c r="O18" s="518">
        <f>'Billing Determinants'!G610</f>
        <v>4.72</v>
      </c>
      <c r="P18" s="519"/>
      <c r="Q18" s="513"/>
      <c r="R18" s="518">
        <f>'Billing Determinants'!J652</f>
        <v>5.37</v>
      </c>
      <c r="S18" s="524"/>
      <c r="U18" s="459">
        <f>(R18-O18)/O18</f>
        <v>0.13771186440677974</v>
      </c>
    </row>
    <row r="19" spans="1:21" ht="15.75">
      <c r="A19" s="485"/>
      <c r="B19" s="497"/>
      <c r="C19" s="497"/>
      <c r="D19" s="497">
        <v>500</v>
      </c>
      <c r="E19" s="514">
        <f>ROUND((B$18*D19),0)</f>
        <v>100000</v>
      </c>
      <c r="F19" s="497"/>
      <c r="G19" s="516">
        <f>ROUND(IF($E19&lt;40001,$E19*$O$19/100,40000*$O$19/100+($E19-40000)*$O$20/100)+MAX(100, $B$18)*$O$18+IF($B$18&lt;101,$O$14,IF($B$18&lt;301,$O$15+$B$18*$P$15,$O$16+$B$18*$P$16)),2)+R26</f>
        <v>7003.6900000000005</v>
      </c>
      <c r="H19" s="516"/>
      <c r="I19" s="516">
        <f>ROUND(IF($E19&lt;40001,$E19*$R$19/100,40000*$R$19/100+($E19-40000)*$R$20/100)+MAX(100, $B$18)*$R$18+IF($B$18&lt;101,$R$14,IF($B$18&lt;301,$R$15+$B$18*$S$15,$R$16+$B$18*$S$16)),2)+R27</f>
        <v>7183.4900000000007</v>
      </c>
      <c r="J19" s="497"/>
      <c r="K19" s="517">
        <f>ROUND(I19/G19-1,4)</f>
        <v>2.5700000000000001E-2</v>
      </c>
      <c r="L19" s="485"/>
      <c r="M19" s="485"/>
      <c r="N19" s="512" t="s">
        <v>395</v>
      </c>
      <c r="O19" s="545">
        <f>'Billing Determinants'!G613+R22</f>
        <v>5.8689999999999998</v>
      </c>
      <c r="P19" s="545"/>
      <c r="Q19" s="546"/>
      <c r="R19" s="545">
        <f>'Billing Determinants'!J655+'Billing Determinants'!J658+R23+R29</f>
        <v>5.9110000000000005</v>
      </c>
      <c r="S19" s="524"/>
      <c r="U19" s="459">
        <f t="shared" ref="U19:U20" si="0">(R19-O19)/O19</f>
        <v>7.1562446754133077E-3</v>
      </c>
    </row>
    <row r="20" spans="1:21" ht="15.75">
      <c r="A20" s="485"/>
      <c r="B20" s="497"/>
      <c r="C20" s="497"/>
      <c r="D20" s="497">
        <v>700</v>
      </c>
      <c r="E20" s="514">
        <f>ROUND((B$18*D20),0)</f>
        <v>140000</v>
      </c>
      <c r="F20" s="497"/>
      <c r="G20" s="516">
        <f>ROUND(IF($E20&lt;40001,$E20*$O$19/100,40000*$O$19/100+($E20-40000)*$O$20/100)+MAX(100, $B$18)*$O$18+IF($B$18&lt;101,$O$14,IF($B$18&lt;301,$O$15+$B$18*$P$15,$O$16+$B$18*$P$16)),2)+R26</f>
        <v>9162.49</v>
      </c>
      <c r="H20" s="516"/>
      <c r="I20" s="516">
        <f>ROUND(IF($E20&lt;40001,$E20*$R$19/100,40000*$R$19/100+($E20-40000)*$R$20/100)+MAX(100, $B$18)*$R$18+IF($B$18&lt;101,$R$14,IF($B$18&lt;301,$R$15+$B$18*$S$15,$R$16+$B$18*$S$16)),2)+R27</f>
        <v>9356.2899999999991</v>
      </c>
      <c r="J20" s="497"/>
      <c r="K20" s="517">
        <f>ROUND(I20/G20-1,4)</f>
        <v>2.12E-2</v>
      </c>
      <c r="N20" s="512" t="s">
        <v>396</v>
      </c>
      <c r="O20" s="545">
        <f>'Billing Determinants'!G614+R22</f>
        <v>5.3970000000000002</v>
      </c>
      <c r="P20" s="545"/>
      <c r="Q20" s="546"/>
      <c r="R20" s="545">
        <f>'Billing Determinants'!J656+'Billing Determinants'!J659+R23+R29</f>
        <v>5.4320000000000004</v>
      </c>
      <c r="S20" s="524"/>
      <c r="U20" s="459">
        <f t="shared" si="0"/>
        <v>6.4850843060960056E-3</v>
      </c>
    </row>
    <row r="21" spans="1:21" ht="16.5" thickBot="1">
      <c r="A21" s="485"/>
      <c r="B21" s="497"/>
      <c r="C21" s="497"/>
      <c r="D21" s="497"/>
      <c r="E21" s="497"/>
      <c r="F21" s="497"/>
      <c r="G21" s="516"/>
      <c r="H21" s="516"/>
      <c r="I21" s="516"/>
      <c r="J21" s="500"/>
      <c r="K21" s="517"/>
      <c r="L21" s="485"/>
      <c r="M21" s="485"/>
      <c r="N21" s="547" t="s">
        <v>0</v>
      </c>
      <c r="O21" s="548" t="s">
        <v>0</v>
      </c>
      <c r="P21" s="529" t="s">
        <v>0</v>
      </c>
      <c r="Q21" s="530"/>
      <c r="R21" s="548" t="s">
        <v>0</v>
      </c>
      <c r="S21" s="549"/>
    </row>
    <row r="22" spans="1:21" ht="15.75">
      <c r="A22" s="485"/>
      <c r="B22" s="497">
        <v>300</v>
      </c>
      <c r="C22" s="497"/>
      <c r="D22" s="497">
        <v>300</v>
      </c>
      <c r="E22" s="514">
        <f>ROUND((B$22*D22),0)</f>
        <v>90000</v>
      </c>
      <c r="F22" s="497"/>
      <c r="G22" s="516">
        <f>ROUND(IF($E22&lt;40001,$E22*$O$19/100,40000*$O$19/100+($E22-40000)*$O$20/100)+MAX(100, $B$22)*$O$18+IF($B$22&lt;101,$O$14,IF($B$22&lt;301,$O$15+$B$22*$P$15,$O$16+$B$22*$P$16)),2)+R26</f>
        <v>7105.9900000000007</v>
      </c>
      <c r="H22" s="516"/>
      <c r="I22" s="516">
        <f>ROUND(IF($E22&lt;40001,$E22*$R$19/100,40000*$R$19/100+($E22-40000)*$R$20/100)+MAX(100, $B$22)*$R$18+IF($B$22&lt;101,$R$14,IF($B$22&lt;301,$R$15+$B$22*$S$15,$R$16+$B$22*$S$16)),2)+R27</f>
        <v>7353.29</v>
      </c>
      <c r="J22" s="497"/>
      <c r="K22" s="517">
        <f>ROUND(I22/G22-1,4)</f>
        <v>3.4799999999999998E-2</v>
      </c>
      <c r="L22" s="485"/>
      <c r="M22" s="485"/>
      <c r="P22" s="467" t="s">
        <v>345</v>
      </c>
      <c r="Q22" s="467"/>
      <c r="R22" s="468">
        <v>0.24</v>
      </c>
      <c r="U22" s="438" t="s">
        <v>0</v>
      </c>
    </row>
    <row r="23" spans="1:21" ht="15.75">
      <c r="A23" s="485"/>
      <c r="B23" s="497"/>
      <c r="C23" s="497"/>
      <c r="D23" s="497">
        <v>500</v>
      </c>
      <c r="E23" s="514">
        <f>ROUND((B$22*D23),0)</f>
        <v>150000</v>
      </c>
      <c r="F23" s="497"/>
      <c r="G23" s="516">
        <f>ROUND(IF($E23&lt;40001,$E23*$O$19/100,40000*$O$19/100+($E23-40000)*$O$20/100)+MAX(100, $B$22)*$O$18+IF($B$22&lt;101,$O$14,IF($B$22&lt;301,$O$15+$B$22*$P$15,$O$16+$B$22*$P$16)),2)+R26</f>
        <v>10344.189999999999</v>
      </c>
      <c r="H23" s="516"/>
      <c r="I23" s="516">
        <f>ROUND(IF($E23&lt;40001,$E23*$R$19/100,40000*$R$19/100+($E23-40000)*$R$20/100)+MAX(100, $B$22)*$R$18+IF($B$22&lt;101,$R$14,IF($B$22&lt;301,$R$15+$B$22*$S$15,$R$16+$B$22*$S$16)),2)+R27</f>
        <v>10612.49</v>
      </c>
      <c r="J23" s="497"/>
      <c r="K23" s="517">
        <f>ROUND(I23/G23-1,4)</f>
        <v>2.5899999999999999E-2</v>
      </c>
      <c r="L23" s="485"/>
      <c r="M23" s="485"/>
      <c r="P23" s="467"/>
      <c r="Q23" s="467"/>
      <c r="R23" s="468">
        <v>0.24</v>
      </c>
    </row>
    <row r="24" spans="1:21" ht="15.75">
      <c r="A24" s="485"/>
      <c r="B24" s="497"/>
      <c r="C24" s="497"/>
      <c r="D24" s="497">
        <v>700</v>
      </c>
      <c r="E24" s="514">
        <f>ROUND((B$22*D24),0)</f>
        <v>210000</v>
      </c>
      <c r="F24" s="497"/>
      <c r="G24" s="516">
        <f>ROUND(IF($E24&lt;40001,$E24*$O$19/100,40000*$O$19/100+($E24-40000)*$O$20/100)+MAX(100, $B$22)*$O$18+IF($B$22&lt;101,$O$14,IF($B$22&lt;301,$O$15+$B$22*$P$15,$O$16+$B$22*$P$16)),2)+R26</f>
        <v>13582.39</v>
      </c>
      <c r="H24" s="516"/>
      <c r="I24" s="516">
        <f>ROUND(IF($E24&lt;40001,$E24*$R$19/100,40000*$R$19/100+($E24-40000)*$R$20/100)+MAX(100, $B$22)*$R$18+IF($B$22&lt;101,$R$14,IF($B$22&lt;301,$R$15+$B$22*$S$15,$R$16+$B$22*$S$16)),2)+R27</f>
        <v>13871.689999999999</v>
      </c>
      <c r="J24" s="497"/>
      <c r="K24" s="517">
        <f>ROUND(I24/G24-1,4)</f>
        <v>2.1299999999999999E-2</v>
      </c>
      <c r="P24" s="467"/>
      <c r="Q24" s="467"/>
      <c r="R24" s="470"/>
    </row>
    <row r="25" spans="1:21" ht="15.75">
      <c r="A25" s="485"/>
      <c r="B25" s="497"/>
      <c r="C25" s="497"/>
      <c r="D25" s="497"/>
      <c r="E25" s="497"/>
      <c r="F25" s="497"/>
      <c r="G25" s="516"/>
      <c r="H25" s="516"/>
      <c r="I25" s="516"/>
      <c r="J25" s="500"/>
      <c r="K25" s="517"/>
      <c r="L25" s="485"/>
      <c r="M25" s="485"/>
      <c r="P25" s="438" t="s">
        <v>0</v>
      </c>
      <c r="Q25" s="438" t="s">
        <v>0</v>
      </c>
      <c r="R25" s="438" t="s">
        <v>0</v>
      </c>
    </row>
    <row r="26" spans="1:21" ht="15.75">
      <c r="A26" s="485"/>
      <c r="B26" s="497">
        <v>400</v>
      </c>
      <c r="C26" s="497"/>
      <c r="D26" s="497">
        <v>300</v>
      </c>
      <c r="E26" s="514">
        <f>ROUND((B$26*D26),0)</f>
        <v>120000</v>
      </c>
      <c r="F26" s="497"/>
      <c r="G26" s="516">
        <f>ROUND(IF($E26&lt;40001,$E26*$O$19/100,40000*$O$19/100+($E26-40000)*$O$20/100)+MAX(100, $B$26)*$O$18+IF($B$26&lt;101,$O$14,IF($B$26&lt;301,$O$15+$B$26*$P$15,$O$16+$B$26*$P$16)),2)+R26</f>
        <v>9339.09</v>
      </c>
      <c r="H26" s="516"/>
      <c r="I26" s="516">
        <f>ROUND(IF($E26&lt;40001,$E26*$R$19/100,40000*$R$19/100+($E26-40000)*$R$20/100)+MAX(100, $B$26)*$R$18+IF($B$26&lt;101,$R$14,IF($B$26&lt;301,$R$15+$B$26*$S$15,$R$16+$B$26*$S$16)),2)+R27</f>
        <v>9663.89</v>
      </c>
      <c r="J26" s="497"/>
      <c r="K26" s="517">
        <f>ROUND(I26/G26-1,4)</f>
        <v>3.4799999999999998E-2</v>
      </c>
      <c r="L26" s="485"/>
      <c r="M26" s="485"/>
      <c r="P26" s="438" t="s">
        <v>397</v>
      </c>
      <c r="R26" s="520">
        <f>'Rate Design Low Inc Surcharge'!D18</f>
        <v>37.89</v>
      </c>
      <c r="S26" s="438" t="s">
        <v>0</v>
      </c>
    </row>
    <row r="27" spans="1:21" ht="15.75">
      <c r="A27" s="485"/>
      <c r="B27" s="497"/>
      <c r="C27" s="497"/>
      <c r="D27" s="497">
        <v>500</v>
      </c>
      <c r="E27" s="514">
        <f>ROUND((B$26*D27),0)</f>
        <v>200000</v>
      </c>
      <c r="F27" s="497"/>
      <c r="G27" s="516">
        <f>ROUND(IF($E27&lt;40001,$E27*$O$19/100,40000*$O$19/100+($E27-40000)*$O$20/100)+MAX(100, $B$26)*$O$18+IF($B$26&lt;101,$O$14,IF($B$26&lt;301,$O$15+$B$26*$P$15,$O$16+$B$26*$P$16)),2)+R26</f>
        <v>13656.689999999999</v>
      </c>
      <c r="H27" s="516"/>
      <c r="I27" s="516">
        <f>ROUND(IF($E27&lt;40001,$E27*$R$19/100,40000*$R$19/100+($E27-40000)*$R$20/100)+MAX(100, $B$26)*$R$18+IF($B$26&lt;101,$R$14,IF($B$26&lt;301,$R$15+$B$26*$S$15,$R$16+$B$26*$S$16)),2)+R27</f>
        <v>14009.49</v>
      </c>
      <c r="J27" s="497"/>
      <c r="K27" s="517">
        <f>ROUND(I27/G27-1,4)</f>
        <v>2.58E-2</v>
      </c>
      <c r="L27" s="485"/>
      <c r="M27" s="485"/>
      <c r="P27" s="438" t="s">
        <v>384</v>
      </c>
      <c r="R27" s="520">
        <f>R26</f>
        <v>37.89</v>
      </c>
    </row>
    <row r="28" spans="1:21" ht="15.75">
      <c r="A28" s="485"/>
      <c r="B28" s="497"/>
      <c r="C28" s="497"/>
      <c r="D28" s="497">
        <v>700</v>
      </c>
      <c r="E28" s="514">
        <f>ROUND((B$26*D28),0)</f>
        <v>280000</v>
      </c>
      <c r="F28" s="497"/>
      <c r="G28" s="516">
        <f>ROUND(IF($E28&lt;40001,$E28*$O$19/100,40000*$O$19/100+($E28-40000)*$O$20/100)+MAX(100, $B$26)*$O$18+IF($B$26&lt;101,$O$14,IF($B$26&lt;301,$O$15+$B$26*$P$15,$O$16+$B$26*$P$16)),2)+R26</f>
        <v>17974.29</v>
      </c>
      <c r="H28" s="516"/>
      <c r="I28" s="516">
        <f>ROUND(IF($E28&lt;40001,$E28*$R$19/100,40000*$R$19/100+($E28-40000)*$R$20/100)+MAX(100, $B$26)*$R$18+IF($B$26&lt;101,$R$14,IF($B$26&lt;301,$R$15+$B$26*$S$15,$R$16+$B$26*$S$16)),2)+R27</f>
        <v>18355.09</v>
      </c>
      <c r="J28" s="497"/>
      <c r="K28" s="517">
        <f>ROUND(I28/G28-1,4)</f>
        <v>2.12E-2</v>
      </c>
    </row>
    <row r="29" spans="1:21" ht="15.75">
      <c r="A29" s="485"/>
      <c r="B29" s="497"/>
      <c r="C29" s="497"/>
      <c r="D29" s="497"/>
      <c r="E29" s="497"/>
      <c r="F29" s="497"/>
      <c r="G29" s="516"/>
      <c r="H29" s="516"/>
      <c r="I29" s="516"/>
      <c r="J29" s="500"/>
      <c r="K29" s="517"/>
      <c r="L29" s="485"/>
      <c r="M29" s="485"/>
      <c r="P29" s="438" t="s">
        <v>73</v>
      </c>
      <c r="R29" s="438">
        <f>'Rate Spread Sch 92'!AB24</f>
        <v>-8.0000000000000002E-3</v>
      </c>
    </row>
    <row r="30" spans="1:21" ht="15.75">
      <c r="A30" s="485"/>
      <c r="B30" s="497">
        <v>600</v>
      </c>
      <c r="C30" s="497"/>
      <c r="D30" s="497">
        <v>300</v>
      </c>
      <c r="E30" s="514">
        <f>ROUND((B$30*D30),0)</f>
        <v>180000</v>
      </c>
      <c r="F30" s="497"/>
      <c r="G30" s="516">
        <f>ROUND(IF($E30&lt;40001,$E30*$O$19/100,40000*$O$19/100+($E30-40000)*$O$20/100)+MAX(100, $B$30)*$O$18+IF($B$30&lt;101,$O$14,IF($B$30&lt;301,$O$15+$B$30*$P$15,$O$16+$B$30*$P$16)),2)+R26</f>
        <v>13799.289999999999</v>
      </c>
      <c r="H30" s="516"/>
      <c r="I30" s="516">
        <f>ROUND(IF($E30&lt;40001,$E30*$R$19/100,40000*$R$19/100+($E30-40000)*$R$20/100)+MAX(100, $B$30)*$R$18+IF($B$30&lt;101,$R$14,IF($B$30&lt;301,$R$15+$B$30*$S$15,$R$16+$B$30*$S$16)),2)+R27</f>
        <v>14285.09</v>
      </c>
      <c r="J30" s="497"/>
      <c r="K30" s="517">
        <f>ROUND(I30/G30-1,4)</f>
        <v>3.5200000000000002E-2</v>
      </c>
      <c r="L30" s="485"/>
      <c r="M30" s="485"/>
    </row>
    <row r="31" spans="1:21" ht="15.75">
      <c r="A31" s="485"/>
      <c r="B31" s="497"/>
      <c r="C31" s="497"/>
      <c r="D31" s="497">
        <v>500</v>
      </c>
      <c r="E31" s="514">
        <f>ROUND((B$30*D31),0)</f>
        <v>300000</v>
      </c>
      <c r="F31" s="497"/>
      <c r="G31" s="516">
        <f>ROUND(IF($E31&lt;40001,$E31*$O$19/100,40000*$O$19/100+($E31-40000)*$O$20/100)+MAX(100, $B$30)*$O$18+IF($B$30&lt;101,$O$14,IF($B$30&lt;301,$O$15+$B$30*$P$15,$O$16+$B$30*$P$16)),2)+R26</f>
        <v>20275.689999999999</v>
      </c>
      <c r="H31" s="516"/>
      <c r="I31" s="516">
        <f>ROUND(IF($E31&lt;40001,$E31*$R$19/100,40000*$R$19/100+($E31-40000)*$R$20/100)+MAX(100, $B$30)*$R$18+IF($B$30&lt;101,$R$14,IF($B$30&lt;301,$R$15+$B$30*$S$15,$R$16+$B$30*$S$16)),2)+R27</f>
        <v>20803.489999999998</v>
      </c>
      <c r="J31" s="497"/>
      <c r="K31" s="517">
        <f>ROUND(I31/G31-1,4)</f>
        <v>2.5999999999999999E-2</v>
      </c>
      <c r="L31" s="485"/>
      <c r="M31" s="485"/>
    </row>
    <row r="32" spans="1:21" ht="15.75">
      <c r="A32" s="485"/>
      <c r="B32" s="497"/>
      <c r="C32" s="497"/>
      <c r="D32" s="497">
        <v>700</v>
      </c>
      <c r="E32" s="514">
        <f>ROUND((B$30*D32),0)</f>
        <v>420000</v>
      </c>
      <c r="F32" s="497"/>
      <c r="G32" s="516">
        <f>ROUND(IF($E32&lt;40001,$E32*$O$19/100,40000*$O$19/100+($E32-40000)*$O$20/100)+MAX(100, $B$30)*$O$18+IF($B$30&lt;101,$O$14,IF($B$30&lt;301,$O$15+$B$30*$P$15,$O$16+$B$30*$P$16)),2)+R26</f>
        <v>26752.09</v>
      </c>
      <c r="H32" s="516"/>
      <c r="I32" s="516">
        <f>ROUND(IF($E32&lt;40001,$E32*$R$19/100,40000*$R$19/100+($E32-40000)*$R$20/100)+MAX(100, $B$30)*$R$18+IF($B$30&lt;101,$R$14,IF($B$30&lt;301,$R$15+$B$30*$S$15,$R$16+$B$30*$S$16)),2)+R27</f>
        <v>27321.89</v>
      </c>
      <c r="J32" s="497"/>
      <c r="K32" s="517">
        <f>ROUND(I32/G32-1,4)</f>
        <v>2.1299999999999999E-2</v>
      </c>
      <c r="N32" s="472" t="s">
        <v>385</v>
      </c>
      <c r="O32" s="550">
        <f>'Rate Spread combined'!V24</f>
        <v>3.2348846746610156E-2</v>
      </c>
    </row>
    <row r="33" spans="1:18" ht="15.75">
      <c r="A33" s="485"/>
      <c r="B33" s="497"/>
      <c r="C33" s="497"/>
      <c r="D33" s="497"/>
      <c r="E33" s="497"/>
      <c r="F33" s="497"/>
      <c r="G33" s="516"/>
      <c r="H33" s="516"/>
      <c r="I33" s="516"/>
      <c r="J33" s="500"/>
      <c r="K33" s="517"/>
      <c r="L33" s="485"/>
      <c r="M33" s="485"/>
      <c r="O33" s="551" t="s">
        <v>0</v>
      </c>
      <c r="R33" s="438" t="s">
        <v>0</v>
      </c>
    </row>
    <row r="34" spans="1:18" ht="15.75">
      <c r="A34" s="485"/>
      <c r="B34" s="497">
        <v>800</v>
      </c>
      <c r="C34" s="497"/>
      <c r="D34" s="497">
        <v>300</v>
      </c>
      <c r="E34" s="514">
        <f>ROUND((B$34*D34),0)</f>
        <v>240000</v>
      </c>
      <c r="F34" s="497"/>
      <c r="G34" s="516">
        <f>ROUND(IF($E34&lt;40001,$E34*$O$19/100,40000*$O$19/100+($E34-40000)*$O$20/100)+MAX(100, $B$34)*$O$18+IF($B$34&lt;101,$O$14,IF($B$34&lt;301,$O$15+$B$34*$P$15,$O$16+$B$34*$P$16)),2)+R26</f>
        <v>18259.489999999998</v>
      </c>
      <c r="H34" s="516"/>
      <c r="I34" s="516">
        <f>ROUND(IF($E34&lt;40001,$E34*$R$19/100,40000*$R$19/100+($E34-40000)*$R$20/100)+MAX(100, $B$34)*$R$18+IF($B$34&lt;101,$R$14,IF($B$34&lt;301,$R$15+$B$34*$S$15,$R$16+$B$34*$S$16)),2)+R27</f>
        <v>18906.29</v>
      </c>
      <c r="J34" s="497"/>
      <c r="K34" s="517">
        <f>ROUND(I34/G34-1,4)</f>
        <v>3.5400000000000001E-2</v>
      </c>
      <c r="L34" s="485"/>
      <c r="M34" s="485"/>
    </row>
    <row r="35" spans="1:18" ht="15.75">
      <c r="A35" s="485"/>
      <c r="B35" s="497"/>
      <c r="C35" s="497"/>
      <c r="D35" s="497">
        <v>500</v>
      </c>
      <c r="E35" s="514">
        <f>ROUND((B$34*D35),0)</f>
        <v>400000</v>
      </c>
      <c r="F35" s="497"/>
      <c r="G35" s="516">
        <f>ROUND(IF($E35&lt;40001,$E35*$O$19/100,40000*$O$19/100+($E35-40000)*$O$20/100)+MAX(100, $B$34)*$O$18+IF($B$34&lt;101,$O$14,IF($B$34&lt;301,$O$15+$B$34*$P$15,$O$16+$B$34*$P$16)),2)+R26</f>
        <v>26894.69</v>
      </c>
      <c r="H35" s="516"/>
      <c r="I35" s="516">
        <f>ROUND(IF($E35&lt;40001,$E35*$R$19/100,40000*$R$19/100+($E35-40000)*$R$20/100)+MAX(100, $B$34)*$R$18+IF($B$34&lt;101,$R$14,IF($B$34&lt;301,$R$15+$B$34*$S$15,$R$16+$B$34*$S$16)),2)+R27</f>
        <v>27597.489999999998</v>
      </c>
      <c r="J35" s="497"/>
      <c r="K35" s="517">
        <f>ROUND(I35/G35-1,4)</f>
        <v>2.6100000000000002E-2</v>
      </c>
      <c r="L35" s="485"/>
      <c r="M35" s="485"/>
    </row>
    <row r="36" spans="1:18" ht="15.75">
      <c r="A36" s="485"/>
      <c r="B36" s="497"/>
      <c r="C36" s="497"/>
      <c r="D36" s="497">
        <v>700</v>
      </c>
      <c r="E36" s="514">
        <f>ROUND((B$34*D36),0)</f>
        <v>560000</v>
      </c>
      <c r="F36" s="497"/>
      <c r="G36" s="516">
        <f>ROUND(IF($E36&lt;40001,$E36*$O$19/100,40000*$O$19/100+($E36-40000)*$O$20/100)+MAX(100, $B$34)*$O$18+IF($B$34&lt;101,$O$14,IF($B$34&lt;301,$O$15+$B$34*$P$15,$O$16+$B$34*$P$16)),2)+R26</f>
        <v>35529.89</v>
      </c>
      <c r="H36" s="516"/>
      <c r="I36" s="516">
        <f>ROUND(IF($E36&lt;40001,$E36*$R$19/100,40000*$R$19/100+($E36-40000)*$R$20/100)+MAX(100, $B$34)*$R$18+IF($B$34&lt;101,$R$14,IF($B$34&lt;301,$R$15+$B$34*$S$15,$R$16+$B$34*$S$16)),2)+R27</f>
        <v>36288.69</v>
      </c>
      <c r="J36" s="497"/>
      <c r="K36" s="517">
        <f>ROUND(I36/G36-1,4)</f>
        <v>2.1399999999999999E-2</v>
      </c>
    </row>
    <row r="37" spans="1:18" ht="15.75">
      <c r="A37" s="485"/>
      <c r="B37" s="497"/>
      <c r="C37" s="497"/>
      <c r="D37" s="497"/>
      <c r="E37" s="497"/>
      <c r="F37" s="497"/>
      <c r="G37" s="516"/>
      <c r="H37" s="516"/>
      <c r="I37" s="516"/>
      <c r="J37" s="500"/>
      <c r="K37" s="517"/>
      <c r="L37" s="485"/>
      <c r="M37" s="485"/>
    </row>
    <row r="38" spans="1:18" ht="15.75">
      <c r="A38" s="485"/>
      <c r="B38" s="497">
        <v>1000</v>
      </c>
      <c r="C38" s="497"/>
      <c r="D38" s="497">
        <v>300</v>
      </c>
      <c r="E38" s="514">
        <f>ROUND((B$38*D38),0)</f>
        <v>300000</v>
      </c>
      <c r="F38" s="497"/>
      <c r="G38" s="516">
        <f>ROUND(IF($E38&lt;40001,$E38*$O$19/100,40000*$O$19/100+($E38-40000)*$O$20/100)+MAX(100, $B$38)*$O$18+IF($B$38&lt;101,$O$14,IF($B$38&lt;301,$O$15+$B$38*$P$15,$O$16+$B$38*$P$16)),2)+R26</f>
        <v>22719.69</v>
      </c>
      <c r="H38" s="516"/>
      <c r="I38" s="516">
        <f>ROUND(IF($E38&lt;40001,$E38*$R$19/100,40000*$R$19/100+($E38-40000)*$R$20/100)+MAX(100, $B$38)*$R$18+IF($B$38&lt;101,$R$14,IF($B$38&lt;301,$R$15+$B$38*$S$15,$R$16+$B$38*$S$16)),2)+R27</f>
        <v>23527.489999999998</v>
      </c>
      <c r="J38" s="497"/>
      <c r="K38" s="517">
        <f>ROUND(I38/G38-1,4)</f>
        <v>3.56E-2</v>
      </c>
      <c r="L38" s="485"/>
      <c r="M38" s="485"/>
    </row>
    <row r="39" spans="1:18" ht="15.75">
      <c r="A39" s="485"/>
      <c r="B39" s="497"/>
      <c r="C39" s="497"/>
      <c r="D39" s="497">
        <v>500</v>
      </c>
      <c r="E39" s="514">
        <f>ROUND((B$38*D39),0)</f>
        <v>500000</v>
      </c>
      <c r="F39" s="497"/>
      <c r="G39" s="516">
        <f>ROUND(IF($E39&lt;40001,$E39*$O$19/100,40000*$O$19/100+($E39-40000)*$O$20/100)+MAX(100, $B$38)*$O$18+IF($B$38&lt;101,$O$14,IF($B$38&lt;301,$O$15+$B$38*$P$15,$O$16+$B$38*$P$16)),2)+R26</f>
        <v>33513.69</v>
      </c>
      <c r="H39" s="516"/>
      <c r="I39" s="516">
        <f>ROUND(IF($E39&lt;40001,$E39*$R$19/100,40000*$R$19/100+($E39-40000)*$R$20/100)+MAX(100, $B$38)*$R$18+IF($B$38&lt;101,$R$14,IF($B$38&lt;301,$R$15+$B$38*$S$15,$R$16+$B$38*$S$16)),2)+R27</f>
        <v>34391.49</v>
      </c>
      <c r="J39" s="497"/>
      <c r="K39" s="517">
        <f>ROUND(I39/G39-1,4)</f>
        <v>2.6200000000000001E-2</v>
      </c>
      <c r="L39" s="485"/>
      <c r="M39" s="485"/>
    </row>
    <row r="40" spans="1:18" ht="15.75">
      <c r="A40" s="485"/>
      <c r="B40" s="497"/>
      <c r="C40" s="497"/>
      <c r="D40" s="497">
        <v>700</v>
      </c>
      <c r="E40" s="514">
        <f>ROUND((B$38*D40),0)</f>
        <v>700000</v>
      </c>
      <c r="F40" s="497"/>
      <c r="G40" s="516">
        <f>ROUND(IF($E40&lt;40001,$E40*$O$19/100,40000*$O$19/100+($E40-40000)*$O$20/100)+MAX(100, $B$38)*$O$18+IF($B$38&lt;101,$O$14,IF($B$38&lt;301,$O$15+$B$38*$P$15,$O$16+$B$38*$P$16)),2)+R26</f>
        <v>44307.69</v>
      </c>
      <c r="H40" s="516"/>
      <c r="I40" s="516">
        <f>ROUND(IF($E40&lt;40001,$E40*$R$19/100,40000*$R$19/100+($E40-40000)*$R$20/100)+MAX(100, $B$38)*$R$18+IF($B$38&lt;101,$R$14,IF($B$38&lt;301,$R$15+$B$38*$S$15,$R$16+$B$38*$S$16)),2)+R27</f>
        <v>45255.49</v>
      </c>
      <c r="J40" s="497"/>
      <c r="K40" s="517">
        <f>ROUND(I40/G40-1,4)</f>
        <v>2.1399999999999999E-2</v>
      </c>
    </row>
    <row r="41" spans="1:18" ht="15.75">
      <c r="A41" s="485"/>
      <c r="B41" s="552"/>
      <c r="C41" s="552"/>
      <c r="D41" s="552"/>
      <c r="E41" s="552"/>
      <c r="F41" s="552"/>
      <c r="G41" s="552"/>
      <c r="H41" s="552"/>
      <c r="I41" s="552"/>
      <c r="J41" s="553"/>
      <c r="K41" s="553"/>
      <c r="L41" s="485"/>
      <c r="M41" s="485"/>
    </row>
    <row r="42" spans="1:18" ht="15.75">
      <c r="A42" s="485"/>
      <c r="B42" s="500"/>
      <c r="C42" s="500"/>
      <c r="D42" s="500"/>
      <c r="E42" s="500"/>
      <c r="F42" s="500"/>
      <c r="G42" s="500"/>
      <c r="H42" s="500"/>
      <c r="I42" s="500"/>
      <c r="J42" s="500"/>
      <c r="K42" s="500"/>
      <c r="L42" s="485"/>
      <c r="M42" s="485"/>
    </row>
    <row r="43" spans="1:18" ht="15.75">
      <c r="A43" s="485"/>
      <c r="B43" s="500" t="s">
        <v>351</v>
      </c>
      <c r="C43" s="500"/>
      <c r="D43" s="500"/>
      <c r="E43" s="500"/>
      <c r="F43" s="500"/>
      <c r="G43" s="500"/>
      <c r="H43" s="500"/>
      <c r="I43" s="500"/>
      <c r="J43" s="500"/>
      <c r="K43" s="500"/>
      <c r="L43" s="485"/>
      <c r="M43" s="485"/>
    </row>
    <row r="44" spans="1:18" ht="15.75">
      <c r="A44" s="485"/>
      <c r="B44" s="535" t="s">
        <v>386</v>
      </c>
      <c r="C44" s="500"/>
      <c r="D44" s="500"/>
      <c r="E44" s="500"/>
      <c r="F44" s="500"/>
      <c r="G44" s="500"/>
      <c r="H44" s="500"/>
      <c r="I44" s="500"/>
      <c r="J44" s="500"/>
      <c r="K44" s="500"/>
    </row>
    <row r="45" spans="1:18" ht="15.75">
      <c r="A45" s="485"/>
      <c r="B45" s="497"/>
      <c r="L45" s="485"/>
      <c r="M45" s="485"/>
    </row>
    <row r="46" spans="1:18" ht="15.75">
      <c r="A46" s="485"/>
      <c r="B46" s="497"/>
    </row>
    <row r="47" spans="1:18" ht="15.75">
      <c r="B47" s="497"/>
    </row>
    <row r="48" spans="1:18" ht="15.75">
      <c r="B48" s="497"/>
      <c r="P48" s="474"/>
    </row>
    <row r="49" spans="1:2" ht="15.75">
      <c r="A49" s="485"/>
      <c r="B49" s="497"/>
    </row>
    <row r="50" spans="1:2" ht="15.75">
      <c r="A50" s="485"/>
      <c r="B50" s="497"/>
    </row>
    <row r="51" spans="1:2">
      <c r="A51" s="485"/>
    </row>
    <row r="52" spans="1:2">
      <c r="A52" s="485"/>
    </row>
    <row r="53" spans="1:2">
      <c r="A53" s="485"/>
    </row>
    <row r="54" spans="1:2">
      <c r="A54" s="485"/>
    </row>
    <row r="55" spans="1:2">
      <c r="A55" s="485"/>
    </row>
    <row r="56" spans="1:2">
      <c r="A56" s="485"/>
    </row>
    <row r="57" spans="1:2">
      <c r="A57" s="485"/>
    </row>
  </sheetData>
  <printOptions horizontalCentered="1"/>
  <pageMargins left="0.5" right="0.5" top="0.5" bottom="0.5" header="0.5" footer="0.5"/>
  <pageSetup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51"/>
  <sheetViews>
    <sheetView view="pageBreakPreview" zoomScale="75" zoomScaleNormal="100" workbookViewId="0">
      <selection activeCell="AJ42" sqref="AJ42"/>
    </sheetView>
  </sheetViews>
  <sheetFormatPr defaultColWidth="8.5" defaultRowHeight="15"/>
  <cols>
    <col min="1" max="1" width="1.875" style="438" customWidth="1"/>
    <col min="2" max="2" width="10.875" style="438" customWidth="1"/>
    <col min="3" max="3" width="1.75" style="438" customWidth="1"/>
    <col min="4" max="4" width="11.25" style="438" hidden="1" customWidth="1"/>
    <col min="5" max="5" width="8.25" style="438" bestFit="1" customWidth="1"/>
    <col min="6" max="6" width="3.25" style="438" customWidth="1"/>
    <col min="7" max="7" width="13.75" style="438" bestFit="1" customWidth="1"/>
    <col min="8" max="8" width="2.125" style="438" customWidth="1"/>
    <col min="9" max="9" width="8.5" style="438" bestFit="1" customWidth="1"/>
    <col min="10" max="10" width="2.125" style="438" customWidth="1"/>
    <col min="11" max="11" width="12.625" style="438" bestFit="1" customWidth="1"/>
    <col min="12" max="12" width="1.75" style="438" customWidth="1"/>
    <col min="13" max="13" width="8.5" style="438" bestFit="1" customWidth="1"/>
    <col min="14" max="14" width="2" style="438" customWidth="1"/>
    <col min="15" max="15" width="10.5" style="438" bestFit="1" customWidth="1"/>
    <col min="16" max="16" width="1.875" style="438" customWidth="1"/>
    <col min="17" max="17" width="8.5" style="438" bestFit="1" customWidth="1"/>
    <col min="18" max="18" width="3" style="438" customWidth="1"/>
    <col min="19" max="19" width="16.125" style="438" customWidth="1"/>
    <col min="20" max="20" width="13.25" style="438" customWidth="1"/>
    <col min="21" max="21" width="9.25" style="438" customWidth="1"/>
    <col min="22" max="22" width="8.375" style="438" customWidth="1"/>
    <col min="23" max="23" width="2.25" style="438" customWidth="1"/>
    <col min="24" max="16384" width="8.5" style="438"/>
  </cols>
  <sheetData>
    <row r="2" spans="2:22" ht="18.75">
      <c r="B2" s="444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554"/>
      <c r="P2" s="490" t="s">
        <v>0</v>
      </c>
      <c r="Q2" s="554"/>
    </row>
    <row r="3" spans="2:22" ht="18.75">
      <c r="B3" s="441" t="s">
        <v>333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</row>
    <row r="4" spans="2:22" ht="18.75">
      <c r="B4" s="441" t="s">
        <v>398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</row>
    <row r="5" spans="2:22" ht="18.75">
      <c r="B5" s="441" t="s">
        <v>399</v>
      </c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441"/>
    </row>
    <row r="6" spans="2:22" ht="18.75">
      <c r="B6" s="441" t="s">
        <v>0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441"/>
      <c r="N6" s="441"/>
      <c r="O6" s="441"/>
      <c r="P6" s="441"/>
      <c r="Q6" s="441"/>
    </row>
    <row r="7" spans="2:22">
      <c r="B7" s="440"/>
      <c r="C7" s="440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0"/>
    </row>
    <row r="8" spans="2:22">
      <c r="B8" s="444"/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</row>
    <row r="9" spans="2:22">
      <c r="G9" s="444"/>
      <c r="H9" s="444"/>
      <c r="I9" s="444"/>
      <c r="J9" s="444"/>
      <c r="K9" s="444"/>
      <c r="L9" s="444"/>
      <c r="M9" s="444"/>
    </row>
    <row r="10" spans="2:22">
      <c r="B10" s="444"/>
      <c r="C10" s="444"/>
      <c r="D10" s="444"/>
      <c r="E10" s="444"/>
      <c r="G10" s="444"/>
      <c r="H10" s="444"/>
      <c r="I10" s="444"/>
      <c r="J10" s="444"/>
      <c r="K10" s="444"/>
      <c r="L10" s="444"/>
      <c r="M10" s="444"/>
    </row>
    <row r="11" spans="2:22">
      <c r="B11" s="444"/>
      <c r="C11" s="444"/>
      <c r="D11" s="444"/>
      <c r="E11" s="444"/>
      <c r="G11" s="445"/>
      <c r="H11" s="445"/>
      <c r="I11" s="445"/>
      <c r="J11" s="445"/>
      <c r="K11" s="445"/>
      <c r="L11" s="445"/>
      <c r="M11" s="445"/>
      <c r="O11" s="440"/>
      <c r="P11" s="440"/>
      <c r="Q11" s="440"/>
    </row>
    <row r="12" spans="2:22" ht="15.75" thickBot="1">
      <c r="G12" s="442" t="s">
        <v>400</v>
      </c>
      <c r="H12" s="442"/>
      <c r="I12" s="442"/>
      <c r="K12" s="442" t="s">
        <v>401</v>
      </c>
      <c r="L12" s="442"/>
      <c r="M12" s="442"/>
      <c r="O12" s="442" t="s">
        <v>402</v>
      </c>
      <c r="P12" s="442"/>
      <c r="Q12" s="442"/>
    </row>
    <row r="13" spans="2:22">
      <c r="B13" s="555" t="s">
        <v>364</v>
      </c>
      <c r="G13" s="556" t="s">
        <v>388</v>
      </c>
      <c r="H13" s="443"/>
      <c r="I13" s="443" t="s">
        <v>403</v>
      </c>
      <c r="J13" s="455"/>
      <c r="K13" s="556" t="s">
        <v>10</v>
      </c>
      <c r="L13" s="443"/>
      <c r="M13" s="443" t="s">
        <v>403</v>
      </c>
      <c r="O13" s="443"/>
      <c r="P13" s="443"/>
      <c r="Q13" s="443" t="s">
        <v>403</v>
      </c>
      <c r="S13" s="557" t="s">
        <v>339</v>
      </c>
      <c r="T13" s="511"/>
      <c r="U13" s="510" t="s">
        <v>340</v>
      </c>
      <c r="V13" s="511"/>
    </row>
    <row r="14" spans="2:22">
      <c r="B14" s="558" t="s">
        <v>368</v>
      </c>
      <c r="C14" s="556"/>
      <c r="D14" s="556" t="s">
        <v>369</v>
      </c>
      <c r="G14" s="559" t="s">
        <v>404</v>
      </c>
      <c r="H14" s="443" t="s">
        <v>0</v>
      </c>
      <c r="I14" s="443" t="s">
        <v>376</v>
      </c>
      <c r="J14" s="455"/>
      <c r="K14" s="559" t="s">
        <v>404</v>
      </c>
      <c r="L14" s="443" t="s">
        <v>0</v>
      </c>
      <c r="M14" s="443" t="s">
        <v>376</v>
      </c>
      <c r="O14" s="443" t="s">
        <v>405</v>
      </c>
      <c r="P14" s="443" t="s">
        <v>0</v>
      </c>
      <c r="Q14" s="443" t="s">
        <v>376</v>
      </c>
      <c r="S14" s="512" t="s">
        <v>406</v>
      </c>
      <c r="T14" s="456">
        <f>'Billing Determinants'!G741+V22</f>
        <v>7.085</v>
      </c>
      <c r="U14" s="519"/>
      <c r="V14" s="456">
        <f>'Billing Determinants'!J741+'Billing Determinants'!J743+V23+V30</f>
        <v>7.1779999999999999</v>
      </c>
    </row>
    <row r="15" spans="2:22">
      <c r="B15" s="559" t="s">
        <v>372</v>
      </c>
      <c r="C15" s="556"/>
      <c r="D15" s="560" t="s">
        <v>373</v>
      </c>
      <c r="E15" s="448" t="s">
        <v>81</v>
      </c>
      <c r="G15" s="448" t="s">
        <v>407</v>
      </c>
      <c r="H15" s="443"/>
      <c r="I15" s="448" t="s">
        <v>408</v>
      </c>
      <c r="J15" s="455"/>
      <c r="K15" s="448" t="s">
        <v>407</v>
      </c>
      <c r="L15" s="443"/>
      <c r="M15" s="448" t="s">
        <v>408</v>
      </c>
      <c r="O15" s="448" t="s">
        <v>409</v>
      </c>
      <c r="P15" s="443"/>
      <c r="Q15" s="448" t="s">
        <v>408</v>
      </c>
      <c r="S15" s="512" t="s">
        <v>0</v>
      </c>
      <c r="T15" s="561" t="s">
        <v>0</v>
      </c>
      <c r="U15" s="562" t="s">
        <v>0</v>
      </c>
      <c r="V15" s="561" t="s">
        <v>0</v>
      </c>
    </row>
    <row r="16" spans="2:22">
      <c r="B16" s="443"/>
      <c r="C16" s="556"/>
      <c r="D16" s="560"/>
      <c r="E16" s="443"/>
      <c r="G16" s="443"/>
      <c r="H16" s="443"/>
      <c r="I16" s="443"/>
      <c r="J16" s="455"/>
      <c r="K16" s="443"/>
      <c r="L16" s="443"/>
      <c r="M16" s="443"/>
      <c r="O16" s="443"/>
      <c r="P16" s="443"/>
      <c r="Q16" s="443"/>
      <c r="S16" s="563" t="s">
        <v>376</v>
      </c>
      <c r="T16" s="564"/>
      <c r="U16" s="564"/>
      <c r="V16" s="565"/>
    </row>
    <row r="17" spans="2:23">
      <c r="B17" s="566" t="s">
        <v>374</v>
      </c>
      <c r="C17" s="455"/>
      <c r="G17" s="455"/>
      <c r="H17" s="455"/>
      <c r="I17" s="455"/>
      <c r="J17" s="455"/>
      <c r="S17" s="567" t="s">
        <v>410</v>
      </c>
      <c r="T17" s="518">
        <f>'Billing Determinants'!G732</f>
        <v>25.171223609796559</v>
      </c>
      <c r="U17" s="519"/>
      <c r="V17" s="568">
        <f>'Billing Determinants'!J732</f>
        <v>25.536226556199608</v>
      </c>
    </row>
    <row r="18" spans="2:23">
      <c r="B18" s="438">
        <v>10</v>
      </c>
      <c r="D18" s="460">
        <v>200</v>
      </c>
      <c r="E18" s="460">
        <f>ROUND((B$18*D18),0)</f>
        <v>2000</v>
      </c>
      <c r="G18" s="569">
        <f>ROUND(((E18*$T$14/100))+(E18*$V$25/100),2)</f>
        <v>133.26</v>
      </c>
      <c r="H18" s="569"/>
      <c r="I18" s="569">
        <f>$B$18*$T$17+V27</f>
        <v>267.36223609796559</v>
      </c>
      <c r="J18" s="474"/>
      <c r="K18" s="569">
        <f>ROUND((($E18*$V$14/100))+(($E18*$V$26)/100),2)</f>
        <v>135.12</v>
      </c>
      <c r="L18" s="569"/>
      <c r="M18" s="569">
        <f>$B$18*$V$17+V28</f>
        <v>271.01226556199606</v>
      </c>
      <c r="O18" s="463">
        <f>ROUND((K18-G18)/G18,4)</f>
        <v>1.4E-2</v>
      </c>
      <c r="P18" s="463"/>
      <c r="Q18" s="463">
        <f>ROUND((M18-I18)/I18,4)</f>
        <v>1.37E-2</v>
      </c>
      <c r="S18" s="567" t="s">
        <v>411</v>
      </c>
      <c r="T18" s="518">
        <f>'Billing Determinants'!G733</f>
        <v>17.5284179478029</v>
      </c>
      <c r="U18" s="519"/>
      <c r="V18" s="568">
        <f>'Billing Determinants'!J733</f>
        <v>17.789557750861658</v>
      </c>
    </row>
    <row r="19" spans="2:23">
      <c r="D19" s="460">
        <v>300</v>
      </c>
      <c r="E19" s="460">
        <f>ROUND((B$18*D19),0)</f>
        <v>3000</v>
      </c>
      <c r="G19" s="569">
        <f>ROUND(((E19*$T$14/100))+(E19*$V$25/100),2)</f>
        <v>199.89</v>
      </c>
      <c r="H19" s="569"/>
      <c r="I19" s="569">
        <f>$B$18*$T$17+V27</f>
        <v>267.36223609796559</v>
      </c>
      <c r="J19" s="474"/>
      <c r="K19" s="569">
        <f>ROUND((($E19*$V$14/100))+(($E19*$V$26)/100),2)</f>
        <v>202.68</v>
      </c>
      <c r="L19" s="569"/>
      <c r="M19" s="569">
        <f>$B$18*$V$17+V28</f>
        <v>271.01226556199606</v>
      </c>
      <c r="O19" s="463">
        <f>ROUND((K19-G19)/G19,4)</f>
        <v>1.4E-2</v>
      </c>
      <c r="P19" s="463"/>
      <c r="Q19" s="463">
        <f>ROUND((M19-I19)/I19,4)</f>
        <v>1.37E-2</v>
      </c>
      <c r="S19" s="567" t="s">
        <v>412</v>
      </c>
      <c r="T19" s="518">
        <f>'Billing Determinants'!G734</f>
        <v>13.717892306976186</v>
      </c>
      <c r="U19" s="519"/>
      <c r="V19" s="568">
        <f>'Billing Determinants'!J734</f>
        <v>13.922262587630865</v>
      </c>
    </row>
    <row r="20" spans="2:23">
      <c r="D20" s="460">
        <v>500</v>
      </c>
      <c r="E20" s="460">
        <f>ROUND((B$18*D20),0)</f>
        <v>5000</v>
      </c>
      <c r="G20" s="569">
        <f>ROUND(((E20*$T$14/100))+(E20*$V$25/100),2)</f>
        <v>333.15</v>
      </c>
      <c r="H20" s="569"/>
      <c r="I20" s="569">
        <f>$B$18*$T$17+V27</f>
        <v>267.36223609796559</v>
      </c>
      <c r="J20" s="474"/>
      <c r="K20" s="569">
        <f>ROUND((($E20*$V$14/100))+(($E20*$V$26)/100),2)</f>
        <v>337.8</v>
      </c>
      <c r="L20" s="569"/>
      <c r="M20" s="569">
        <f>$B$18*$V$17+V28</f>
        <v>271.01226556199606</v>
      </c>
      <c r="O20" s="463">
        <f>ROUND((K20-G20)/G20,4)</f>
        <v>1.4E-2</v>
      </c>
      <c r="P20" s="463"/>
      <c r="Q20" s="463">
        <f>ROUND((M20-I20)/I20,4)</f>
        <v>1.37E-2</v>
      </c>
      <c r="S20" s="567" t="s">
        <v>411</v>
      </c>
      <c r="T20" s="544">
        <f>'Billing Determinants'!G724</f>
        <v>357</v>
      </c>
      <c r="U20" s="519"/>
      <c r="V20" s="570">
        <f>'Billing Determinants'!J724</f>
        <v>362</v>
      </c>
    </row>
    <row r="21" spans="2:23">
      <c r="G21" s="569"/>
      <c r="H21" s="569"/>
      <c r="I21" s="569"/>
      <c r="J21" s="474"/>
      <c r="K21" s="569"/>
      <c r="L21" s="569"/>
      <c r="M21" s="569"/>
      <c r="S21" s="571" t="s">
        <v>412</v>
      </c>
      <c r="T21" s="572">
        <f>'Billing Determinants'!G725</f>
        <v>1457</v>
      </c>
      <c r="U21" s="573"/>
      <c r="V21" s="574">
        <f>'Billing Determinants'!J725</f>
        <v>1479</v>
      </c>
    </row>
    <row r="22" spans="2:23">
      <c r="B22" s="566" t="s">
        <v>375</v>
      </c>
      <c r="C22" s="455"/>
      <c r="G22" s="569"/>
      <c r="H22" s="569"/>
      <c r="I22" s="569"/>
      <c r="J22" s="474"/>
      <c r="K22" s="569"/>
      <c r="L22" s="569"/>
      <c r="M22" s="569"/>
      <c r="T22" s="467" t="s">
        <v>345</v>
      </c>
      <c r="U22" s="467"/>
      <c r="V22" s="468">
        <v>0.26900000000000002</v>
      </c>
    </row>
    <row r="23" spans="2:23">
      <c r="B23" s="438">
        <v>20</v>
      </c>
      <c r="D23" s="460">
        <v>200</v>
      </c>
      <c r="E23" s="460">
        <f>ROUND((B$23*D23),0)</f>
        <v>4000</v>
      </c>
      <c r="G23" s="569">
        <f>ROUND(((E23*$T$14/100))+(E23*$V$25/100),2)</f>
        <v>266.52</v>
      </c>
      <c r="H23" s="569"/>
      <c r="I23" s="569">
        <f>IF($B$23&lt;51,$B$23*$T$17,IF($B$23&lt;301,$B$23*$T$18+$T$20,$T$21+$T$19*$B$23))+V27</f>
        <v>519.07447219593121</v>
      </c>
      <c r="J23" s="474"/>
      <c r="K23" s="569">
        <f>ROUND((($E23*$V$14/100))+(($E23*$V$26)/100),2)</f>
        <v>270.24</v>
      </c>
      <c r="L23" s="569"/>
      <c r="M23" s="569">
        <f>IF($B$23&lt;51,$B$23*$V$17,IF($B$23&lt;301,$B$23*$V$18+$V$20,$V$21+$V$19*$B$23))+V28</f>
        <v>526.37453112399214</v>
      </c>
      <c r="O23" s="463">
        <f>ROUND((K23-G23)/G23,4)</f>
        <v>1.4E-2</v>
      </c>
      <c r="P23" s="463"/>
      <c r="Q23" s="463">
        <f>ROUND((M23-I23)/I23,4)</f>
        <v>1.41E-2</v>
      </c>
      <c r="T23" s="467"/>
      <c r="U23" s="467"/>
      <c r="V23" s="468">
        <v>0.26900000000000002</v>
      </c>
    </row>
    <row r="24" spans="2:23">
      <c r="D24" s="460">
        <v>300</v>
      </c>
      <c r="E24" s="460">
        <f>ROUND((B$23*D24),0)</f>
        <v>6000</v>
      </c>
      <c r="G24" s="569">
        <f>ROUND(((E24*$T$14/100))+(E24*$V$25/100),2)</f>
        <v>399.78</v>
      </c>
      <c r="H24" s="569"/>
      <c r="I24" s="569">
        <f>IF($B$23&lt;51,$B$23*$T$17,IF($B$23&lt;301,$B$23*$T$18+$T$20,$T$21+$T$19*$B$23))+V27</f>
        <v>519.07447219593121</v>
      </c>
      <c r="J24" s="474"/>
      <c r="K24" s="569">
        <f>ROUND((($E24*$V$14/100))+(($E24*$V$26)/100),2)</f>
        <v>405.36</v>
      </c>
      <c r="L24" s="569"/>
      <c r="M24" s="569">
        <f>IF($B$23&lt;51,$B$23*$V$17,IF($B$23&lt;301,$B$23*$V$18+$V$20,$V$21+$V$19*$B$23))+V28</f>
        <v>526.37453112399214</v>
      </c>
      <c r="O24" s="463">
        <f>ROUND((K24-G24)/G24,4)</f>
        <v>1.4E-2</v>
      </c>
      <c r="P24" s="463"/>
      <c r="Q24" s="463">
        <f>ROUND((M24-I24)/I24,4)</f>
        <v>1.41E-2</v>
      </c>
      <c r="T24" s="467"/>
      <c r="U24" s="467"/>
      <c r="V24" s="470"/>
    </row>
    <row r="25" spans="2:23">
      <c r="D25" s="460">
        <v>500</v>
      </c>
      <c r="E25" s="460">
        <f>ROUND((B$23*D25),0)</f>
        <v>10000</v>
      </c>
      <c r="G25" s="569">
        <f>ROUND(((E25*$T$14/100))+(E25*$V$25/100),2)</f>
        <v>666.3</v>
      </c>
      <c r="H25" s="569"/>
      <c r="I25" s="569">
        <f>IF($B$23&lt;51,$B$23*$T$17,IF($B$23&lt;301,$B$23*$T$18+$T$20,$T$21+$T$19*$B$23))+V27</f>
        <v>519.07447219593121</v>
      </c>
      <c r="J25" s="474"/>
      <c r="K25" s="569">
        <f>ROUND((($E25*$V$14/100))+(($E25*$V$26)/100),2)</f>
        <v>675.6</v>
      </c>
      <c r="L25" s="569"/>
      <c r="M25" s="569">
        <f>IF($B$23&lt;51,$B$23*$V$17,IF($B$23&lt;301,$B$23*$V$18+$V$20,$V$21+$V$19*$B$23))+V28</f>
        <v>526.37453112399214</v>
      </c>
      <c r="O25" s="463">
        <f>ROUND((K25-G25)/G25,4)</f>
        <v>1.4E-2</v>
      </c>
      <c r="P25" s="463"/>
      <c r="Q25" s="463">
        <f>ROUND((M25-I25)/I25,4)</f>
        <v>1.41E-2</v>
      </c>
      <c r="T25" s="467" t="s">
        <v>346</v>
      </c>
      <c r="U25" s="467"/>
      <c r="V25" s="468">
        <v>-0.42199999999999999</v>
      </c>
    </row>
    <row r="26" spans="2:23">
      <c r="G26" s="569"/>
      <c r="H26" s="569"/>
      <c r="I26" s="569"/>
      <c r="J26" s="474"/>
      <c r="K26" s="569"/>
      <c r="L26" s="569"/>
      <c r="M26" s="569"/>
      <c r="T26" s="438" t="s">
        <v>0</v>
      </c>
      <c r="U26" s="438" t="s">
        <v>0</v>
      </c>
      <c r="V26" s="471">
        <v>-0.42199999999999999</v>
      </c>
    </row>
    <row r="27" spans="2:23">
      <c r="B27" s="438">
        <v>100</v>
      </c>
      <c r="D27" s="460">
        <v>200</v>
      </c>
      <c r="E27" s="460">
        <f>ROUND((B$27*D27),0)</f>
        <v>20000</v>
      </c>
      <c r="G27" s="569">
        <f>ROUND(((E27*$T$14/100))+(E27*$V$25/100),2)</f>
        <v>1332.6</v>
      </c>
      <c r="H27" s="569"/>
      <c r="I27" s="569">
        <f>IF($B$27&lt;51,$B$27*$T$17,IF($B$27&lt;301,$B$27*$T$18+$T$20,$T$21+$T$19*$B$27))+V27</f>
        <v>2125.4917947802901</v>
      </c>
      <c r="J27" s="474"/>
      <c r="K27" s="569">
        <f>ROUND((($E27*$V$14/100))+(($E27*$V$26)/100),2)</f>
        <v>1351.2</v>
      </c>
      <c r="L27" s="569"/>
      <c r="M27" s="569">
        <f>IF($B$27&lt;51,$B$27*$V$17,IF($B$27&lt;301,$B$27*$V$18+$V$20,$V$21+$V$19*$B$27))+V28</f>
        <v>2156.605775086166</v>
      </c>
      <c r="O27" s="463">
        <f>ROUND((K27-G27)/G27,4)</f>
        <v>1.4E-2</v>
      </c>
      <c r="P27" s="463"/>
      <c r="Q27" s="463">
        <f>ROUND((M27-I27)/I27,4)</f>
        <v>1.46E-2</v>
      </c>
      <c r="T27" s="438" t="s">
        <v>397</v>
      </c>
      <c r="V27" s="520">
        <f>'Rate Design Low Inc Surcharge'!D19</f>
        <v>15.65</v>
      </c>
      <c r="W27" s="438" t="s">
        <v>0</v>
      </c>
    </row>
    <row r="28" spans="2:23">
      <c r="D28" s="460">
        <v>300</v>
      </c>
      <c r="E28" s="460">
        <f>ROUND((B$27*D28),0)</f>
        <v>30000</v>
      </c>
      <c r="G28" s="569">
        <f>ROUND(((E28*$T$14/100))+(E28*$V$25/100),2)</f>
        <v>1998.9</v>
      </c>
      <c r="H28" s="569"/>
      <c r="I28" s="569">
        <f>IF($B$27&lt;51,$B$27*$T$17,IF($B$27&lt;301,$B$27*$T$18+$T$20,$T$21+$T$19*$B$27))+V27</f>
        <v>2125.4917947802901</v>
      </c>
      <c r="J28" s="474"/>
      <c r="K28" s="569">
        <f>ROUND((($E28*$V$14/100))+(($E28*$V$26)/100),2)</f>
        <v>2026.8</v>
      </c>
      <c r="L28" s="569"/>
      <c r="M28" s="569">
        <f>IF($B$27&lt;51,$B$27*$V$17,IF($B$27&lt;301,$B$27*$V$18+$V$20,$V$21+$V$19*$B$27))+V28</f>
        <v>2156.605775086166</v>
      </c>
      <c r="O28" s="463">
        <f>ROUND((K28-G28)/G28,4)</f>
        <v>1.4E-2</v>
      </c>
      <c r="P28" s="463"/>
      <c r="Q28" s="463">
        <f>ROUND((M28-I28)/I28,4)</f>
        <v>1.46E-2</v>
      </c>
      <c r="T28" s="438" t="s">
        <v>384</v>
      </c>
      <c r="V28" s="520">
        <f>V27</f>
        <v>15.65</v>
      </c>
    </row>
    <row r="29" spans="2:23">
      <c r="D29" s="460">
        <v>500</v>
      </c>
      <c r="E29" s="460">
        <f>ROUND((B$27*D29),0)</f>
        <v>50000</v>
      </c>
      <c r="G29" s="569">
        <f>ROUND(((E29*$T$14/100))+(E29*$V$25/100),2)</f>
        <v>3331.5</v>
      </c>
      <c r="H29" s="569"/>
      <c r="I29" s="569">
        <f>IF($B$27&lt;51,$B$27*$T$17,IF($B$27&lt;301,$B$27*$T$18+$T$20,$T$21+$T$19*$B$27))+V27</f>
        <v>2125.4917947802901</v>
      </c>
      <c r="J29" s="474"/>
      <c r="K29" s="569">
        <f>ROUND((($E29*$V$14/100))+(($E29*$V$26)/100),2)</f>
        <v>3378</v>
      </c>
      <c r="L29" s="569"/>
      <c r="M29" s="569">
        <f>IF($B$27&lt;51,$B$27*$V$17,IF($B$27&lt;301,$B$27*$V$18+$V$20,$V$21+$V$19*$B$27))+V28</f>
        <v>2156.605775086166</v>
      </c>
      <c r="O29" s="463">
        <f>ROUND((K29-G29)/G29,4)</f>
        <v>1.4E-2</v>
      </c>
      <c r="P29" s="463"/>
      <c r="Q29" s="463">
        <f>ROUND((M29-I29)/I29,4)</f>
        <v>1.46E-2</v>
      </c>
    </row>
    <row r="30" spans="2:23">
      <c r="G30" s="569"/>
      <c r="H30" s="569"/>
      <c r="I30" s="569"/>
      <c r="J30" s="474"/>
      <c r="K30" s="569"/>
      <c r="L30" s="569"/>
      <c r="M30" s="569"/>
      <c r="T30" s="438" t="s">
        <v>73</v>
      </c>
      <c r="V30" s="438">
        <f>'Rate Spread Sch 92'!AB25</f>
        <v>-8.9999999999999993E-3</v>
      </c>
    </row>
    <row r="31" spans="2:23">
      <c r="B31" s="438">
        <v>300</v>
      </c>
      <c r="D31" s="460">
        <v>200</v>
      </c>
      <c r="E31" s="460">
        <f>ROUND((B$31*D31),0)</f>
        <v>60000</v>
      </c>
      <c r="G31" s="569">
        <f>ROUND(((E31*$T$14/100))+(E31*$V$25/100),2)</f>
        <v>3997.8</v>
      </c>
      <c r="H31" s="569"/>
      <c r="I31" s="569">
        <f>IF($B$31&lt;51,$B$31*$T$17,IF($B$31&lt;301,$B$31*$T$18+$T$20,$T$21+$T$19*$B$31))+V27</f>
        <v>5631.1753843408696</v>
      </c>
      <c r="J31" s="474"/>
      <c r="K31" s="569">
        <f>ROUND((($E31*$V$14/100))+(($E31*$V$26)/100),2)</f>
        <v>4053.6</v>
      </c>
      <c r="L31" s="569"/>
      <c r="M31" s="569">
        <f>IF($B$31&lt;51,$B$31*$V$17,IF($B$31&lt;301,$B$31*$V$18+$V$20,$V$21+$V$19*$B$31))+V28</f>
        <v>5714.5173252584973</v>
      </c>
      <c r="O31" s="463">
        <f>ROUND((K31-G31)/G31,4)</f>
        <v>1.4E-2</v>
      </c>
      <c r="P31" s="463"/>
      <c r="Q31" s="463">
        <f>ROUND((M31-I31)/I31,4)</f>
        <v>1.4800000000000001E-2</v>
      </c>
    </row>
    <row r="32" spans="2:23">
      <c r="D32" s="460">
        <v>300</v>
      </c>
      <c r="E32" s="460">
        <f>ROUND((B$31*D32),0)</f>
        <v>90000</v>
      </c>
      <c r="G32" s="569">
        <f>ROUND(((E32*$T$14/100))+(E32*$V$25/100),2)</f>
        <v>5996.7</v>
      </c>
      <c r="H32" s="569"/>
      <c r="I32" s="569">
        <f>IF($B$31&lt;51,$B$31*$T$17,IF($B$31&lt;301,$B$31*$T$18+$T$20,$T$21+$T$19*$B$31))+V27</f>
        <v>5631.1753843408696</v>
      </c>
      <c r="J32" s="474"/>
      <c r="K32" s="569">
        <f>ROUND((($E32*$V$14/100))+(($E32*$V$26)/100),2)</f>
        <v>6080.4</v>
      </c>
      <c r="L32" s="569"/>
      <c r="M32" s="569">
        <f>IF($B$31&lt;51,$B$31*$V$17,IF($B$31&lt;301,$B$31*$V$18+$V$20,$V$21+$V$19*$B$31))+V28</f>
        <v>5714.5173252584973</v>
      </c>
      <c r="O32" s="463">
        <f>ROUND((K32-G32)/G32,4)</f>
        <v>1.4E-2</v>
      </c>
      <c r="P32" s="463"/>
      <c r="Q32" s="463">
        <f>ROUND((M32-I32)/I32,4)</f>
        <v>1.4800000000000001E-2</v>
      </c>
    </row>
    <row r="33" spans="2:20">
      <c r="D33" s="460">
        <v>500</v>
      </c>
      <c r="E33" s="460">
        <f>ROUND((B$31*D33),0)</f>
        <v>150000</v>
      </c>
      <c r="G33" s="569">
        <f>ROUND(((E33*$T$14/100))+(E33*$V$25/100),2)</f>
        <v>9994.5</v>
      </c>
      <c r="H33" s="569"/>
      <c r="I33" s="569">
        <f>IF($B$31&lt;51,$B$31*$T$17,IF($B$31&lt;301,$B$31*$T$18+$T$20,$T$21+$T$19*$B$31))+V27</f>
        <v>5631.1753843408696</v>
      </c>
      <c r="J33" s="474"/>
      <c r="K33" s="569">
        <f>ROUND((($E33*$V$14/100))+(($E33*$V$26)/100),2)</f>
        <v>10134</v>
      </c>
      <c r="L33" s="569"/>
      <c r="M33" s="569">
        <f>IF($B$31&lt;51,$B$31*$V$17,IF($B$31&lt;301,$B$31*$V$18+$V$20,$V$21+$V$19*$B$31))+V28</f>
        <v>5714.5173252584973</v>
      </c>
      <c r="O33" s="463">
        <f>ROUND((K33-G33)/G33,4)</f>
        <v>1.4E-2</v>
      </c>
      <c r="P33" s="463"/>
      <c r="Q33" s="463">
        <f>ROUND((M33-I33)/I33,4)</f>
        <v>1.4800000000000001E-2</v>
      </c>
      <c r="S33" s="472" t="s">
        <v>385</v>
      </c>
      <c r="T33" s="550">
        <f>'Rate Spread combined'!V25</f>
        <v>1.384241248638316E-2</v>
      </c>
    </row>
    <row r="34" spans="2:20">
      <c r="B34" s="477"/>
      <c r="C34" s="477"/>
      <c r="D34" s="477"/>
      <c r="E34" s="477"/>
      <c r="F34" s="477"/>
      <c r="G34" s="477"/>
      <c r="H34" s="477"/>
      <c r="I34" s="477"/>
      <c r="J34" s="477"/>
      <c r="K34" s="477"/>
      <c r="L34" s="477"/>
      <c r="M34" s="477"/>
      <c r="N34" s="477"/>
      <c r="O34" s="477"/>
      <c r="P34" s="477"/>
      <c r="Q34" s="477"/>
      <c r="T34" s="551" t="s">
        <v>0</v>
      </c>
    </row>
    <row r="36" spans="2:20">
      <c r="C36" s="480"/>
    </row>
    <row r="37" spans="2:20">
      <c r="B37" s="438" t="s">
        <v>351</v>
      </c>
      <c r="C37" s="480"/>
    </row>
    <row r="38" spans="2:20">
      <c r="B38" s="575" t="s">
        <v>413</v>
      </c>
      <c r="C38" s="480"/>
    </row>
    <row r="39" spans="2:20">
      <c r="B39" s="480" t="s">
        <v>414</v>
      </c>
      <c r="C39" s="480"/>
    </row>
    <row r="40" spans="2:20">
      <c r="B40" s="480"/>
      <c r="C40" s="480"/>
    </row>
    <row r="41" spans="2:20">
      <c r="B41" s="480"/>
      <c r="C41" s="480"/>
    </row>
    <row r="42" spans="2:20">
      <c r="B42" s="480"/>
      <c r="C42" s="480"/>
    </row>
    <row r="43" spans="2:20">
      <c r="B43" s="480"/>
      <c r="C43" s="480"/>
    </row>
    <row r="44" spans="2:20">
      <c r="B44" s="480"/>
      <c r="C44" s="480"/>
    </row>
    <row r="45" spans="2:20">
      <c r="B45" s="480"/>
      <c r="C45" s="480"/>
    </row>
    <row r="46" spans="2:20">
      <c r="B46" s="480"/>
      <c r="C46" s="480"/>
    </row>
    <row r="47" spans="2:20">
      <c r="B47" s="480"/>
      <c r="C47" s="480"/>
    </row>
    <row r="48" spans="2:20">
      <c r="B48" s="480"/>
      <c r="C48" s="480"/>
      <c r="P48" s="474"/>
    </row>
    <row r="49" spans="2:3">
      <c r="B49" s="480"/>
      <c r="C49" s="480"/>
    </row>
    <row r="50" spans="2:3">
      <c r="B50" s="480"/>
      <c r="C50" s="480"/>
    </row>
    <row r="51" spans="2:3">
      <c r="B51" s="480"/>
      <c r="C51" s="480"/>
    </row>
  </sheetData>
  <mergeCells count="3">
    <mergeCell ref="G12:I12"/>
    <mergeCell ref="K12:M12"/>
    <mergeCell ref="O12:Q12"/>
  </mergeCells>
  <printOptions horizontalCentered="1"/>
  <pageMargins left="0.5" right="0.5" top="0.5" bottom="0.5" header="0.5" footer="0.5"/>
  <pageSetup scale="9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2014-05-01T07:00:00+00:00</OpenedDate>
    <Date1 xmlns="dc463f71-b30c-4ab2-9473-d307f9d35888">2015-03-30T07:00:00+00:00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00514-25EE-4686-8E17-E63CA47EAF4F}"/>
</file>

<file path=customXml/itemProps2.xml><?xml version="1.0" encoding="utf-8"?>
<ds:datastoreItem xmlns:ds="http://schemas.openxmlformats.org/officeDocument/2006/customXml" ds:itemID="{132996D4-12BD-4764-A49F-D62818D9C865}"/>
</file>

<file path=customXml/itemProps3.xml><?xml version="1.0" encoding="utf-8"?>
<ds:datastoreItem xmlns:ds="http://schemas.openxmlformats.org/officeDocument/2006/customXml" ds:itemID="{32F08F9B-F0F0-4F6A-8F1B-0D9B0898FB34}"/>
</file>

<file path=customXml/itemProps4.xml><?xml version="1.0" encoding="utf-8"?>
<ds:datastoreItem xmlns:ds="http://schemas.openxmlformats.org/officeDocument/2006/customXml" ds:itemID="{422E2DB0-57DB-4698-B1A2-6CBAAB39C9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Rate Spread GRC</vt:lpstr>
      <vt:lpstr>Rate Spread Sch 92</vt:lpstr>
      <vt:lpstr>Rate Spread combined</vt:lpstr>
      <vt:lpstr>Billing Determinants</vt:lpstr>
      <vt:lpstr>Bill Comparison Sch 16</vt:lpstr>
      <vt:lpstr>Bill Comparison Sch 17</vt:lpstr>
      <vt:lpstr>Bill Comparison Sch 24</vt:lpstr>
      <vt:lpstr>Bill Comparison Sch 36</vt:lpstr>
      <vt:lpstr>Bill Comparison Sch 40</vt:lpstr>
      <vt:lpstr>Bill Comp Sch 48 Sec</vt:lpstr>
      <vt:lpstr>Bill Comparison Sch 48 Pri</vt:lpstr>
      <vt:lpstr>Bill Comparison Ded</vt:lpstr>
      <vt:lpstr>Rate Design Low Inc Surcharge</vt:lpstr>
      <vt:lpstr>Rate Design Low Income Credit</vt:lpstr>
      <vt:lpstr>'Bill Comp Sch 48 Sec'!Print_Area</vt:lpstr>
      <vt:lpstr>'Bill Comparison Ded'!Print_Area</vt:lpstr>
      <vt:lpstr>'Bill Comparison Sch 16'!Print_Area</vt:lpstr>
      <vt:lpstr>'Bill Comparison Sch 17'!Print_Area</vt:lpstr>
      <vt:lpstr>'Bill Comparison Sch 24'!Print_Area</vt:lpstr>
      <vt:lpstr>'Bill Comparison Sch 36'!Print_Area</vt:lpstr>
      <vt:lpstr>'Bill Comparison Sch 40'!Print_Area</vt:lpstr>
      <vt:lpstr>'Bill Comparison Sch 48 Pri'!Print_Area</vt:lpstr>
      <vt:lpstr>'Billing Determinants'!Print_Area</vt:lpstr>
      <vt:lpstr>'Rate Design Low Inc Surcharge'!Print_Area</vt:lpstr>
      <vt:lpstr>'Rate Design Low Income Credit'!Print_Area</vt:lpstr>
      <vt:lpstr>'Rate Spread combined'!Print_Area</vt:lpstr>
      <vt:lpstr>'Rate Spread GRC'!Print_Area</vt:lpstr>
      <vt:lpstr>'Rate Spread Sch 92'!Print_Area</vt:lpstr>
      <vt:lpstr>'Billing Determinants'!Print_Titles</vt:lpstr>
      <vt:lpstr>'Rate Spread combined'!TABLEA</vt:lpstr>
      <vt:lpstr>'Rate Spread GRC'!TABLEA</vt:lpstr>
      <vt:lpstr>'Rate Spread Sch 92'!TABLEA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Zimmerman, Michael</cp:lastModifiedBy>
  <dcterms:created xsi:type="dcterms:W3CDTF">2015-03-27T20:17:03Z</dcterms:created>
  <dcterms:modified xsi:type="dcterms:W3CDTF">2015-03-27T20:18:50Z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