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025" activeTab="0"/>
  </bookViews>
  <sheets>
    <sheet name="Page 1" sheetId="1" r:id="rId1"/>
    <sheet name="Page 2" sheetId="2" r:id="rId2"/>
    <sheet name="Page 3" sheetId="3" r:id="rId3"/>
    <sheet name="Page 4" sheetId="4" r:id="rId4"/>
    <sheet name="Page 5" sheetId="5" r:id="rId5"/>
    <sheet name="Page 6" sheetId="6" r:id="rId6"/>
    <sheet name="Page 7" sheetId="7" r:id="rId7"/>
  </sheets>
  <definedNames>
    <definedName name="PC_Energy">'Page 1'!$D$26</definedName>
    <definedName name="_xlnm.Print_Area" localSheetId="0">'Page 1'!$A$3:$K$31</definedName>
    <definedName name="_xlnm.Print_Area" localSheetId="1">'Page 2'!$A$1:$C$23</definedName>
    <definedName name="_xlnm.Print_Area" localSheetId="2">'Page 3'!$A$1:$I$44</definedName>
    <definedName name="_xlnm.Print_Area" localSheetId="3">'Page 4'!$A$1:$C$17</definedName>
    <definedName name="_xlnm.Print_Area" localSheetId="4">'Page 5'!$A$3:$K$32</definedName>
    <definedName name="_xlnm.Print_Area" localSheetId="5">'Page 6'!$A$1:$I$44</definedName>
    <definedName name="_xlnm.Print_Area" localSheetId="6">'Page 7'!$A$1:$J$44</definedName>
  </definedNames>
  <calcPr fullCalcOnLoad="1"/>
</workbook>
</file>

<file path=xl/comments1.xml><?xml version="1.0" encoding="utf-8"?>
<comments xmlns="http://schemas.openxmlformats.org/spreadsheetml/2006/main">
  <authors>
    <author>Pam Rasanen</author>
  </authors>
  <commentList>
    <comment ref="K22" authorId="0">
      <text>
        <r>
          <rPr>
            <b/>
            <sz val="8"/>
            <rFont val="Tahoma"/>
            <family val="0"/>
          </rPr>
          <t>To:
Tab "Lighting Rate Calculations"</t>
        </r>
      </text>
    </comment>
    <comment ref="H26" authorId="0">
      <text>
        <r>
          <rPr>
            <b/>
            <sz val="8"/>
            <rFont val="Tahoma"/>
            <family val="0"/>
          </rPr>
          <t>Source:</t>
        </r>
        <r>
          <rPr>
            <sz val="8"/>
            <rFont val="Tahoma"/>
            <family val="0"/>
          </rPr>
          <t xml:space="preserve">
Revenue Requirement 
JHS-xx
</t>
        </r>
      </text>
    </comment>
  </commentList>
</comments>
</file>

<file path=xl/comments3.xml><?xml version="1.0" encoding="utf-8"?>
<comments xmlns="http://schemas.openxmlformats.org/spreadsheetml/2006/main">
  <authors>
    <author>Pam Rasanen</author>
  </authors>
  <commentList>
    <comment ref="F4" authorId="0">
      <text>
        <r>
          <rPr>
            <b/>
            <sz val="8"/>
            <rFont val="Tahoma"/>
            <family val="0"/>
          </rPr>
          <t xml:space="preserve">Source:  </t>
        </r>
        <r>
          <rPr>
            <sz val="8"/>
            <rFont val="Tahoma"/>
            <family val="2"/>
          </rPr>
          <t>Tab "Allocation of PCORC Rev Req"</t>
        </r>
      </text>
    </comment>
  </commentList>
</comments>
</file>

<file path=xl/comments5.xml><?xml version="1.0" encoding="utf-8"?>
<comments xmlns="http://schemas.openxmlformats.org/spreadsheetml/2006/main">
  <authors>
    <author>Pam Rasanen</author>
  </authors>
  <commentList>
    <comment ref="K22" authorId="0">
      <text>
        <r>
          <rPr>
            <b/>
            <sz val="8"/>
            <rFont val="Tahoma"/>
            <family val="0"/>
          </rPr>
          <t>To:
Tab "Lighting Rate Calculations"</t>
        </r>
      </text>
    </comment>
    <comment ref="H26" authorId="0">
      <text>
        <r>
          <rPr>
            <b/>
            <sz val="8"/>
            <rFont val="Tahoma"/>
            <family val="0"/>
          </rPr>
          <t>Source:</t>
        </r>
        <r>
          <rPr>
            <sz val="8"/>
            <rFont val="Tahoma"/>
            <family val="0"/>
          </rPr>
          <t xml:space="preserve">
Revenue Requirement 
JHS-xx
</t>
        </r>
      </text>
    </comment>
  </commentList>
</comments>
</file>

<file path=xl/sharedStrings.xml><?xml version="1.0" encoding="utf-8"?>
<sst xmlns="http://schemas.openxmlformats.org/spreadsheetml/2006/main" count="210" uniqueCount="86">
  <si>
    <t>Customer Class</t>
  </si>
  <si>
    <t>e = b + d
Weighted
Allocation</t>
  </si>
  <si>
    <t>f
Revenue Requirement</t>
  </si>
  <si>
    <t>i = 
(g / h) * 100
Sch 95
¢ per kWh</t>
  </si>
  <si>
    <t>Residential</t>
  </si>
  <si>
    <t>Sec Gen Svc - Small</t>
  </si>
  <si>
    <t>Sec Gen Svc - Medium</t>
  </si>
  <si>
    <t>Sec Gen Svc - Large</t>
  </si>
  <si>
    <t>Sec Irrigation Svc</t>
  </si>
  <si>
    <t>Pri Gen Svc</t>
  </si>
  <si>
    <t>Pri Irrigation Svc</t>
  </si>
  <si>
    <t>Pri Interruptible Svc</t>
  </si>
  <si>
    <t>HV - Sch 46</t>
  </si>
  <si>
    <t>HV - Sch 49</t>
  </si>
  <si>
    <t>Lights</t>
  </si>
  <si>
    <t>Firm Resale - Small</t>
  </si>
  <si>
    <t>Subtotal</t>
  </si>
  <si>
    <t>Transportation</t>
  </si>
  <si>
    <t>Total</t>
  </si>
  <si>
    <t>Puget Sound Energy</t>
  </si>
  <si>
    <t>CUSTOMER CLASS</t>
  </si>
  <si>
    <t>SCHEDULE</t>
  </si>
  <si>
    <t>e = a * c
Increase / Decrease 
$</t>
  </si>
  <si>
    <t>f = e / b
Increase / Decrease
%</t>
  </si>
  <si>
    <t>Secondary Service Total</t>
  </si>
  <si>
    <t>Primary Service Total</t>
  </si>
  <si>
    <t>HV Interruptible Svc</t>
  </si>
  <si>
    <t>HV Gen Svc</t>
  </si>
  <si>
    <t>High Voltage Service Total</t>
  </si>
  <si>
    <t>Small Firm Resale</t>
  </si>
  <si>
    <t>005</t>
  </si>
  <si>
    <t>Excluded Schedules</t>
  </si>
  <si>
    <t>449 / 459</t>
  </si>
  <si>
    <t>b =
a * 86%
Energy</t>
  </si>
  <si>
    <t>d =
c * 14% 
Demand</t>
  </si>
  <si>
    <t>g = e * f
2005
PCA
Rev Req</t>
  </si>
  <si>
    <t>h
kWh
04/04 to 03/05</t>
  </si>
  <si>
    <t>b
Pro forma
Revenue @
Rates Effective
3-4-05</t>
  </si>
  <si>
    <t>c
Schedule 95
¢ per kWh
@ 2006</t>
  </si>
  <si>
    <t>d = b +e
Proposed
Revenue
(Incl. Sch 95)
@ 2006</t>
  </si>
  <si>
    <t>a
UE-040640
Energy
Allocato1</t>
  </si>
  <si>
    <t>c
UE-040641
Demand
Allocator</t>
  </si>
  <si>
    <t>Primary Voltage</t>
  </si>
  <si>
    <t>Line No.</t>
  </si>
  <si>
    <t>a
kWh
04/04 to 03/05</t>
  </si>
  <si>
    <t>Transportation Special Contract</t>
  </si>
  <si>
    <t>Schedule 40 Total</t>
  </si>
  <si>
    <t>Medium Secondary Voltage</t>
  </si>
  <si>
    <t>Large Secondary Voltage</t>
  </si>
  <si>
    <t>Description of Calculations on Exhibit</t>
  </si>
  <si>
    <t xml:space="preserve">Page No. </t>
  </si>
  <si>
    <t>Column No.</t>
  </si>
  <si>
    <t>Description</t>
  </si>
  <si>
    <t>Schedule level total demand during the top 200 hours of system demand for the GRC test period.</t>
  </si>
  <si>
    <t>Test year pro forma volumes (YE 3/05) for each schedule.</t>
  </si>
  <si>
    <t>Column (a)</t>
  </si>
  <si>
    <t>Column (b)</t>
  </si>
  <si>
    <t>Column (c)</t>
  </si>
  <si>
    <t>Column (d)</t>
  </si>
  <si>
    <t>Column (e)</t>
  </si>
  <si>
    <t>Column (f)</t>
  </si>
  <si>
    <t>Column (g)</t>
  </si>
  <si>
    <t>Column (h)</t>
  </si>
  <si>
    <t>Column (i)</t>
  </si>
  <si>
    <t>Total annual kWh consumption for each schedule for the GRC (Docket No. UE-040641) test period</t>
  </si>
  <si>
    <t>Cents / kWh amount to be charged to customers on each of the applicable schedules is shown in and is equal to Column (g) divided by the test year pro forma volumes (YE 3/05) for each schedule as shown in Column (h).</t>
  </si>
  <si>
    <t>Statement of Proforma and Proposed Revenues for Power Cost Adjustment</t>
  </si>
  <si>
    <t>g = e * f
2005
PTC
Rev Req</t>
  </si>
  <si>
    <t>Statement of Proforma and Proposed Revenues for Production Tax Credit</t>
  </si>
  <si>
    <t>c
Schedule 95-A
¢ per kWh
@ 2006</t>
  </si>
  <si>
    <t>d = b +e
Proposed
Revenue
(Incl. Sch 95-A)
@ 2006</t>
  </si>
  <si>
    <t>c
Proposed Schedule 95 Revenue (PCA)</t>
  </si>
  <si>
    <t>d
Proposed Schedule 95-A Revenue (PTC)</t>
  </si>
  <si>
    <t>f = e - b
Increase / Decrease 
$</t>
  </si>
  <si>
    <t>g = f / b
Increase / Decrease
%</t>
  </si>
  <si>
    <t>Summary Statement of Proforma and Proposed Revenue</t>
  </si>
  <si>
    <t>Percent increase by rate schedule resulting from the division of the proposed power cost or production tax credit revenue requirement in Column (e) by the proforma revenue in Column (b)</t>
  </si>
  <si>
    <t>Test year proposed revenue resulting from the summation of the proposed power cost or production tax credit revenue requirement in Column (e) and the proforma revenue in Column (b).</t>
  </si>
  <si>
    <t>Pages 3 &amp; 6</t>
  </si>
  <si>
    <t>The proposed power cost or production tax credit revenue requirement, by rate schedule, from JHS-8.</t>
  </si>
  <si>
    <t>Pages 1 &amp; 5</t>
  </si>
  <si>
    <t>e = b +c + d
Proposed
Revenue
(Incl. Sch 95 &amp; 95-A)</t>
  </si>
  <si>
    <t>Cents / kWh amount to be charged to customers on each of the applicable schedules from SJC-5, page 1 or 5, Column (i)</t>
  </si>
  <si>
    <t>Test year pro forma revenue (billing determinants from YE 3/05 and rates effective 3-4-05) for each schedule.</t>
  </si>
  <si>
    <t>Allocation of Power Cost Revenue Requirement</t>
  </si>
  <si>
    <t>Allocation of Production Tax Credit Revenue Requirement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</si>
</sst>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0_);_(* \(#,##0.000000\);_(* &quot;-&quot;??_);_(@_)"/>
    <numFmt numFmtId="166" formatCode="_(&quot;$&quot;* #,##0_);_(&quot;$&quot;* \(#,##0\);_(&quot;$&quot;* &quot;-&quot;??_);_(@_)"/>
    <numFmt numFmtId="167" formatCode="0.0000\ \¢"/>
    <numFmt numFmtId="168" formatCode="0.000%"/>
    <numFmt numFmtId="169" formatCode="_(&quot;$&quot;* #,##0.000000_);_(&quot;$&quot;* \(#,##0.000000\);_(&quot;$&quot;* &quot;-&quot;??_);_(@_)"/>
    <numFmt numFmtId="170" formatCode="_(&quot;$&quot;* #,##0.00000_);_(&quot;$&quot;* \(#,##0.00000\);_(&quot;$&quot;* &quot;-&quot;??_);_(@_)"/>
    <numFmt numFmtId="171" formatCode="_(* #,##0.0000000_);_(* \(#,##0.0000000\);_(* &quot;-&quot;_);_(@_)"/>
    <numFmt numFmtId="172" formatCode="_(* #,##0.0000000_);_(* \(#,##0.0000000\);_(* &quot;-&quot;??_);_(@_)"/>
    <numFmt numFmtId="173" formatCode="0.0000%"/>
    <numFmt numFmtId="174" formatCode="_(&quot;$&quot;* #,##0.0_);_(&quot;$&quot;* \(#,##0.0\);_(&quot;$&quot;* &quot;-&quot;??_);_(@_)"/>
    <numFmt numFmtId="175" formatCode="_(* #,##0.0_);_(* \(#,##0.0\);_(* &quot;-&quot;??_);_(@_)"/>
    <numFmt numFmtId="176" formatCode="0.00000\ \¢"/>
    <numFmt numFmtId="177" formatCode="0.0000\¢"/>
    <numFmt numFmtId="178" formatCode="0.00_)"/>
    <numFmt numFmtId="179" formatCode="_(* #,##0.000000_);_(* \(#,##0.000000\);_(* &quot;-&quot;??????_);_(@_)"/>
    <numFmt numFmtId="180" formatCode="_(* #,##0.000_);_(* \(#,##0.000\);_(* &quot;-&quot;??_);_(@_)"/>
    <numFmt numFmtId="181" formatCode="_(* #,##0.0000_);_(* \(#,##0.0000\);_(* &quot;-&quot;??_);_(@_)"/>
    <numFmt numFmtId="182" formatCode="_(* #,##0.00000_);_(* \(#,##0.00000\);_(* &quot;-&quot;??_);_(@_)"/>
    <numFmt numFmtId="183" formatCode="0.0000"/>
    <numFmt numFmtId="184" formatCode="_(* #,##0.0_);_(* \(#,##0.0\);_(* &quot;-&quot;_);_(@_)"/>
    <numFmt numFmtId="185" formatCode="_(* #,##0.00000_);_(* \(#,##0.00000\);_(* &quot;-&quot;?????_);_(@_)"/>
    <numFmt numFmtId="186" formatCode="_(* #,##0.0000_);_(* \(#,##0.0000\);_(* &quot;-&quot;????_);_(@_)"/>
    <numFmt numFmtId="187" formatCode="_(&quot;$&quot;* #,##0.000_);_(&quot;$&quot;* \(#,##0.000\);_(&quot;$&quot;* &quot;-&quot;??_);_(@_)"/>
    <numFmt numFmtId="188" formatCode="_(&quot;$&quot;* #,##0.0000_);_(&quot;$&quot;* \(#,##0.0000\);_(&quot;$&quot;* &quot;-&quot;??_);_(@_)"/>
    <numFmt numFmtId="189" formatCode="_(&quot;$&quot;* #,##0.0000000_);_(&quot;$&quot;* \(#,##0.0000000\);_(&quot;$&quot;* &quot;-&quot;??_);_(@_)"/>
    <numFmt numFmtId="190" formatCode="_(&quot;$&quot;* #,##0.00000000_);_(&quot;$&quot;* \(#,##0.00000000\);_(&quot;$&quot;* &quot;-&quot;??_);_(@_)"/>
    <numFmt numFmtId="191" formatCode="0.0%"/>
  </numFmts>
  <fonts count="10">
    <font>
      <sz val="10"/>
      <name val="Arial"/>
      <family val="0"/>
    </font>
    <font>
      <sz val="10"/>
      <color indexed="12"/>
      <name val="Arial"/>
      <family val="2"/>
    </font>
    <font>
      <b/>
      <sz val="8"/>
      <name val="Tahoma"/>
      <family val="0"/>
    </font>
    <font>
      <sz val="8"/>
      <name val="Tahoma"/>
      <family val="0"/>
    </font>
    <font>
      <u val="single"/>
      <sz val="10"/>
      <color indexed="12"/>
      <name val="MS Sans Serif"/>
      <family val="0"/>
    </font>
    <font>
      <u val="single"/>
      <sz val="10"/>
      <color indexed="36"/>
      <name val="Arial"/>
      <family val="0"/>
    </font>
    <font>
      <sz val="8"/>
      <name val="Arial"/>
      <family val="0"/>
    </font>
    <font>
      <b/>
      <sz val="10"/>
      <name val="Arial"/>
      <family val="0"/>
    </font>
    <font>
      <b/>
      <i/>
      <sz val="16"/>
      <name val="Helv"/>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right style="thin"/>
      <top style="thin"/>
      <bottom style="thin"/>
    </border>
    <border>
      <left>
        <color indexed="63"/>
      </left>
      <right style="hair"/>
      <top>
        <color indexed="63"/>
      </top>
      <bottom style="thin"/>
    </border>
    <border>
      <left>
        <color indexed="63"/>
      </left>
      <right style="hair"/>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4" fillId="0" borderId="0" applyNumberFormat="0" applyFill="0" applyBorder="0" applyAlignment="0" applyProtection="0"/>
    <xf numFmtId="10" fontId="6" fillId="3" borderId="1" applyNumberFormat="0" applyBorder="0" applyAlignment="0" applyProtection="0"/>
    <xf numFmtId="44" fontId="7" fillId="0" borderId="2" applyNumberFormat="0" applyFont="0" applyAlignment="0">
      <protection/>
    </xf>
    <xf numFmtId="44" fontId="7" fillId="0" borderId="3" applyNumberFormat="0" applyFont="0" applyAlignment="0">
      <protection/>
    </xf>
    <xf numFmtId="178" fontId="8" fillId="0" borderId="0">
      <alignment/>
      <protection/>
    </xf>
    <xf numFmtId="9" fontId="0" fillId="0" borderId="0" applyFont="0" applyFill="0" applyBorder="0" applyAlignment="0" applyProtection="0"/>
    <xf numFmtId="10" fontId="0" fillId="0" borderId="0" applyFont="0" applyFill="0" applyBorder="0" applyAlignment="0" applyProtection="0"/>
    <xf numFmtId="184" fontId="0" fillId="0" borderId="0" applyFont="0" applyFill="0" applyAlignment="0">
      <protection/>
    </xf>
  </cellStyleXfs>
  <cellXfs count="88">
    <xf numFmtId="0" fontId="0" fillId="0" borderId="0" xfId="0" applyAlignment="1">
      <alignment/>
    </xf>
    <xf numFmtId="164" fontId="0" fillId="0" borderId="4" xfId="15" applyNumberFormat="1" applyBorder="1" applyAlignment="1">
      <alignment/>
    </xf>
    <xf numFmtId="0" fontId="0" fillId="0" borderId="4" xfId="0" applyBorder="1" applyAlignment="1">
      <alignment/>
    </xf>
    <xf numFmtId="0" fontId="0" fillId="0" borderId="0" xfId="0" applyBorder="1" applyAlignment="1">
      <alignment/>
    </xf>
    <xf numFmtId="0" fontId="1" fillId="0" borderId="0" xfId="0" applyFont="1" applyBorder="1" applyAlignment="1">
      <alignment/>
    </xf>
    <xf numFmtId="164" fontId="0" fillId="0" borderId="0" xfId="15" applyNumberFormat="1" applyBorder="1" applyAlignment="1">
      <alignment/>
    </xf>
    <xf numFmtId="0" fontId="0" fillId="0" borderId="5" xfId="0" applyBorder="1" applyAlignment="1">
      <alignment/>
    </xf>
    <xf numFmtId="0" fontId="0" fillId="0" borderId="6" xfId="0" applyBorder="1" applyAlignment="1">
      <alignment horizontal="center" wrapText="1"/>
    </xf>
    <xf numFmtId="0" fontId="0" fillId="0" borderId="7" xfId="0" applyBorder="1" applyAlignment="1" quotePrefix="1">
      <alignment horizontal="center" wrapText="1"/>
    </xf>
    <xf numFmtId="0" fontId="0" fillId="0" borderId="8" xfId="0" applyBorder="1" applyAlignment="1" quotePrefix="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164" fontId="0" fillId="0" borderId="0" xfId="15" applyNumberFormat="1" applyBorder="1" applyAlignment="1">
      <alignment horizontal="center" wrapText="1"/>
    </xf>
    <xf numFmtId="0" fontId="0" fillId="0" borderId="0" xfId="0" applyBorder="1" applyAlignment="1" quotePrefix="1">
      <alignment horizontal="center" wrapText="1"/>
    </xf>
    <xf numFmtId="0" fontId="0" fillId="0" borderId="5" xfId="0" applyBorder="1" applyAlignment="1">
      <alignment horizontal="center" wrapText="1"/>
    </xf>
    <xf numFmtId="165" fontId="0" fillId="0" borderId="0" xfId="15" applyNumberFormat="1" applyBorder="1" applyAlignment="1">
      <alignment/>
    </xf>
    <xf numFmtId="165" fontId="0" fillId="0" borderId="0" xfId="0" applyNumberFormat="1" applyBorder="1" applyAlignment="1">
      <alignment/>
    </xf>
    <xf numFmtId="166" fontId="0" fillId="0" borderId="0" xfId="17" applyNumberFormat="1" applyBorder="1" applyAlignment="1">
      <alignment/>
    </xf>
    <xf numFmtId="167" fontId="0" fillId="0" borderId="5" xfId="17" applyNumberFormat="1" applyBorder="1" applyAlignment="1">
      <alignment horizontal="center"/>
    </xf>
    <xf numFmtId="166" fontId="0" fillId="0" borderId="0" xfId="17" applyNumberFormat="1" applyBorder="1" applyAlignment="1">
      <alignment/>
    </xf>
    <xf numFmtId="167" fontId="0" fillId="0" borderId="5" xfId="0" applyNumberFormat="1" applyBorder="1" applyAlignment="1">
      <alignment horizontal="center"/>
    </xf>
    <xf numFmtId="166" fontId="1" fillId="0" borderId="0" xfId="0" applyNumberFormat="1" applyFont="1" applyBorder="1" applyAlignment="1">
      <alignment/>
    </xf>
    <xf numFmtId="166" fontId="1" fillId="0" borderId="0" xfId="17" applyNumberFormat="1" applyFont="1" applyFill="1" applyBorder="1" applyAlignment="1">
      <alignment/>
    </xf>
    <xf numFmtId="166" fontId="0" fillId="0" borderId="0" xfId="0" applyNumberFormat="1" applyBorder="1" applyAlignment="1">
      <alignment/>
    </xf>
    <xf numFmtId="0" fontId="0" fillId="0" borderId="5" xfId="0" applyBorder="1" applyAlignment="1">
      <alignment horizontal="center"/>
    </xf>
    <xf numFmtId="166" fontId="0" fillId="0" borderId="5" xfId="0" applyNumberFormat="1" applyBorder="1" applyAlignment="1">
      <alignment/>
    </xf>
    <xf numFmtId="164" fontId="0" fillId="0" borderId="7" xfId="15" applyNumberFormat="1" applyBorder="1" applyAlignment="1">
      <alignment/>
    </xf>
    <xf numFmtId="0" fontId="0" fillId="0" borderId="7" xfId="0" applyBorder="1" applyAlignment="1">
      <alignment/>
    </xf>
    <xf numFmtId="166" fontId="0" fillId="0" borderId="7" xfId="0" applyNumberFormat="1" applyBorder="1" applyAlignment="1">
      <alignment/>
    </xf>
    <xf numFmtId="164" fontId="0" fillId="0" borderId="7" xfId="0" applyNumberFormat="1" applyBorder="1" applyAlignment="1">
      <alignment/>
    </xf>
    <xf numFmtId="0" fontId="0" fillId="0" borderId="8" xfId="0" applyBorder="1" applyAlignment="1">
      <alignment/>
    </xf>
    <xf numFmtId="164" fontId="0" fillId="0" borderId="0" xfId="0" applyNumberFormat="1" applyBorder="1" applyAlignment="1">
      <alignment/>
    </xf>
    <xf numFmtId="43" fontId="0" fillId="0" borderId="0" xfId="0" applyNumberFormat="1" applyBorder="1" applyAlignment="1">
      <alignment/>
    </xf>
    <xf numFmtId="0" fontId="0" fillId="0" borderId="0" xfId="0" applyBorder="1" applyAlignment="1">
      <alignment horizontal="center"/>
    </xf>
    <xf numFmtId="0" fontId="0" fillId="0" borderId="7" xfId="0" applyBorder="1" applyAlignment="1">
      <alignment horizontal="center" wrapText="1"/>
    </xf>
    <xf numFmtId="164" fontId="0" fillId="0" borderId="7" xfId="15" applyNumberFormat="1" applyFont="1" applyFill="1" applyBorder="1" applyAlignment="1" quotePrefix="1">
      <alignment horizontal="center" wrapText="1"/>
    </xf>
    <xf numFmtId="0" fontId="0" fillId="0" borderId="7" xfId="0" applyFont="1" applyFill="1" applyBorder="1" applyAlignment="1" quotePrefix="1">
      <alignment horizontal="center" wrapText="1"/>
    </xf>
    <xf numFmtId="164" fontId="0" fillId="0" borderId="7" xfId="15" applyNumberFormat="1" applyFont="1" applyBorder="1" applyAlignment="1" quotePrefix="1">
      <alignment horizontal="center" wrapText="1"/>
    </xf>
    <xf numFmtId="0" fontId="0" fillId="0" borderId="8" xfId="0" applyBorder="1" applyAlignment="1">
      <alignment horizontal="center" wrapText="1"/>
    </xf>
    <xf numFmtId="167" fontId="0" fillId="0" borderId="0" xfId="0" applyNumberFormat="1" applyBorder="1" applyAlignment="1">
      <alignment/>
    </xf>
    <xf numFmtId="168" fontId="0" fillId="0" borderId="5" xfId="0" applyNumberFormat="1" applyBorder="1" applyAlignment="1">
      <alignment/>
    </xf>
    <xf numFmtId="168" fontId="0" fillId="0" borderId="0" xfId="0" applyNumberFormat="1" applyBorder="1" applyAlignment="1">
      <alignment/>
    </xf>
    <xf numFmtId="0" fontId="0" fillId="0" borderId="0" xfId="0" applyBorder="1" applyAlignment="1" quotePrefix="1">
      <alignment horizontal="center"/>
    </xf>
    <xf numFmtId="0" fontId="0" fillId="0" borderId="7" xfId="0" applyBorder="1" applyAlignment="1">
      <alignment horizontal="center"/>
    </xf>
    <xf numFmtId="0" fontId="0" fillId="0" borderId="0" xfId="0" applyBorder="1" applyAlignment="1">
      <alignment horizontal="left"/>
    </xf>
    <xf numFmtId="0" fontId="0" fillId="0" borderId="0" xfId="0" applyBorder="1" applyAlignment="1" quotePrefix="1">
      <alignment horizontal="left" indent="1"/>
    </xf>
    <xf numFmtId="0" fontId="0" fillId="0" borderId="0" xfId="0" applyBorder="1" applyAlignment="1">
      <alignment horizontal="left" indent="1"/>
    </xf>
    <xf numFmtId="0" fontId="0" fillId="0" borderId="0" xfId="0" applyBorder="1" applyAlignment="1" quotePrefix="1">
      <alignment horizontal="left"/>
    </xf>
    <xf numFmtId="0" fontId="0" fillId="0" borderId="0" xfId="0" applyBorder="1" applyAlignment="1" quotePrefix="1">
      <alignment/>
    </xf>
    <xf numFmtId="0" fontId="0" fillId="0" borderId="9"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166" fontId="0" fillId="0" borderId="7" xfId="17" applyNumberFormat="1" applyBorder="1" applyAlignment="1">
      <alignment/>
    </xf>
    <xf numFmtId="0" fontId="0" fillId="0" borderId="0" xfId="0" applyAlignment="1">
      <alignment horizontal="left" vertical="center" wrapText="1"/>
    </xf>
    <xf numFmtId="0" fontId="0" fillId="0" borderId="0" xfId="0" applyAlignment="1" quotePrefix="1">
      <alignment horizontal="left" vertical="center" wrapText="1"/>
    </xf>
    <xf numFmtId="0" fontId="0" fillId="0" borderId="11" xfId="0" applyBorder="1" applyAlignment="1">
      <alignment/>
    </xf>
    <xf numFmtId="0" fontId="0" fillId="0" borderId="0" xfId="0" applyFill="1" applyBorder="1" applyAlignment="1" quotePrefix="1">
      <alignment horizontal="left"/>
    </xf>
    <xf numFmtId="10" fontId="0" fillId="0" borderId="5" xfId="26" applyNumberFormat="1" applyBorder="1" applyAlignment="1">
      <alignment/>
    </xf>
    <xf numFmtId="0" fontId="0" fillId="0" borderId="12" xfId="0" applyBorder="1" applyAlignment="1">
      <alignment horizontal="center" wrapText="1"/>
    </xf>
    <xf numFmtId="0" fontId="0" fillId="0" borderId="13" xfId="0" applyBorder="1" applyAlignment="1">
      <alignment horizontal="center" wrapText="1"/>
    </xf>
    <xf numFmtId="164" fontId="0" fillId="0" borderId="13" xfId="15" applyNumberFormat="1" applyFont="1" applyBorder="1" applyAlignment="1" quotePrefix="1">
      <alignment horizontal="center" wrapText="1"/>
    </xf>
    <xf numFmtId="0" fontId="0" fillId="0" borderId="13" xfId="0" applyBorder="1" applyAlignment="1" quotePrefix="1">
      <alignment horizontal="center" wrapText="1"/>
    </xf>
    <xf numFmtId="0" fontId="0" fillId="0" borderId="13" xfId="0" applyFont="1" applyBorder="1" applyAlignment="1" quotePrefix="1">
      <alignment horizontal="center" wrapText="1"/>
    </xf>
    <xf numFmtId="0" fontId="0" fillId="0" borderId="14" xfId="0" applyBorder="1" applyAlignment="1" quotePrefix="1">
      <alignment horizontal="center" wrapText="1"/>
    </xf>
    <xf numFmtId="167" fontId="0" fillId="0" borderId="8" xfId="17" applyNumberFormat="1" applyBorder="1" applyAlignment="1">
      <alignment horizontal="center"/>
    </xf>
    <xf numFmtId="0" fontId="7" fillId="0" borderId="9" xfId="0" applyFont="1" applyBorder="1" applyAlignment="1">
      <alignment horizontal="center"/>
    </xf>
    <xf numFmtId="0" fontId="7" fillId="0" borderId="0" xfId="0" applyFont="1" applyAlignment="1">
      <alignment horizontal="centerContinuous" wrapText="1"/>
    </xf>
    <xf numFmtId="0" fontId="7" fillId="0" borderId="10" xfId="0" applyFont="1" applyBorder="1" applyAlignment="1">
      <alignment horizontal="centerContinuous"/>
    </xf>
    <xf numFmtId="0" fontId="7" fillId="0" borderId="4" xfId="0" applyFont="1" applyBorder="1" applyAlignment="1">
      <alignment horizontal="centerContinuous"/>
    </xf>
    <xf numFmtId="0" fontId="7" fillId="0" borderId="15" xfId="0" applyFont="1" applyBorder="1" applyAlignment="1">
      <alignment horizontal="centerContinuous"/>
    </xf>
    <xf numFmtId="0" fontId="7" fillId="0" borderId="0" xfId="0" applyFont="1" applyBorder="1" applyAlignment="1">
      <alignment/>
    </xf>
    <xf numFmtId="0" fontId="7" fillId="0" borderId="9" xfId="0" applyFont="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0" fontId="7" fillId="0" borderId="0" xfId="0" applyFont="1" applyBorder="1" applyAlignment="1">
      <alignment horizontal="center"/>
    </xf>
    <xf numFmtId="164" fontId="7" fillId="0" borderId="0" xfId="15" applyNumberFormat="1" applyFont="1" applyBorder="1" applyAlignment="1">
      <alignment/>
    </xf>
    <xf numFmtId="0" fontId="7" fillId="0" borderId="5" xfId="0" applyFont="1" applyBorder="1" applyAlignment="1">
      <alignment/>
    </xf>
    <xf numFmtId="0" fontId="0" fillId="0" borderId="0" xfId="0" applyFont="1" applyAlignment="1">
      <alignment horizontal="centerContinuous" wrapText="1"/>
    </xf>
    <xf numFmtId="0" fontId="7" fillId="0" borderId="10" xfId="0" applyFont="1" applyBorder="1" applyAlignment="1">
      <alignment horizontal="center"/>
    </xf>
    <xf numFmtId="0" fontId="7" fillId="0" borderId="4" xfId="0" applyFont="1" applyBorder="1" applyAlignment="1">
      <alignment/>
    </xf>
    <xf numFmtId="0" fontId="7" fillId="0" borderId="15" xfId="0" applyFont="1" applyBorder="1" applyAlignment="1">
      <alignment/>
    </xf>
    <xf numFmtId="0" fontId="7" fillId="0" borderId="9" xfId="0" applyFont="1" applyBorder="1" applyAlignment="1">
      <alignment horizontal="center"/>
    </xf>
    <xf numFmtId="0" fontId="7" fillId="0" borderId="0" xfId="0" applyFont="1" applyAlignment="1">
      <alignment/>
    </xf>
    <xf numFmtId="0" fontId="7" fillId="0" borderId="5" xfId="0" applyFont="1" applyBorder="1" applyAlignment="1">
      <alignment/>
    </xf>
    <xf numFmtId="0" fontId="0" fillId="0" borderId="6" xfId="0" applyBorder="1" applyAlignment="1">
      <alignment horizontal="center"/>
    </xf>
    <xf numFmtId="0" fontId="0" fillId="0" borderId="7" xfId="0" applyBorder="1" applyAlignment="1">
      <alignment/>
    </xf>
    <xf numFmtId="0" fontId="0" fillId="0" borderId="8" xfId="0" applyBorder="1" applyAlignment="1">
      <alignment/>
    </xf>
    <xf numFmtId="0" fontId="7" fillId="0" borderId="0" xfId="0" applyFont="1" applyBorder="1" applyAlignment="1">
      <alignment/>
    </xf>
  </cellXfs>
  <cellStyles count="15">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modified border" xfId="23"/>
    <cellStyle name="modified border1" xfId="24"/>
    <cellStyle name="Normal - Style1" xfId="25"/>
    <cellStyle name="Percent" xfId="26"/>
    <cellStyle name="Percent [2]" xfId="27"/>
    <cellStyle name="round10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N36"/>
  <sheetViews>
    <sheetView tabSelected="1" view="pageBreakPreview" zoomScale="60" workbookViewId="0" topLeftCell="A1">
      <pane xSplit="7" ySplit="22" topLeftCell="H23" activePane="bottomRight" state="frozen"/>
      <selection pane="topLeft" activeCell="A1" sqref="A1"/>
      <selection pane="topRight" activeCell="H1" sqref="H1"/>
      <selection pane="bottomLeft" activeCell="A23" sqref="A23"/>
      <selection pane="bottomRight" activeCell="I24" sqref="I24"/>
    </sheetView>
  </sheetViews>
  <sheetFormatPr defaultColWidth="9.140625" defaultRowHeight="12.75"/>
  <cols>
    <col min="1" max="1" width="9.140625" style="33" customWidth="1"/>
    <col min="2" max="2" width="27.57421875" style="3" bestFit="1" customWidth="1"/>
    <col min="3" max="3" width="14.8515625" style="5" customWidth="1"/>
    <col min="4" max="4" width="11.28125" style="3" customWidth="1"/>
    <col min="5" max="5" width="15.7109375" style="5" customWidth="1"/>
    <col min="6" max="6" width="12.140625" style="3" customWidth="1"/>
    <col min="7" max="7" width="9.7109375" style="3" customWidth="1"/>
    <col min="8" max="8" width="12.28125" style="3" customWidth="1"/>
    <col min="9" max="9" width="16.421875" style="3" customWidth="1"/>
    <col min="10" max="10" width="15.421875" style="3" customWidth="1"/>
    <col min="11" max="11" width="11.00390625" style="3" customWidth="1"/>
    <col min="12" max="12" width="4.140625" style="3" customWidth="1"/>
    <col min="13" max="13" width="10.140625" style="4" customWidth="1"/>
    <col min="14" max="14" width="19.7109375" style="3" customWidth="1"/>
    <col min="15" max="15" width="10.28125" style="3" customWidth="1"/>
    <col min="16" max="16" width="11.00390625" style="3" customWidth="1"/>
    <col min="17" max="17" width="13.8515625" style="3" customWidth="1"/>
    <col min="18" max="18" width="8.421875" style="3" customWidth="1"/>
    <col min="19" max="16384" width="9.140625" style="3" customWidth="1"/>
  </cols>
  <sheetData>
    <row r="1" ht="12.75"/>
    <row r="2" ht="12.75" customHeight="1" thickBot="1"/>
    <row r="3" spans="1:13" ht="12.75">
      <c r="A3" s="78" t="s">
        <v>19</v>
      </c>
      <c r="B3" s="79"/>
      <c r="C3" s="79"/>
      <c r="D3" s="79"/>
      <c r="E3" s="79"/>
      <c r="F3" s="79"/>
      <c r="G3" s="79"/>
      <c r="H3" s="79"/>
      <c r="I3" s="79"/>
      <c r="J3" s="79"/>
      <c r="K3" s="80"/>
      <c r="M3" s="3"/>
    </row>
    <row r="4" spans="1:13" ht="12.75">
      <c r="A4" s="81" t="s">
        <v>84</v>
      </c>
      <c r="B4" s="82"/>
      <c r="C4" s="82"/>
      <c r="D4" s="82"/>
      <c r="E4" s="82"/>
      <c r="F4" s="82"/>
      <c r="G4" s="82"/>
      <c r="H4" s="82"/>
      <c r="I4" s="82"/>
      <c r="J4" s="82"/>
      <c r="K4" s="83"/>
      <c r="M4" s="3"/>
    </row>
    <row r="5" spans="1:13" ht="13.5" thickBot="1">
      <c r="A5" s="84"/>
      <c r="B5" s="85"/>
      <c r="C5" s="85"/>
      <c r="D5" s="85"/>
      <c r="E5" s="85"/>
      <c r="F5" s="85"/>
      <c r="G5" s="85"/>
      <c r="H5" s="85"/>
      <c r="I5" s="85"/>
      <c r="J5" s="85"/>
      <c r="K5" s="86"/>
      <c r="M5" s="3"/>
    </row>
    <row r="6" spans="1:11" s="10" customFormat="1" ht="77.25" thickBot="1">
      <c r="A6" s="58" t="s">
        <v>43</v>
      </c>
      <c r="B6" s="59" t="s">
        <v>0</v>
      </c>
      <c r="C6" s="60" t="s">
        <v>40</v>
      </c>
      <c r="D6" s="61" t="s">
        <v>33</v>
      </c>
      <c r="E6" s="60" t="s">
        <v>41</v>
      </c>
      <c r="F6" s="61" t="s">
        <v>34</v>
      </c>
      <c r="G6" s="61" t="s">
        <v>1</v>
      </c>
      <c r="H6" s="61" t="s">
        <v>2</v>
      </c>
      <c r="I6" s="62" t="s">
        <v>35</v>
      </c>
      <c r="J6" s="62" t="s">
        <v>36</v>
      </c>
      <c r="K6" s="63" t="s">
        <v>3</v>
      </c>
    </row>
    <row r="7" spans="1:11" s="10" customFormat="1" ht="12.75">
      <c r="A7" s="11"/>
      <c r="C7" s="12"/>
      <c r="D7" s="13"/>
      <c r="E7" s="12"/>
      <c r="F7" s="13"/>
      <c r="K7" s="14"/>
    </row>
    <row r="8" spans="1:11" ht="12.75">
      <c r="A8" s="49">
        <v>1</v>
      </c>
      <c r="B8" s="3" t="s">
        <v>4</v>
      </c>
      <c r="C8" s="5">
        <v>10530782001</v>
      </c>
      <c r="D8" s="15">
        <f>+C8/C$26*0.86</f>
        <v>0.43668027113378377</v>
      </c>
      <c r="E8" s="5">
        <v>2283050</v>
      </c>
      <c r="F8" s="15">
        <f>+E8/E$26*0.14</f>
        <v>0.08387847990183164</v>
      </c>
      <c r="G8" s="16">
        <f aca="true" t="shared" si="0" ref="G8:G15">+F8+D8</f>
        <v>0.5205587510356154</v>
      </c>
      <c r="H8" s="16"/>
      <c r="I8" s="17">
        <f>+G8*($H$26)</f>
        <v>35768139.41146322</v>
      </c>
      <c r="J8" s="5">
        <f>+'Page 3'!D6</f>
        <v>10129282893.454304</v>
      </c>
      <c r="K8" s="18">
        <f aca="true" t="shared" si="1" ref="K8:K15">+I8/J8*100</f>
        <v>0.3531162056356145</v>
      </c>
    </row>
    <row r="9" spans="1:11" ht="12.75">
      <c r="A9" s="49">
        <f>+A8+1</f>
        <v>2</v>
      </c>
      <c r="D9" s="15"/>
      <c r="F9" s="15"/>
      <c r="G9" s="16"/>
      <c r="H9" s="16"/>
      <c r="I9" s="17"/>
      <c r="J9" s="5"/>
      <c r="K9" s="18"/>
    </row>
    <row r="10" spans="1:11" ht="12.75">
      <c r="A10" s="49">
        <f aca="true" t="shared" si="2" ref="A10:A31">+A9+1</f>
        <v>3</v>
      </c>
      <c r="B10" s="47" t="s">
        <v>5</v>
      </c>
      <c r="C10" s="5">
        <v>2567513886</v>
      </c>
      <c r="D10" s="15">
        <f>+C10/C$26*0.86</f>
        <v>0.1064671797186351</v>
      </c>
      <c r="E10" s="5">
        <v>418821</v>
      </c>
      <c r="F10" s="15">
        <f>+E10/E$26*0.14</f>
        <v>0.01538734098288037</v>
      </c>
      <c r="G10" s="16">
        <f t="shared" si="0"/>
        <v>0.12185452070151548</v>
      </c>
      <c r="H10" s="16"/>
      <c r="I10" s="17">
        <f aca="true" t="shared" si="3" ref="I10:I24">+G10*($H$26)</f>
        <v>8372752.308356906</v>
      </c>
      <c r="J10" s="5">
        <f>+'Page 3'!D8</f>
        <v>2462369463.527399</v>
      </c>
      <c r="K10" s="18">
        <f t="shared" si="1"/>
        <v>0.34002827083319787</v>
      </c>
    </row>
    <row r="11" spans="1:11" ht="12.75">
      <c r="A11" s="49">
        <f t="shared" si="2"/>
        <v>4</v>
      </c>
      <c r="B11" s="3" t="s">
        <v>6</v>
      </c>
      <c r="C11" s="5">
        <v>3070320166</v>
      </c>
      <c r="D11" s="15">
        <f>+C11/C$26*0.86</f>
        <v>0.1273170636738171</v>
      </c>
      <c r="E11" s="5">
        <v>486799</v>
      </c>
      <c r="F11" s="15">
        <f>+E11/E$26*0.14</f>
        <v>0.017884829564719013</v>
      </c>
      <c r="G11" s="16">
        <f t="shared" si="0"/>
        <v>0.1452018932385361</v>
      </c>
      <c r="H11" s="16"/>
      <c r="I11" s="17">
        <f t="shared" si="3"/>
        <v>9976974.836811503</v>
      </c>
      <c r="J11" s="5">
        <f>+'Page 3'!D9+'Page 3'!D21</f>
        <v>2933436809.5772</v>
      </c>
      <c r="K11" s="18">
        <f t="shared" si="1"/>
        <v>0.3401121443706673</v>
      </c>
    </row>
    <row r="12" spans="1:11" ht="12.75">
      <c r="A12" s="49">
        <f t="shared" si="2"/>
        <v>5</v>
      </c>
      <c r="B12" s="3" t="s">
        <v>7</v>
      </c>
      <c r="C12" s="5">
        <v>2033425138</v>
      </c>
      <c r="D12" s="15">
        <f>+C12/C$26*0.86</f>
        <v>0.08432010467102743</v>
      </c>
      <c r="E12" s="5">
        <v>306725</v>
      </c>
      <c r="F12" s="15">
        <f>+E12/E$26*0.14</f>
        <v>0.011268972097803075</v>
      </c>
      <c r="G12" s="16">
        <f t="shared" si="0"/>
        <v>0.09558907676883051</v>
      </c>
      <c r="H12" s="16"/>
      <c r="I12" s="17">
        <f t="shared" si="3"/>
        <v>6568026.024495105</v>
      </c>
      <c r="J12" s="5">
        <f>+'Page 3'!D10+'Page 3'!D22</f>
        <v>2000327534.7804825</v>
      </c>
      <c r="K12" s="18">
        <f t="shared" si="1"/>
        <v>0.32834752860690314</v>
      </c>
    </row>
    <row r="13" spans="1:11" ht="12.75">
      <c r="A13" s="49">
        <f t="shared" si="2"/>
        <v>6</v>
      </c>
      <c r="B13" s="3" t="s">
        <v>8</v>
      </c>
      <c r="C13" s="5">
        <v>16137237</v>
      </c>
      <c r="D13" s="15">
        <f>+C13/C$26*0.86</f>
        <v>0.0006691633183405529</v>
      </c>
      <c r="E13" s="5">
        <v>327</v>
      </c>
      <c r="F13" s="15">
        <f>+E13/E$26*0.14</f>
        <v>1.2013868696655327E-05</v>
      </c>
      <c r="G13" s="16">
        <f t="shared" si="0"/>
        <v>0.0006811771870372082</v>
      </c>
      <c r="H13" s="16"/>
      <c r="I13" s="17">
        <f t="shared" si="3"/>
        <v>46804.40111972734</v>
      </c>
      <c r="J13" s="5">
        <f>+'Page 3'!D11</f>
        <v>16619421.930661587</v>
      </c>
      <c r="K13" s="18">
        <f t="shared" si="1"/>
        <v>0.2816247238622466</v>
      </c>
    </row>
    <row r="14" spans="1:11" ht="12.75">
      <c r="A14" s="49">
        <f t="shared" si="2"/>
        <v>7</v>
      </c>
      <c r="D14" s="15"/>
      <c r="F14" s="15"/>
      <c r="G14" s="16"/>
      <c r="H14" s="16"/>
      <c r="I14" s="17"/>
      <c r="J14" s="5"/>
      <c r="K14" s="18"/>
    </row>
    <row r="15" spans="1:11" ht="12.75">
      <c r="A15" s="49">
        <f t="shared" si="2"/>
        <v>8</v>
      </c>
      <c r="B15" s="3" t="s">
        <v>9</v>
      </c>
      <c r="C15" s="5">
        <v>1732250258</v>
      </c>
      <c r="D15" s="15">
        <f>+C15/C$26*0.86</f>
        <v>0.07183127637274948</v>
      </c>
      <c r="E15" s="5">
        <v>251566</v>
      </c>
      <c r="F15" s="15">
        <f>+E15/E$26*0.14</f>
        <v>0.009242449212669094</v>
      </c>
      <c r="G15" s="16">
        <f t="shared" si="0"/>
        <v>0.08107372558541857</v>
      </c>
      <c r="H15" s="16"/>
      <c r="I15" s="17">
        <f t="shared" si="3"/>
        <v>5570660.974533426</v>
      </c>
      <c r="J15" s="5">
        <f>+'Page 3'!D15+'Page 3'!D23</f>
        <v>1720697764.0662336</v>
      </c>
      <c r="K15" s="18">
        <f t="shared" si="1"/>
        <v>0.3237443025072123</v>
      </c>
    </row>
    <row r="16" spans="1:11" ht="12.75">
      <c r="A16" s="49">
        <f t="shared" si="2"/>
        <v>9</v>
      </c>
      <c r="B16" s="3" t="s">
        <v>10</v>
      </c>
      <c r="C16" s="5">
        <v>5179541</v>
      </c>
      <c r="D16" s="15">
        <f>+C16/C$26*0.86</f>
        <v>0.0002147801908741221</v>
      </c>
      <c r="E16" s="5">
        <v>3</v>
      </c>
      <c r="F16" s="15">
        <f>+E16/E$26*0.14</f>
        <v>1.102189788683975E-07</v>
      </c>
      <c r="G16" s="16">
        <f>+F16+D16</f>
        <v>0.0002148904098529905</v>
      </c>
      <c r="H16" s="16"/>
      <c r="I16" s="17">
        <f t="shared" si="3"/>
        <v>14765.346125710143</v>
      </c>
      <c r="J16" s="5">
        <f>+'Page 3'!D16</f>
        <v>5272800</v>
      </c>
      <c r="K16" s="18">
        <f>+I16/J16*100</f>
        <v>0.2800285640591364</v>
      </c>
    </row>
    <row r="17" spans="1:11" ht="12.75">
      <c r="A17" s="49">
        <f t="shared" si="2"/>
        <v>10</v>
      </c>
      <c r="B17" s="3" t="s">
        <v>11</v>
      </c>
      <c r="C17" s="5">
        <v>198756334</v>
      </c>
      <c r="D17" s="15">
        <f>+C17/C$26*0.86</f>
        <v>0.008241835203922658</v>
      </c>
      <c r="E17" s="5">
        <v>0</v>
      </c>
      <c r="F17" s="15">
        <f>+E17/E$26*0.14</f>
        <v>0</v>
      </c>
      <c r="G17" s="16">
        <f>+F17+D17</f>
        <v>0.008241835203922658</v>
      </c>
      <c r="H17" s="16"/>
      <c r="I17" s="17">
        <f t="shared" si="3"/>
        <v>566305.1672721603</v>
      </c>
      <c r="J17" s="5">
        <f>+'Page 3'!D17</f>
        <v>170898928.71050644</v>
      </c>
      <c r="K17" s="18">
        <f>+I17/J17*100</f>
        <v>0.33136847114556855</v>
      </c>
    </row>
    <row r="18" spans="1:11" ht="12.75">
      <c r="A18" s="49">
        <f t="shared" si="2"/>
        <v>11</v>
      </c>
      <c r="D18" s="15"/>
      <c r="F18" s="15"/>
      <c r="G18" s="16"/>
      <c r="H18" s="16"/>
      <c r="I18" s="17"/>
      <c r="J18" s="5"/>
      <c r="K18" s="18"/>
    </row>
    <row r="19" spans="1:11" ht="12.75">
      <c r="A19" s="49">
        <f t="shared" si="2"/>
        <v>12</v>
      </c>
      <c r="B19" s="44" t="s">
        <v>12</v>
      </c>
      <c r="C19" s="5">
        <v>52438983</v>
      </c>
      <c r="D19" s="15">
        <f>+C19/C$26*0.86</f>
        <v>0.0021744889707379176</v>
      </c>
      <c r="E19" s="5">
        <v>0</v>
      </c>
      <c r="F19" s="15">
        <f>+E19/E$26*0.14</f>
        <v>0</v>
      </c>
      <c r="G19" s="16">
        <f>+F19+D19</f>
        <v>0.0021744889707379176</v>
      </c>
      <c r="H19" s="16"/>
      <c r="I19" s="17">
        <f t="shared" si="3"/>
        <v>149411.42474179954</v>
      </c>
      <c r="J19" s="5">
        <f>+'Page 3'!D27</f>
        <v>53868000</v>
      </c>
      <c r="K19" s="18">
        <f>+I19/J19*100</f>
        <v>0.2773658289555943</v>
      </c>
    </row>
    <row r="20" spans="1:11" ht="12.75">
      <c r="A20" s="49">
        <f t="shared" si="2"/>
        <v>13</v>
      </c>
      <c r="B20" s="44" t="s">
        <v>13</v>
      </c>
      <c r="C20" s="5">
        <v>435535557</v>
      </c>
      <c r="D20" s="15">
        <f>+C20/C$26*0.86</f>
        <v>0.018060366751595766</v>
      </c>
      <c r="E20" s="5">
        <v>54839</v>
      </c>
      <c r="F20" s="15">
        <f>+E20/E$26*0.14</f>
        <v>0.0020147661940546836</v>
      </c>
      <c r="G20" s="16">
        <f>+F20+D20</f>
        <v>0.02007513294565045</v>
      </c>
      <c r="H20" s="16"/>
      <c r="I20" s="17">
        <f t="shared" si="3"/>
        <v>1379383.503735501</v>
      </c>
      <c r="J20" s="5">
        <f>+'Page 3'!D28</f>
        <v>428133312.46</v>
      </c>
      <c r="K20" s="18">
        <f>+I20/J20*100</f>
        <v>0.32218551175327553</v>
      </c>
    </row>
    <row r="21" spans="1:11" ht="12.75">
      <c r="A21" s="49">
        <f t="shared" si="2"/>
        <v>14</v>
      </c>
      <c r="B21" s="47"/>
      <c r="D21" s="15"/>
      <c r="F21" s="15"/>
      <c r="G21" s="16"/>
      <c r="H21" s="16"/>
      <c r="I21" s="17"/>
      <c r="J21" s="5"/>
      <c r="K21" s="18"/>
    </row>
    <row r="22" spans="1:11" ht="12.75">
      <c r="A22" s="49">
        <f t="shared" si="2"/>
        <v>15</v>
      </c>
      <c r="B22" s="3" t="s">
        <v>14</v>
      </c>
      <c r="C22" s="5">
        <v>88994743</v>
      </c>
      <c r="D22" s="15">
        <f>+C22/C$26*0.86</f>
        <v>0.0036903478297272752</v>
      </c>
      <c r="E22" s="5">
        <v>7108</v>
      </c>
      <c r="F22" s="15">
        <f>+E22/E$26*0.14</f>
        <v>0.0002611455005988565</v>
      </c>
      <c r="G22" s="16">
        <f>+F22+D22</f>
        <v>0.003951493330326131</v>
      </c>
      <c r="H22" s="16"/>
      <c r="I22" s="17">
        <f t="shared" si="3"/>
        <v>271511.263697692</v>
      </c>
      <c r="J22" s="5">
        <f>+'Page 3'!D32</f>
        <v>85072943.13000001</v>
      </c>
      <c r="K22" s="18">
        <f>+I22/J22*100</f>
        <v>0.3191511351415168</v>
      </c>
    </row>
    <row r="23" spans="1:11" ht="12.75">
      <c r="A23" s="49">
        <f t="shared" si="2"/>
        <v>16</v>
      </c>
      <c r="D23" s="15"/>
      <c r="I23" s="19"/>
      <c r="K23" s="20"/>
    </row>
    <row r="24" spans="1:13" ht="12.75">
      <c r="A24" s="49">
        <f t="shared" si="2"/>
        <v>17</v>
      </c>
      <c r="B24" s="47" t="s">
        <v>15</v>
      </c>
      <c r="C24" s="5">
        <v>8033422</v>
      </c>
      <c r="D24" s="15">
        <f>+C24/C$26*0.86</f>
        <v>0.000333122164788805</v>
      </c>
      <c r="E24" s="5">
        <v>1358</v>
      </c>
      <c r="F24" s="15">
        <f>+E24/E$26*0.14</f>
        <v>4.989245776776127E-05</v>
      </c>
      <c r="G24" s="16">
        <f>+F24+D24</f>
        <v>0.00038301462255656624</v>
      </c>
      <c r="H24" s="16"/>
      <c r="I24" s="17">
        <f t="shared" si="3"/>
        <v>26317.337647244596</v>
      </c>
      <c r="J24" s="5">
        <f>+'Page 3'!D34</f>
        <v>7343249.482781174</v>
      </c>
      <c r="K24" s="18">
        <f>+I24/J24*100</f>
        <v>0.35838817282396346</v>
      </c>
      <c r="M24" s="21"/>
    </row>
    <row r="25" spans="1:11" ht="12.75">
      <c r="A25" s="49">
        <f t="shared" si="2"/>
        <v>18</v>
      </c>
      <c r="D25" s="15"/>
      <c r="I25" s="19"/>
      <c r="K25" s="20"/>
    </row>
    <row r="26" spans="1:11" ht="12.75">
      <c r="A26" s="49">
        <f t="shared" si="2"/>
        <v>19</v>
      </c>
      <c r="B26" s="3" t="s">
        <v>16</v>
      </c>
      <c r="C26" s="5">
        <f aca="true" t="shared" si="4" ref="C26:J26">SUM(C8:C24)</f>
        <v>20739367266</v>
      </c>
      <c r="D26" s="15">
        <f t="shared" si="4"/>
        <v>0.86</v>
      </c>
      <c r="E26" s="5">
        <f t="shared" si="4"/>
        <v>3810596</v>
      </c>
      <c r="F26" s="15">
        <f t="shared" si="4"/>
        <v>0.14</v>
      </c>
      <c r="G26" s="15">
        <f t="shared" si="4"/>
        <v>1.0000000000000002</v>
      </c>
      <c r="H26" s="22">
        <v>68711052</v>
      </c>
      <c r="I26" s="19">
        <f t="shared" si="4"/>
        <v>68711051.99999999</v>
      </c>
      <c r="J26" s="5">
        <f t="shared" si="4"/>
        <v>20013323121.119568</v>
      </c>
      <c r="K26" s="18">
        <f>+I26/J26*100</f>
        <v>0.3433265509389138</v>
      </c>
    </row>
    <row r="27" spans="1:13" ht="12.75">
      <c r="A27" s="49">
        <f t="shared" si="2"/>
        <v>20</v>
      </c>
      <c r="I27" s="23"/>
      <c r="K27" s="24"/>
      <c r="M27" s="21"/>
    </row>
    <row r="28" spans="1:13" ht="12.75">
      <c r="A28" s="49">
        <f t="shared" si="2"/>
        <v>21</v>
      </c>
      <c r="B28" s="47" t="s">
        <v>45</v>
      </c>
      <c r="C28" s="5">
        <v>128379640</v>
      </c>
      <c r="E28" s="5">
        <v>15716</v>
      </c>
      <c r="I28" s="23"/>
      <c r="J28" s="5">
        <f>+'Page 3'!D39</f>
        <v>143532718</v>
      </c>
      <c r="K28" s="25"/>
      <c r="M28" s="21"/>
    </row>
    <row r="29" spans="1:13" ht="12.75">
      <c r="A29" s="49">
        <f t="shared" si="2"/>
        <v>22</v>
      </c>
      <c r="B29" s="3" t="s">
        <v>17</v>
      </c>
      <c r="C29" s="5">
        <v>2045918481</v>
      </c>
      <c r="E29" s="5">
        <v>247756</v>
      </c>
      <c r="G29" s="5"/>
      <c r="H29" s="5"/>
      <c r="I29" s="23"/>
      <c r="J29" s="5">
        <f>+'Page 3'!D40</f>
        <v>1993176480.99</v>
      </c>
      <c r="K29" s="25"/>
      <c r="M29" s="21"/>
    </row>
    <row r="30" spans="1:14" ht="12.75">
      <c r="A30" s="49">
        <f t="shared" si="2"/>
        <v>23</v>
      </c>
      <c r="K30" s="6"/>
      <c r="M30"/>
      <c r="N30"/>
    </row>
    <row r="31" spans="1:14" ht="13.5" thickBot="1">
      <c r="A31" s="50">
        <f t="shared" si="2"/>
        <v>24</v>
      </c>
      <c r="B31" s="27" t="s">
        <v>18</v>
      </c>
      <c r="C31" s="26">
        <f>SUM(C26:C29)</f>
        <v>22913665387</v>
      </c>
      <c r="D31" s="27"/>
      <c r="E31" s="26">
        <f>SUM(E26:E29)</f>
        <v>4074068</v>
      </c>
      <c r="F31" s="27"/>
      <c r="G31" s="27"/>
      <c r="H31" s="27"/>
      <c r="I31" s="52"/>
      <c r="J31" s="26">
        <f>SUM(J26:J29)</f>
        <v>22150032320.10957</v>
      </c>
      <c r="K31" s="64"/>
      <c r="M31"/>
      <c r="N31"/>
    </row>
    <row r="32" spans="9:13" ht="12.75">
      <c r="I32" s="23"/>
      <c r="J32" s="31"/>
      <c r="M32" s="3"/>
    </row>
    <row r="33" spans="10:14" ht="12.75">
      <c r="J33" s="31"/>
      <c r="M33"/>
      <c r="N33"/>
    </row>
    <row r="34" spans="9:14" ht="12.75">
      <c r="I34" s="32"/>
      <c r="M34"/>
      <c r="N34"/>
    </row>
    <row r="35" spans="13:14" ht="12.75">
      <c r="M35"/>
      <c r="N35"/>
    </row>
    <row r="36" spans="13:14" ht="12.75">
      <c r="M36"/>
      <c r="N36"/>
    </row>
  </sheetData>
  <mergeCells count="3">
    <mergeCell ref="A3:K3"/>
    <mergeCell ref="A4:K4"/>
    <mergeCell ref="A5:K5"/>
  </mergeCells>
  <printOptions horizontalCentered="1" verticalCentered="1"/>
  <pageMargins left="0.75" right="0.75" top="1.25" bottom="1" header="0.5" footer="0.5"/>
  <pageSetup cellComments="asDisplayed" horizontalDpi="600" verticalDpi="600" orientation="landscape" scale="75" r:id="rId3"/>
  <headerFooter alignWithMargins="0">
    <oddHeader>&amp;R&amp;"Times New Roman,Regular"&amp;12Exhibit No. ___(SJC-5)
Page &amp;P of &amp;N</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view="pageBreakPreview" zoomScale="60" workbookViewId="0" topLeftCell="A1">
      <selection activeCell="I9" sqref="I9"/>
    </sheetView>
  </sheetViews>
  <sheetFormatPr defaultColWidth="9.140625" defaultRowHeight="12.75"/>
  <cols>
    <col min="1" max="1" width="11.28125" style="0" bestFit="1" customWidth="1"/>
    <col min="2" max="2" width="10.7109375" style="0" bestFit="1" customWidth="1"/>
    <col min="3" max="3" width="46.7109375" style="0" customWidth="1"/>
  </cols>
  <sheetData>
    <row r="1" spans="1:3" ht="12.75">
      <c r="A1" s="66" t="s">
        <v>19</v>
      </c>
      <c r="B1" s="66"/>
      <c r="C1" s="66"/>
    </row>
    <row r="2" spans="1:3" ht="12.75">
      <c r="A2" s="66" t="s">
        <v>49</v>
      </c>
      <c r="B2" s="66"/>
      <c r="C2" s="66"/>
    </row>
    <row r="5" spans="1:3" ht="12.75">
      <c r="A5" s="55" t="s">
        <v>50</v>
      </c>
      <c r="B5" s="55" t="s">
        <v>51</v>
      </c>
      <c r="C5" s="55" t="s">
        <v>52</v>
      </c>
    </row>
    <row r="6" ht="12.75">
      <c r="A6" s="56" t="s">
        <v>80</v>
      </c>
    </row>
    <row r="7" spans="2:3" s="53" customFormat="1" ht="25.5">
      <c r="B7" s="53" t="s">
        <v>55</v>
      </c>
      <c r="C7" s="53" t="s">
        <v>64</v>
      </c>
    </row>
    <row r="8" s="53" customFormat="1" ht="12.75"/>
    <row r="9" spans="2:3" s="53" customFormat="1" ht="76.5">
      <c r="B9" s="53" t="s">
        <v>56</v>
      </c>
      <c r="C9" s="54" t="str">
        <f>"Energy related weighted portion of the peak credit (PC) weighted allocation factors and is equal to the prorata share of each schedule's total annual consumption for the test period to the system total times the energy related PC Factor, in this case "&amp;PC_Energy*100&amp;"%."</f>
        <v>Energy related weighted portion of the peak credit (PC) weighted allocation factors and is equal to the prorata share of each schedule's total annual consumption for the test period to the system total times the energy related PC Factor, in this case 86%.</v>
      </c>
    </row>
    <row r="10" s="53" customFormat="1" ht="12.75"/>
    <row r="11" spans="2:3" s="53" customFormat="1" ht="25.5">
      <c r="B11" s="54" t="s">
        <v>57</v>
      </c>
      <c r="C11" s="53" t="s">
        <v>53</v>
      </c>
    </row>
    <row r="12" s="53" customFormat="1" ht="12.75"/>
    <row r="13" spans="2:3" s="53" customFormat="1" ht="63.75">
      <c r="B13" s="53" t="s">
        <v>58</v>
      </c>
      <c r="C13" s="54" t="str">
        <f>"Demand related weighted portion of the PC weighted allocation factors and is equal to the prorata share of each schedule's contribution to the top 200 system peak hours for the test period times the demand related PC Factor, in this case "&amp;'Page 1'!F26*100&amp;"%."</f>
        <v>Demand related weighted portion of the PC weighted allocation factors and is equal to the prorata share of each schedule's contribution to the top 200 system peak hours for the test period times the demand related PC Factor, in this case 14%.</v>
      </c>
    </row>
    <row r="14" s="53" customFormat="1" ht="12.75"/>
    <row r="15" spans="2:3" s="53" customFormat="1" ht="76.5">
      <c r="B15" s="53" t="s">
        <v>59</v>
      </c>
      <c r="C15" s="54" t="str">
        <f>"Resulting PC weighted allocation factor for each schedule and is equal to the sum of Columns (b) and (d).  Using Column (e), the proposed power cost ("&amp;TEXT('Page 1'!H26,"$#,000")&amp;") or production tax credit ("&amp;TEXT('Page 5'!H26,"$#,000")&amp;") revenue requirement from Exhibit No. ___ (JHS-8) is allocated to all applicable schedules."</f>
        <v>Resulting PC weighted allocation factor for each schedule and is equal to the sum of Columns (b) and (d).  Using Column (e), the proposed power cost ($68,711,052) or production tax credit (-$13,139,386) revenue requirement from Exhibit No. ___ (JHS-8) is allocated to all applicable schedules.</v>
      </c>
    </row>
    <row r="16" s="53" customFormat="1" ht="12.75"/>
    <row r="17" spans="2:3" s="53" customFormat="1" ht="38.25">
      <c r="B17" s="53" t="s">
        <v>60</v>
      </c>
      <c r="C17" s="54" t="str">
        <f>"The proposed power cost ("&amp;TEXT('Page 1'!H26,"$#,000")&amp;") or production tax credit ("&amp;TEXT('Page 5'!H26,"$#,000")&amp;") revenue requirement from Exhibit No. (JHS-8)."</f>
        <v>The proposed power cost ($68,711,052) or production tax credit (-$13,139,386) revenue requirement from Exhibit No. (JHS-8).</v>
      </c>
    </row>
    <row r="18" s="53" customFormat="1" ht="12.75"/>
    <row r="19" spans="2:3" s="53" customFormat="1" ht="63.75">
      <c r="B19" s="53" t="s">
        <v>61</v>
      </c>
      <c r="C19" s="54" t="str">
        <f>"Result of multiplying Column (e) by the proposed power cost ("&amp;TEXT('Page 1'!H26,"$#,000")&amp;") or production tax credit ("&amp;TEXT('Page 5'!H26,"$#,000")&amp;") revenue requirement from Column (f) to allocate the power cost or production tax credit to all applicable schedules."</f>
        <v>Result of multiplying Column (e) by the proposed power cost ($68,711,052) or production tax credit (-$13,139,386) revenue requirement from Column (f) to allocate the power cost or production tax credit to all applicable schedules.</v>
      </c>
    </row>
    <row r="20" s="53" customFormat="1" ht="12.75"/>
    <row r="21" spans="2:3" s="53" customFormat="1" ht="25.5">
      <c r="B21" s="54" t="s">
        <v>62</v>
      </c>
      <c r="C21" s="53" t="s">
        <v>54</v>
      </c>
    </row>
    <row r="22" s="53" customFormat="1" ht="12.75"/>
    <row r="23" spans="2:3" s="53" customFormat="1" ht="63.75">
      <c r="B23" s="53" t="s">
        <v>63</v>
      </c>
      <c r="C23" s="53" t="s">
        <v>65</v>
      </c>
    </row>
  </sheetData>
  <printOptions horizontalCentered="1"/>
  <pageMargins left="0.75" right="0.75" top="1" bottom="1" header="0.5" footer="0.5"/>
  <pageSetup fitToHeight="1" fitToWidth="1" horizontalDpi="600" verticalDpi="600" orientation="portrait" r:id="rId1"/>
  <headerFooter alignWithMargins="0">
    <oddHeader>&amp;R&amp;"Times New Roman,Regular"&amp;12Exhibit No. ___(SJC-5)
Page &amp;P of &amp;N</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view="pageBreakPreview" zoomScale="60" workbookViewId="0" topLeftCell="A1">
      <selection activeCell="A3" sqref="A1:IV3"/>
    </sheetView>
  </sheetViews>
  <sheetFormatPr defaultColWidth="9.140625" defaultRowHeight="12.75"/>
  <cols>
    <col min="1" max="1" width="9.140625" style="33" customWidth="1"/>
    <col min="2" max="2" width="29.28125" style="3" bestFit="1" customWidth="1"/>
    <col min="3" max="3" width="11.00390625" style="33" customWidth="1"/>
    <col min="4" max="5" width="15.421875" style="5" customWidth="1"/>
    <col min="6" max="6" width="12.28125" style="3" customWidth="1"/>
    <col min="7" max="7" width="16.28125" style="5" customWidth="1"/>
    <col min="8" max="8" width="12.28125" style="3" customWidth="1"/>
    <col min="9" max="10" width="12.421875" style="3" customWidth="1"/>
    <col min="11" max="11" width="10.140625" style="3" customWidth="1"/>
    <col min="12" max="16384" width="9.140625" style="3" customWidth="1"/>
  </cols>
  <sheetData>
    <row r="1" spans="1:9" s="70" customFormat="1" ht="12.75">
      <c r="A1" s="67" t="s">
        <v>19</v>
      </c>
      <c r="B1" s="68"/>
      <c r="C1" s="68"/>
      <c r="D1" s="68"/>
      <c r="E1" s="68"/>
      <c r="F1" s="68"/>
      <c r="G1" s="68"/>
      <c r="H1" s="68"/>
      <c r="I1" s="69"/>
    </row>
    <row r="2" spans="1:9" s="70" customFormat="1" ht="12.75">
      <c r="A2" s="71" t="s">
        <v>66</v>
      </c>
      <c r="B2" s="72"/>
      <c r="C2" s="72"/>
      <c r="D2" s="72"/>
      <c r="E2" s="72"/>
      <c r="F2" s="72"/>
      <c r="G2" s="72"/>
      <c r="H2" s="72"/>
      <c r="I2" s="73"/>
    </row>
    <row r="3" spans="1:9" s="70" customFormat="1" ht="12.75">
      <c r="A3" s="65"/>
      <c r="C3" s="74"/>
      <c r="D3" s="75"/>
      <c r="E3" s="75"/>
      <c r="G3" s="75"/>
      <c r="I3" s="76"/>
    </row>
    <row r="4" spans="1:9" s="10" customFormat="1" ht="77.25" thickBot="1">
      <c r="A4" s="7" t="s">
        <v>43</v>
      </c>
      <c r="B4" s="34" t="s">
        <v>20</v>
      </c>
      <c r="C4" s="34" t="s">
        <v>21</v>
      </c>
      <c r="D4" s="35" t="s">
        <v>44</v>
      </c>
      <c r="E4" s="35" t="s">
        <v>37</v>
      </c>
      <c r="F4" s="36" t="s">
        <v>38</v>
      </c>
      <c r="G4" s="37" t="s">
        <v>39</v>
      </c>
      <c r="H4" s="8" t="s">
        <v>22</v>
      </c>
      <c r="I4" s="38" t="s">
        <v>23</v>
      </c>
    </row>
    <row r="5" spans="1:9" ht="12.75">
      <c r="A5" s="49"/>
      <c r="I5" s="6"/>
    </row>
    <row r="6" spans="1:10" ht="12.75">
      <c r="A6" s="49">
        <v>1</v>
      </c>
      <c r="B6" s="3" t="s">
        <v>4</v>
      </c>
      <c r="C6" s="33">
        <v>7</v>
      </c>
      <c r="D6" s="5">
        <v>10129282893.454304</v>
      </c>
      <c r="E6" s="17">
        <v>827377693.0795368</v>
      </c>
      <c r="F6" s="39">
        <f>+'Page 1'!K8</f>
        <v>0.3531162056356145</v>
      </c>
      <c r="G6" s="17">
        <f>+F6*$D6/100+$E6</f>
        <v>863145832.491</v>
      </c>
      <c r="H6" s="17">
        <f>+G6-E6</f>
        <v>35768139.41146326</v>
      </c>
      <c r="I6" s="57">
        <f>+H6/E6</f>
        <v>0.043230727285301404</v>
      </c>
      <c r="J6" s="41"/>
    </row>
    <row r="7" spans="1:10" ht="12.75">
      <c r="A7" s="49">
        <f>+A6+1</f>
        <v>2</v>
      </c>
      <c r="E7" s="17"/>
      <c r="F7" s="39"/>
      <c r="G7" s="17"/>
      <c r="H7" s="17"/>
      <c r="I7" s="57"/>
      <c r="J7" s="41"/>
    </row>
    <row r="8" spans="1:10" ht="12.75">
      <c r="A8" s="49">
        <f aca="true" t="shared" si="0" ref="A8:A43">+A7+1</f>
        <v>3</v>
      </c>
      <c r="B8" s="45" t="s">
        <v>5</v>
      </c>
      <c r="C8" s="33">
        <v>24</v>
      </c>
      <c r="D8" s="5">
        <v>2462369463.527399</v>
      </c>
      <c r="E8" s="17">
        <v>187253951.0307733</v>
      </c>
      <c r="F8" s="39">
        <f>+'Page 1'!K10</f>
        <v>0.34002827083319787</v>
      </c>
      <c r="G8" s="17">
        <f>+F8*$D8/100+$E8</f>
        <v>195626703.33913022</v>
      </c>
      <c r="H8" s="17">
        <f>+G8-E8</f>
        <v>8372752.308356911</v>
      </c>
      <c r="I8" s="57">
        <f>+H8/E8</f>
        <v>0.044713354576859814</v>
      </c>
      <c r="J8" s="41"/>
    </row>
    <row r="9" spans="1:10" ht="12.75">
      <c r="A9" s="49">
        <f t="shared" si="0"/>
        <v>4</v>
      </c>
      <c r="B9" s="46" t="s">
        <v>6</v>
      </c>
      <c r="C9" s="33">
        <v>25</v>
      </c>
      <c r="D9" s="5">
        <v>2923910769.5772</v>
      </c>
      <c r="E9" s="17">
        <v>217795152.96708146</v>
      </c>
      <c r="F9" s="39">
        <f>+'Page 1'!K11</f>
        <v>0.3401121443706673</v>
      </c>
      <c r="G9" s="17">
        <f>+F9*$D9/100+$E9</f>
        <v>227739728.58497536</v>
      </c>
      <c r="H9" s="17">
        <f>+G9-E9</f>
        <v>9944575.617893904</v>
      </c>
      <c r="I9" s="57">
        <f>+H9/E9</f>
        <v>0.04566022467633599</v>
      </c>
      <c r="J9" s="41"/>
    </row>
    <row r="10" spans="1:10" ht="12.75">
      <c r="A10" s="49">
        <f t="shared" si="0"/>
        <v>5</v>
      </c>
      <c r="B10" s="46" t="s">
        <v>7</v>
      </c>
      <c r="C10" s="33">
        <v>26</v>
      </c>
      <c r="D10" s="5">
        <v>1885095294.7804825</v>
      </c>
      <c r="E10" s="17">
        <v>125851868.4024106</v>
      </c>
      <c r="F10" s="39">
        <f>+'Page 1'!K12</f>
        <v>0.32834752860690314</v>
      </c>
      <c r="G10" s="17">
        <f>+F10*$D10/100+$E10</f>
        <v>132041532.21470733</v>
      </c>
      <c r="H10" s="17">
        <f>+G10-E10</f>
        <v>6189663.812296733</v>
      </c>
      <c r="I10" s="57">
        <f>+H10/E10</f>
        <v>0.04918213683173396</v>
      </c>
      <c r="J10" s="41"/>
    </row>
    <row r="11" spans="1:10" ht="12.75">
      <c r="A11" s="49">
        <f t="shared" si="0"/>
        <v>6</v>
      </c>
      <c r="B11" s="46" t="s">
        <v>8</v>
      </c>
      <c r="C11" s="33">
        <v>29</v>
      </c>
      <c r="D11" s="5">
        <v>16619421.930661587</v>
      </c>
      <c r="E11" s="17">
        <v>1083826.0866406295</v>
      </c>
      <c r="F11" s="39">
        <f>+'Page 1'!K13</f>
        <v>0.2816247238622466</v>
      </c>
      <c r="G11" s="17">
        <f>+F11*$D11/100+$E11</f>
        <v>1130630.4877603569</v>
      </c>
      <c r="H11" s="17">
        <f>+G11-E11</f>
        <v>46804.40111972741</v>
      </c>
      <c r="I11" s="57">
        <f>+H11/E11</f>
        <v>0.04318442017279717</v>
      </c>
      <c r="J11" s="41"/>
    </row>
    <row r="12" spans="1:10" ht="12.75">
      <c r="A12" s="49">
        <f t="shared" si="0"/>
        <v>7</v>
      </c>
      <c r="E12" s="17"/>
      <c r="F12" s="39"/>
      <c r="G12" s="17"/>
      <c r="H12" s="17"/>
      <c r="I12" s="57"/>
      <c r="J12" s="41"/>
    </row>
    <row r="13" spans="1:10" ht="12.75">
      <c r="A13" s="49">
        <f t="shared" si="0"/>
        <v>8</v>
      </c>
      <c r="B13" s="3" t="s">
        <v>24</v>
      </c>
      <c r="D13" s="5">
        <f>SUM(D8:D12)</f>
        <v>7287994949.8157425</v>
      </c>
      <c r="E13" s="17">
        <f>SUM(E8:E12)</f>
        <v>531984798.486906</v>
      </c>
      <c r="F13" s="39">
        <f>+H13/D13*100</f>
        <v>0.3369074252759746</v>
      </c>
      <c r="G13" s="17">
        <f>SUM(G8:G12)</f>
        <v>556538594.6265732</v>
      </c>
      <c r="H13" s="17">
        <f>SUM(H8:H11)</f>
        <v>24553796.139667276</v>
      </c>
      <c r="I13" s="57">
        <f>+H13/E13</f>
        <v>0.0461550709898182</v>
      </c>
      <c r="J13" s="41"/>
    </row>
    <row r="14" spans="1:10" ht="12.75">
      <c r="A14" s="49">
        <f t="shared" si="0"/>
        <v>9</v>
      </c>
      <c r="E14" s="17"/>
      <c r="F14" s="39"/>
      <c r="G14" s="17"/>
      <c r="H14" s="17"/>
      <c r="I14" s="57"/>
      <c r="J14" s="41"/>
    </row>
    <row r="15" spans="1:10" ht="12.75">
      <c r="A15" s="49">
        <f t="shared" si="0"/>
        <v>10</v>
      </c>
      <c r="B15" s="46" t="s">
        <v>9</v>
      </c>
      <c r="C15" s="33">
        <v>31</v>
      </c>
      <c r="D15" s="5">
        <v>1408936864.0662336</v>
      </c>
      <c r="E15" s="17">
        <v>87701613.96852835</v>
      </c>
      <c r="F15" s="39">
        <f>+'Page 1'!K15</f>
        <v>0.3237443025072123</v>
      </c>
      <c r="G15" s="17">
        <f>+F15*$D15/100+$E15</f>
        <v>92262966.79186657</v>
      </c>
      <c r="H15" s="17">
        <f>+G15-E15</f>
        <v>4561352.8233382255</v>
      </c>
      <c r="I15" s="57">
        <f>+H15/E15</f>
        <v>0.05200990742285613</v>
      </c>
      <c r="J15" s="41"/>
    </row>
    <row r="16" spans="1:10" ht="12.75">
      <c r="A16" s="49">
        <f t="shared" si="0"/>
        <v>11</v>
      </c>
      <c r="B16" s="46" t="s">
        <v>10</v>
      </c>
      <c r="C16" s="33">
        <v>35</v>
      </c>
      <c r="D16" s="5">
        <v>5272800</v>
      </c>
      <c r="E16" s="17">
        <v>224640.2172</v>
      </c>
      <c r="F16" s="39">
        <f>+'Page 1'!K16</f>
        <v>0.2800285640591364</v>
      </c>
      <c r="G16" s="17">
        <f>+F16*$D16/100+$E16</f>
        <v>239405.56332571016</v>
      </c>
      <c r="H16" s="17">
        <f>+G16-E16</f>
        <v>14765.346125710144</v>
      </c>
      <c r="I16" s="57">
        <f>+H16/E16</f>
        <v>0.0657288632897126</v>
      </c>
      <c r="J16" s="41"/>
    </row>
    <row r="17" spans="1:10" ht="12.75">
      <c r="A17" s="49">
        <f t="shared" si="0"/>
        <v>12</v>
      </c>
      <c r="B17" s="46" t="s">
        <v>11</v>
      </c>
      <c r="C17" s="33">
        <v>43</v>
      </c>
      <c r="D17" s="5">
        <v>170898928.71050644</v>
      </c>
      <c r="E17" s="17">
        <v>11531369.623198086</v>
      </c>
      <c r="F17" s="39">
        <f>+'Page 1'!K17</f>
        <v>0.33136847114556855</v>
      </c>
      <c r="G17" s="17">
        <f>+F17*$D17/100+$E17</f>
        <v>12097674.790470246</v>
      </c>
      <c r="H17" s="17">
        <f>+G17-E17</f>
        <v>566305.1672721598</v>
      </c>
      <c r="I17" s="57">
        <f>+H17/E17</f>
        <v>0.04910996575228172</v>
      </c>
      <c r="J17" s="41"/>
    </row>
    <row r="18" spans="1:10" ht="12.75">
      <c r="A18" s="49">
        <f t="shared" si="0"/>
        <v>13</v>
      </c>
      <c r="B18" s="47"/>
      <c r="E18" s="17"/>
      <c r="F18" s="39"/>
      <c r="G18" s="17"/>
      <c r="H18" s="17"/>
      <c r="I18" s="57"/>
      <c r="J18" s="41"/>
    </row>
    <row r="19" spans="1:10" ht="12.75">
      <c r="A19" s="49">
        <f t="shared" si="0"/>
        <v>14</v>
      </c>
      <c r="B19" s="47" t="s">
        <v>25</v>
      </c>
      <c r="D19" s="5">
        <f>SUM(D15:D18)</f>
        <v>1585108592.77674</v>
      </c>
      <c r="E19" s="17">
        <f>SUM(E15:E18)</f>
        <v>99457623.80892643</v>
      </c>
      <c r="F19" s="39">
        <f>+H19/D19*100</f>
        <v>0.32442088574687306</v>
      </c>
      <c r="G19" s="17">
        <f>SUM(G15:G18)</f>
        <v>104600047.14566252</v>
      </c>
      <c r="H19" s="17">
        <f>SUM(H15:H18)</f>
        <v>5142423.336736095</v>
      </c>
      <c r="I19" s="57">
        <f>+H19/E19</f>
        <v>0.051704667171774486</v>
      </c>
      <c r="J19" s="41"/>
    </row>
    <row r="20" spans="1:10" ht="12.75">
      <c r="A20" s="49">
        <f t="shared" si="0"/>
        <v>15</v>
      </c>
      <c r="B20" s="47"/>
      <c r="E20" s="17"/>
      <c r="F20" s="39"/>
      <c r="G20" s="17"/>
      <c r="H20" s="17"/>
      <c r="I20" s="57"/>
      <c r="J20" s="41"/>
    </row>
    <row r="21" spans="1:10" ht="12.75">
      <c r="A21" s="49">
        <f aca="true" t="shared" si="1" ref="A21:A26">+A20+1</f>
        <v>16</v>
      </c>
      <c r="B21" s="46" t="s">
        <v>47</v>
      </c>
      <c r="C21" s="33">
        <v>40</v>
      </c>
      <c r="D21" s="5">
        <v>9526040</v>
      </c>
      <c r="E21" s="17">
        <v>593807.8416719406</v>
      </c>
      <c r="F21" s="39">
        <f>+'Page 1'!K11</f>
        <v>0.3401121443706673</v>
      </c>
      <c r="G21" s="17">
        <f>+F21*$D21/100+$E21</f>
        <v>626207.0605895482</v>
      </c>
      <c r="H21" s="17">
        <f>+G21-E21</f>
        <v>32399.218917607563</v>
      </c>
      <c r="I21" s="57">
        <f>+H21/E21</f>
        <v>0.054561790269363045</v>
      </c>
      <c r="J21" s="41"/>
    </row>
    <row r="22" spans="1:10" ht="12.75">
      <c r="A22" s="49">
        <f t="shared" si="1"/>
        <v>17</v>
      </c>
      <c r="B22" s="46" t="s">
        <v>48</v>
      </c>
      <c r="C22" s="33">
        <v>40</v>
      </c>
      <c r="D22" s="5">
        <v>115232240</v>
      </c>
      <c r="E22" s="17">
        <v>6852149.923421958</v>
      </c>
      <c r="F22" s="39">
        <f>+'Page 1'!K12</f>
        <v>0.32834752860690314</v>
      </c>
      <c r="G22" s="17">
        <f>+F22*$D22/100+$E22</f>
        <v>7230512.135620334</v>
      </c>
      <c r="H22" s="17">
        <f>+G22-E22</f>
        <v>378362.2121983757</v>
      </c>
      <c r="I22" s="57">
        <f>+H22/E22</f>
        <v>0.0552180288561786</v>
      </c>
      <c r="J22" s="41"/>
    </row>
    <row r="23" spans="1:10" ht="12.75">
      <c r="A23" s="49">
        <f t="shared" si="1"/>
        <v>18</v>
      </c>
      <c r="B23" s="46" t="s">
        <v>42</v>
      </c>
      <c r="C23" s="33">
        <v>40</v>
      </c>
      <c r="D23" s="5">
        <v>311760900</v>
      </c>
      <c r="E23" s="17">
        <v>17830056.01229713</v>
      </c>
      <c r="F23" s="39">
        <f>+'Page 1'!K15</f>
        <v>0.3237443025072123</v>
      </c>
      <c r="G23" s="17">
        <f>+F23*$D23/100+$E23</f>
        <v>18839364.16349234</v>
      </c>
      <c r="H23" s="17">
        <f>+G23-E23</f>
        <v>1009308.1511952095</v>
      </c>
      <c r="I23" s="57">
        <f>+H23/E23</f>
        <v>0.05660712173305032</v>
      </c>
      <c r="J23" s="41"/>
    </row>
    <row r="24" spans="1:10" ht="12.75">
      <c r="A24" s="49">
        <f t="shared" si="1"/>
        <v>19</v>
      </c>
      <c r="B24" s="47"/>
      <c r="E24" s="17"/>
      <c r="F24" s="39"/>
      <c r="G24" s="17"/>
      <c r="H24" s="17"/>
      <c r="I24" s="57"/>
      <c r="J24" s="41"/>
    </row>
    <row r="25" spans="1:10" ht="12.75">
      <c r="A25" s="49">
        <f t="shared" si="1"/>
        <v>20</v>
      </c>
      <c r="B25" s="44" t="s">
        <v>46</v>
      </c>
      <c r="D25" s="5">
        <f>SUM(D21:D24)</f>
        <v>436519180</v>
      </c>
      <c r="E25" s="17">
        <f>SUM(E21:E24)</f>
        <v>25276013.77739103</v>
      </c>
      <c r="F25" s="39">
        <f>+H25/D25*100</f>
        <v>0.32531665213684147</v>
      </c>
      <c r="G25" s="17">
        <f>SUM(G21:G24)</f>
        <v>26696083.359702222</v>
      </c>
      <c r="H25" s="17">
        <f>SUM(H21:H24)</f>
        <v>1420069.5823111928</v>
      </c>
      <c r="I25" s="57">
        <f>+H25/E25</f>
        <v>0.05618249755748357</v>
      </c>
      <c r="J25" s="41"/>
    </row>
    <row r="26" spans="1:10" ht="12.75">
      <c r="A26" s="49">
        <f t="shared" si="1"/>
        <v>21</v>
      </c>
      <c r="B26" s="47"/>
      <c r="E26" s="17"/>
      <c r="F26" s="39"/>
      <c r="G26" s="17"/>
      <c r="H26" s="17"/>
      <c r="I26" s="57"/>
      <c r="J26" s="41"/>
    </row>
    <row r="27" spans="1:10" ht="12.75">
      <c r="A27" s="49">
        <f>+A20+1</f>
        <v>16</v>
      </c>
      <c r="B27" s="46" t="s">
        <v>26</v>
      </c>
      <c r="C27" s="33">
        <v>46</v>
      </c>
      <c r="D27" s="5">
        <v>53868000</v>
      </c>
      <c r="E27" s="17">
        <v>2525530.932</v>
      </c>
      <c r="F27" s="39">
        <f>+'Page 1'!K19</f>
        <v>0.2773658289555943</v>
      </c>
      <c r="G27" s="17">
        <f>+F27*$D27/100+$E27</f>
        <v>2674942.3567417995</v>
      </c>
      <c r="H27" s="17">
        <f>+G27-E27</f>
        <v>149411.42474179948</v>
      </c>
      <c r="I27" s="57">
        <f>+H27/E27</f>
        <v>0.05916040181835297</v>
      </c>
      <c r="J27" s="41"/>
    </row>
    <row r="28" spans="1:10" ht="12.75">
      <c r="A28" s="49">
        <f t="shared" si="0"/>
        <v>17</v>
      </c>
      <c r="B28" s="45" t="s">
        <v>27</v>
      </c>
      <c r="C28" s="33">
        <v>49</v>
      </c>
      <c r="D28" s="5">
        <v>428133312.46</v>
      </c>
      <c r="E28" s="17">
        <v>21218652.50476794</v>
      </c>
      <c r="F28" s="39">
        <f>+'Page 1'!K20</f>
        <v>0.32218551175327553</v>
      </c>
      <c r="G28" s="17">
        <f>+F28*$D28/100+$E28</f>
        <v>22598036.00850344</v>
      </c>
      <c r="H28" s="17">
        <f>+G28-E28</f>
        <v>1379383.5037355013</v>
      </c>
      <c r="I28" s="57">
        <f>+H28/E28</f>
        <v>0.06500806323236345</v>
      </c>
      <c r="J28" s="41"/>
    </row>
    <row r="29" spans="1:10" ht="12.75">
      <c r="A29" s="49">
        <f t="shared" si="0"/>
        <v>18</v>
      </c>
      <c r="E29" s="17"/>
      <c r="F29" s="39"/>
      <c r="G29" s="17"/>
      <c r="H29" s="17"/>
      <c r="I29" s="57"/>
      <c r="J29" s="41"/>
    </row>
    <row r="30" spans="1:10" ht="12.75">
      <c r="A30" s="49">
        <f t="shared" si="0"/>
        <v>19</v>
      </c>
      <c r="B30" s="44" t="s">
        <v>28</v>
      </c>
      <c r="D30" s="5">
        <f>SUM(D27:D29)</f>
        <v>482001312.46</v>
      </c>
      <c r="E30" s="17">
        <f>SUM(E27:E29)</f>
        <v>23744183.43676794</v>
      </c>
      <c r="F30" s="39">
        <f>+H30/D30*100</f>
        <v>0.3171765073988614</v>
      </c>
      <c r="G30" s="5">
        <f>SUM(G27:G29)</f>
        <v>25272978.36524524</v>
      </c>
      <c r="H30" s="17">
        <f>SUM(H27:H29)</f>
        <v>1528794.9284773008</v>
      </c>
      <c r="I30" s="57">
        <f>+H30/E30</f>
        <v>0.06438608143963195</v>
      </c>
      <c r="J30" s="41"/>
    </row>
    <row r="31" spans="1:10" ht="12.75">
      <c r="A31" s="49">
        <f t="shared" si="0"/>
        <v>20</v>
      </c>
      <c r="E31" s="17"/>
      <c r="F31" s="39"/>
      <c r="G31" s="17"/>
      <c r="H31" s="17"/>
      <c r="I31" s="57"/>
      <c r="J31" s="41"/>
    </row>
    <row r="32" spans="1:10" ht="12.75">
      <c r="A32" s="49">
        <f t="shared" si="0"/>
        <v>21</v>
      </c>
      <c r="B32" s="3" t="s">
        <v>14</v>
      </c>
      <c r="D32" s="5">
        <v>85072943.13000001</v>
      </c>
      <c r="E32" s="17">
        <v>13483388.20082</v>
      </c>
      <c r="F32" s="39">
        <f>+'Page 1'!K22</f>
        <v>0.3191511351415168</v>
      </c>
      <c r="G32" s="17">
        <f>+F32*$D32/100+$E32</f>
        <v>13754899.464517692</v>
      </c>
      <c r="H32" s="17">
        <f>+G32-E32</f>
        <v>271511.26369769126</v>
      </c>
      <c r="I32" s="57">
        <f>+H32/E32</f>
        <v>0.02013672377104585</v>
      </c>
      <c r="J32" s="41"/>
    </row>
    <row r="33" spans="1:9" ht="12.75">
      <c r="A33" s="49">
        <f t="shared" si="0"/>
        <v>22</v>
      </c>
      <c r="E33" s="17"/>
      <c r="G33" s="17"/>
      <c r="H33" s="17"/>
      <c r="I33" s="57"/>
    </row>
    <row r="34" spans="1:10" ht="12.75">
      <c r="A34" s="49">
        <f t="shared" si="0"/>
        <v>23</v>
      </c>
      <c r="B34" s="48" t="s">
        <v>29</v>
      </c>
      <c r="C34" s="42" t="s">
        <v>30</v>
      </c>
      <c r="D34" s="5">
        <v>7343249.482781174</v>
      </c>
      <c r="E34" s="17">
        <v>459824.1321999139</v>
      </c>
      <c r="F34" s="39">
        <f>+'Page 1'!K24</f>
        <v>0.35838817282396346</v>
      </c>
      <c r="G34" s="17">
        <f>+F34*$D34/100+$E34</f>
        <v>486141.4698471585</v>
      </c>
      <c r="H34" s="17">
        <f>+G34-E34</f>
        <v>26317.337647244625</v>
      </c>
      <c r="I34" s="57">
        <f>+H34/E34</f>
        <v>0.05723348516167667</v>
      </c>
      <c r="J34" s="41"/>
    </row>
    <row r="35" spans="1:10" ht="12.75">
      <c r="A35" s="49">
        <f t="shared" si="0"/>
        <v>24</v>
      </c>
      <c r="B35" s="48"/>
      <c r="C35" s="42"/>
      <c r="E35" s="17"/>
      <c r="F35" s="39"/>
      <c r="G35" s="17"/>
      <c r="H35" s="17"/>
      <c r="I35" s="57"/>
      <c r="J35" s="41"/>
    </row>
    <row r="36" spans="1:10" ht="12.75">
      <c r="A36" s="49">
        <f t="shared" si="0"/>
        <v>25</v>
      </c>
      <c r="B36" s="46" t="s">
        <v>16</v>
      </c>
      <c r="D36" s="5">
        <f>SUM(D32,D30,D25,D19,D13,D6,D34)</f>
        <v>20013323121.119568</v>
      </c>
      <c r="E36" s="17">
        <f>SUM(E32,E30,E25,E19,E13,E6,E34)</f>
        <v>1521783524.922548</v>
      </c>
      <c r="F36" s="39">
        <f>+H36/D36*100</f>
        <v>0.3433265509389142</v>
      </c>
      <c r="G36" s="17">
        <f>SUM(G32,G30,G25,G19,G13,G6,G34)</f>
        <v>1590494576.9225483</v>
      </c>
      <c r="H36" s="17">
        <f>SUM(H32,H30,H25,H19,H13,H6,H34)</f>
        <v>68711052.00000006</v>
      </c>
      <c r="I36" s="57">
        <f>+H36/E36</f>
        <v>0.04515165979569738</v>
      </c>
      <c r="J36" s="41"/>
    </row>
    <row r="37" spans="1:10" ht="12.75">
      <c r="A37" s="49">
        <f t="shared" si="0"/>
        <v>26</v>
      </c>
      <c r="B37" s="44"/>
      <c r="E37" s="17"/>
      <c r="F37" s="39"/>
      <c r="G37" s="17"/>
      <c r="H37" s="17"/>
      <c r="I37" s="57"/>
      <c r="J37" s="41"/>
    </row>
    <row r="38" spans="1:10" ht="12.75">
      <c r="A38" s="49">
        <f t="shared" si="0"/>
        <v>27</v>
      </c>
      <c r="B38" s="44" t="s">
        <v>31</v>
      </c>
      <c r="E38" s="17"/>
      <c r="F38" s="39"/>
      <c r="G38" s="17"/>
      <c r="H38" s="17"/>
      <c r="I38" s="57"/>
      <c r="J38" s="41"/>
    </row>
    <row r="39" spans="1:10" ht="12.75">
      <c r="A39" s="49">
        <f t="shared" si="0"/>
        <v>28</v>
      </c>
      <c r="B39" s="45" t="s">
        <v>45</v>
      </c>
      <c r="C39" s="42" t="s">
        <v>30</v>
      </c>
      <c r="D39" s="5">
        <v>143532718</v>
      </c>
      <c r="E39" s="17">
        <v>1695340.6063576064</v>
      </c>
      <c r="F39" s="39"/>
      <c r="G39" s="17">
        <f>+F39*$D39/100+$E39</f>
        <v>1695340.6063576064</v>
      </c>
      <c r="H39" s="17">
        <f>+G39-E39</f>
        <v>0</v>
      </c>
      <c r="I39" s="57">
        <f>+H39/E39</f>
        <v>0</v>
      </c>
      <c r="J39" s="41"/>
    </row>
    <row r="40" spans="1:10" ht="12.75">
      <c r="A40" s="49">
        <f t="shared" si="0"/>
        <v>29</v>
      </c>
      <c r="B40" s="46" t="s">
        <v>17</v>
      </c>
      <c r="C40" s="42" t="s">
        <v>32</v>
      </c>
      <c r="D40" s="5">
        <v>1993176480.99</v>
      </c>
      <c r="E40" s="17">
        <v>6219353.0030000005</v>
      </c>
      <c r="F40" s="39"/>
      <c r="G40" s="17">
        <f>+F40*$D40/100+$E40</f>
        <v>6219353.0030000005</v>
      </c>
      <c r="H40" s="17">
        <f>+G40-E40</f>
        <v>0</v>
      </c>
      <c r="I40" s="57">
        <f>+H40/E40</f>
        <v>0</v>
      </c>
      <c r="J40" s="41"/>
    </row>
    <row r="41" spans="1:10" ht="12.75">
      <c r="A41" s="49">
        <f t="shared" si="0"/>
        <v>30</v>
      </c>
      <c r="B41" s="45"/>
      <c r="E41" s="17"/>
      <c r="F41" s="39"/>
      <c r="G41" s="17"/>
      <c r="H41" s="17"/>
      <c r="I41" s="57"/>
      <c r="J41" s="41"/>
    </row>
    <row r="42" spans="1:10" ht="12.75">
      <c r="A42" s="49">
        <f t="shared" si="0"/>
        <v>31</v>
      </c>
      <c r="B42" s="44"/>
      <c r="E42" s="17"/>
      <c r="F42" s="39"/>
      <c r="G42" s="17"/>
      <c r="H42" s="17"/>
      <c r="I42" s="57"/>
      <c r="J42" s="41"/>
    </row>
    <row r="43" spans="1:10" ht="12.75">
      <c r="A43" s="49">
        <f t="shared" si="0"/>
        <v>32</v>
      </c>
      <c r="B43" s="44" t="s">
        <v>18</v>
      </c>
      <c r="D43" s="5">
        <f>SUM(D36:D40)</f>
        <v>22150032320.10957</v>
      </c>
      <c r="E43" s="17">
        <f>SUM(E36:E40)</f>
        <v>1529698218.5319057</v>
      </c>
      <c r="F43" s="39"/>
      <c r="G43" s="17">
        <f>SUM(G36:G40)</f>
        <v>1598409270.531906</v>
      </c>
      <c r="H43" s="17">
        <f>SUM(H36:H40)</f>
        <v>68711052.00000006</v>
      </c>
      <c r="I43" s="57">
        <f>+H43/E43</f>
        <v>0.044918044074042256</v>
      </c>
      <c r="J43" s="41"/>
    </row>
    <row r="44" spans="1:9" ht="13.5" thickBot="1">
      <c r="A44" s="50"/>
      <c r="B44" s="27"/>
      <c r="C44" s="43"/>
      <c r="D44" s="26"/>
      <c r="E44" s="52"/>
      <c r="F44" s="27"/>
      <c r="G44" s="26"/>
      <c r="H44" s="27"/>
      <c r="I44" s="30"/>
    </row>
    <row r="46" spans="2:5" ht="12.75">
      <c r="B46" s="44"/>
      <c r="C46" s="3"/>
      <c r="D46" s="31"/>
      <c r="E46" s="23"/>
    </row>
  </sheetData>
  <printOptions horizontalCentered="1" verticalCentered="1"/>
  <pageMargins left="0.75" right="0.75" top="1.25" bottom="1" header="0.5" footer="0.5"/>
  <pageSetup cellComments="asDisplayed" fitToHeight="1" fitToWidth="1" horizontalDpi="600" verticalDpi="600" orientation="landscape" scale="74" r:id="rId3"/>
  <headerFooter alignWithMargins="0">
    <oddHeader>&amp;R&amp;"Times New Roman,Regular"&amp;12Exhibit No. ___(SJC-5)
Page &amp;P of &amp;N</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17"/>
  <sheetViews>
    <sheetView workbookViewId="0" topLeftCell="A1">
      <selection activeCell="C7" sqref="C7:C8"/>
    </sheetView>
  </sheetViews>
  <sheetFormatPr defaultColWidth="9.140625" defaultRowHeight="12.75"/>
  <cols>
    <col min="1" max="1" width="11.28125" style="0" bestFit="1" customWidth="1"/>
    <col min="2" max="2" width="10.7109375" style="0" bestFit="1" customWidth="1"/>
    <col min="3" max="3" width="46.7109375" style="0" customWidth="1"/>
  </cols>
  <sheetData>
    <row r="1" spans="1:3" ht="12.75">
      <c r="A1" s="66" t="s">
        <v>19</v>
      </c>
      <c r="B1" s="77"/>
      <c r="C1" s="77"/>
    </row>
    <row r="2" spans="1:3" ht="12.75">
      <c r="A2" s="66" t="s">
        <v>49</v>
      </c>
      <c r="B2" s="77"/>
      <c r="C2" s="77"/>
    </row>
    <row r="5" spans="1:3" ht="12.75">
      <c r="A5" s="55" t="s">
        <v>50</v>
      </c>
      <c r="B5" s="55" t="s">
        <v>51</v>
      </c>
      <c r="C5" s="55" t="s">
        <v>52</v>
      </c>
    </row>
    <row r="6" s="53" customFormat="1" ht="12.75">
      <c r="A6" s="56" t="s">
        <v>78</v>
      </c>
    </row>
    <row r="7" spans="2:3" ht="25.5">
      <c r="B7" s="53" t="s">
        <v>55</v>
      </c>
      <c r="C7" s="53" t="s">
        <v>54</v>
      </c>
    </row>
    <row r="8" spans="2:3" ht="12.75">
      <c r="B8" s="53"/>
      <c r="C8" s="53"/>
    </row>
    <row r="9" spans="2:3" ht="25.5">
      <c r="B9" s="53" t="s">
        <v>56</v>
      </c>
      <c r="C9" s="54" t="s">
        <v>83</v>
      </c>
    </row>
    <row r="10" spans="2:3" ht="12.75">
      <c r="B10" s="53"/>
      <c r="C10" s="53"/>
    </row>
    <row r="11" spans="2:3" ht="38.25">
      <c r="B11" s="54" t="s">
        <v>57</v>
      </c>
      <c r="C11" s="54" t="s">
        <v>82</v>
      </c>
    </row>
    <row r="12" spans="2:3" ht="12.75">
      <c r="B12" s="53"/>
      <c r="C12" s="53"/>
    </row>
    <row r="13" spans="2:3" ht="51">
      <c r="B13" s="53" t="s">
        <v>58</v>
      </c>
      <c r="C13" s="54" t="s">
        <v>77</v>
      </c>
    </row>
    <row r="14" spans="2:3" ht="12.75">
      <c r="B14" s="53"/>
      <c r="C14" s="53"/>
    </row>
    <row r="15" spans="2:3" ht="25.5">
      <c r="B15" s="53" t="s">
        <v>59</v>
      </c>
      <c r="C15" s="54" t="s">
        <v>79</v>
      </c>
    </row>
    <row r="17" spans="2:3" ht="51">
      <c r="B17" s="53" t="s">
        <v>60</v>
      </c>
      <c r="C17" s="53" t="s">
        <v>76</v>
      </c>
    </row>
  </sheetData>
  <printOptions horizontalCentered="1"/>
  <pageMargins left="0.75" right="0.75" top="1" bottom="1" header="0.5" footer="0.5"/>
  <pageSetup fitToHeight="1" fitToWidth="1" horizontalDpi="600" verticalDpi="600" orientation="portrait" r:id="rId1"/>
  <headerFooter alignWithMargins="0">
    <oddHeader>&amp;R&amp;"Times New Roman,Regular"&amp;12Exhibit No. ___(SJC-5)
Page &amp;P of &amp;N</oddHeader>
  </headerFooter>
</worksheet>
</file>

<file path=xl/worksheets/sheet5.xml><?xml version="1.0" encoding="utf-8"?>
<worksheet xmlns="http://schemas.openxmlformats.org/spreadsheetml/2006/main" xmlns:r="http://schemas.openxmlformats.org/officeDocument/2006/relationships">
  <dimension ref="A1:M36"/>
  <sheetViews>
    <sheetView view="pageBreakPreview" zoomScale="60" workbookViewId="0" topLeftCell="A1">
      <pane xSplit="2" ySplit="6" topLeftCell="C7" activePane="bottomRight" state="frozen"/>
      <selection pane="topLeft" activeCell="I19" sqref="I19"/>
      <selection pane="topRight" activeCell="I19" sqref="I19"/>
      <selection pane="bottomLeft" activeCell="I19" sqref="I19"/>
      <selection pane="bottomRight" activeCell="E24" sqref="E24"/>
    </sheetView>
  </sheetViews>
  <sheetFormatPr defaultColWidth="9.140625" defaultRowHeight="12.75"/>
  <cols>
    <col min="1" max="1" width="9.140625" style="33" customWidth="1"/>
    <col min="2" max="2" width="27.57421875" style="3" bestFit="1" customWidth="1"/>
    <col min="3" max="3" width="14.8515625" style="5" customWidth="1"/>
    <col min="4" max="4" width="11.28125" style="3" customWidth="1"/>
    <col min="5" max="5" width="15.7109375" style="5" customWidth="1"/>
    <col min="6" max="6" width="12.140625" style="3" customWidth="1"/>
    <col min="7" max="7" width="9.7109375" style="3" customWidth="1"/>
    <col min="8" max="8" width="12.8515625" style="3" bestFit="1" customWidth="1"/>
    <col min="9" max="9" width="16.421875" style="3" customWidth="1"/>
    <col min="10" max="10" width="15.421875" style="3" customWidth="1"/>
    <col min="11" max="11" width="11.00390625" style="3" customWidth="1"/>
    <col min="12" max="12" width="10.140625" style="4" customWidth="1"/>
    <col min="13" max="13" width="19.7109375" style="3" customWidth="1"/>
    <col min="14" max="14" width="10.28125" style="3" customWidth="1"/>
    <col min="15" max="15" width="11.00390625" style="3" customWidth="1"/>
    <col min="16" max="16" width="13.8515625" style="3" customWidth="1"/>
    <col min="17" max="17" width="8.421875" style="3" customWidth="1"/>
    <col min="18" max="16384" width="9.140625" style="3" customWidth="1"/>
  </cols>
  <sheetData>
    <row r="1" spans="1:10" ht="12.75">
      <c r="A1" s="51"/>
      <c r="B1" s="2"/>
      <c r="C1" s="1"/>
      <c r="D1" s="2"/>
      <c r="E1" s="1"/>
      <c r="F1" s="2"/>
      <c r="G1" s="2"/>
      <c r="H1" s="2"/>
      <c r="I1" s="2"/>
      <c r="J1" s="2"/>
    </row>
    <row r="2" ht="12.75" customHeight="1" thickBot="1">
      <c r="A2" s="49"/>
    </row>
    <row r="3" spans="1:12" ht="12.75">
      <c r="A3" s="78" t="s">
        <v>19</v>
      </c>
      <c r="B3" s="79"/>
      <c r="C3" s="79"/>
      <c r="D3" s="79"/>
      <c r="E3" s="79"/>
      <c r="F3" s="79"/>
      <c r="G3" s="79"/>
      <c r="H3" s="79"/>
      <c r="I3" s="79"/>
      <c r="J3" s="79"/>
      <c r="K3" s="80"/>
      <c r="L3" s="3"/>
    </row>
    <row r="4" spans="1:12" ht="12.75">
      <c r="A4" s="81" t="s">
        <v>85</v>
      </c>
      <c r="B4" s="87"/>
      <c r="C4" s="87"/>
      <c r="D4" s="87"/>
      <c r="E4" s="87"/>
      <c r="F4" s="87"/>
      <c r="G4" s="87"/>
      <c r="H4" s="87"/>
      <c r="I4" s="87"/>
      <c r="J4" s="87"/>
      <c r="K4" s="83"/>
      <c r="L4" s="3"/>
    </row>
    <row r="5" spans="1:12" ht="13.5" thickBot="1">
      <c r="A5" s="84"/>
      <c r="B5" s="85"/>
      <c r="C5" s="85"/>
      <c r="D5" s="85"/>
      <c r="E5" s="85"/>
      <c r="F5" s="85"/>
      <c r="G5" s="85"/>
      <c r="H5" s="85"/>
      <c r="I5" s="85"/>
      <c r="J5" s="85"/>
      <c r="K5" s="86"/>
      <c r="L5" s="3"/>
    </row>
    <row r="6" spans="1:11" s="10" customFormat="1" ht="77.25" thickBot="1">
      <c r="A6" s="58" t="s">
        <v>43</v>
      </c>
      <c r="B6" s="59" t="s">
        <v>0</v>
      </c>
      <c r="C6" s="60" t="s">
        <v>40</v>
      </c>
      <c r="D6" s="61" t="s">
        <v>33</v>
      </c>
      <c r="E6" s="60" t="s">
        <v>41</v>
      </c>
      <c r="F6" s="61" t="s">
        <v>34</v>
      </c>
      <c r="G6" s="61" t="s">
        <v>1</v>
      </c>
      <c r="H6" s="61" t="s">
        <v>2</v>
      </c>
      <c r="I6" s="62" t="s">
        <v>67</v>
      </c>
      <c r="J6" s="62" t="s">
        <v>36</v>
      </c>
      <c r="K6" s="63" t="s">
        <v>3</v>
      </c>
    </row>
    <row r="7" spans="1:11" s="10" customFormat="1" ht="12.75">
      <c r="A7" s="11"/>
      <c r="C7" s="12"/>
      <c r="D7" s="13"/>
      <c r="E7" s="12"/>
      <c r="F7" s="13"/>
      <c r="K7" s="14"/>
    </row>
    <row r="8" spans="1:11" ht="12.75">
      <c r="A8" s="49">
        <v>1</v>
      </c>
      <c r="B8" s="3" t="s">
        <v>4</v>
      </c>
      <c r="C8" s="5">
        <f>+'Page 1'!C8</f>
        <v>10530782001</v>
      </c>
      <c r="D8" s="15">
        <f>+C8/C$26*0.86</f>
        <v>0.43668027113378377</v>
      </c>
      <c r="E8" s="5">
        <f>+'Page 1'!E8</f>
        <v>2283050</v>
      </c>
      <c r="F8" s="15">
        <f>+E8/E$26*0.14</f>
        <v>0.08387847990183164</v>
      </c>
      <c r="G8" s="16">
        <f>+F8+D8</f>
        <v>0.5205587510356154</v>
      </c>
      <c r="H8" s="16"/>
      <c r="I8" s="17">
        <f>+G8*($H$26)</f>
        <v>-6839822.476792815</v>
      </c>
      <c r="J8" s="5">
        <f>+'Page 3'!D6</f>
        <v>10129282893.454304</v>
      </c>
      <c r="K8" s="18">
        <f>+I8/J8*100</f>
        <v>-0.06752523894078238</v>
      </c>
    </row>
    <row r="9" spans="1:11" ht="12.75">
      <c r="A9" s="49">
        <f aca="true" t="shared" si="0" ref="A9:A31">+A8+1</f>
        <v>2</v>
      </c>
      <c r="D9" s="15"/>
      <c r="F9" s="15"/>
      <c r="G9" s="16"/>
      <c r="H9" s="16"/>
      <c r="I9" s="17"/>
      <c r="J9" s="5"/>
      <c r="K9" s="18"/>
    </row>
    <row r="10" spans="1:11" ht="12.75">
      <c r="A10" s="49">
        <f t="shared" si="0"/>
        <v>3</v>
      </c>
      <c r="B10" s="47" t="s">
        <v>5</v>
      </c>
      <c r="C10" s="5">
        <f>+'Page 1'!C10</f>
        <v>2567513886</v>
      </c>
      <c r="D10" s="15">
        <f>+C10/C$26*0.86</f>
        <v>0.1064671797186351</v>
      </c>
      <c r="E10" s="5">
        <f>+'Page 1'!E10</f>
        <v>418821</v>
      </c>
      <c r="F10" s="15">
        <f>+E10/E$26*0.14</f>
        <v>0.01538734098288037</v>
      </c>
      <c r="G10" s="16">
        <f>+F10+D10</f>
        <v>0.12185452070151548</v>
      </c>
      <c r="H10" s="16"/>
      <c r="I10" s="17">
        <f>+G10*($H$26)</f>
        <v>-1601093.6093859216</v>
      </c>
      <c r="J10" s="5">
        <f>+'Page 3'!D8</f>
        <v>2462369463.527399</v>
      </c>
      <c r="K10" s="18">
        <f>+I10/J10*100</f>
        <v>-0.06502247664703896</v>
      </c>
    </row>
    <row r="11" spans="1:11" ht="12.75">
      <c r="A11" s="49">
        <f t="shared" si="0"/>
        <v>4</v>
      </c>
      <c r="B11" s="3" t="s">
        <v>6</v>
      </c>
      <c r="C11" s="5">
        <f>+'Page 1'!C11</f>
        <v>3070320166</v>
      </c>
      <c r="D11" s="15">
        <f>+C11/C$26*0.86</f>
        <v>0.1273170636738171</v>
      </c>
      <c r="E11" s="5">
        <f>+'Page 1'!E11</f>
        <v>486799</v>
      </c>
      <c r="F11" s="15">
        <f>+E11/E$26*0.14</f>
        <v>0.017884829564719013</v>
      </c>
      <c r="G11" s="16">
        <f>+F11+D11</f>
        <v>0.1452018932385361</v>
      </c>
      <c r="H11" s="16"/>
      <c r="I11" s="17">
        <f>+G11*($H$26)</f>
        <v>-1907863.7542256215</v>
      </c>
      <c r="J11" s="5">
        <f>+'Page 3'!D9+'Page 3'!D21</f>
        <v>2933436809.5772</v>
      </c>
      <c r="K11" s="18">
        <f>+I11/J11*100</f>
        <v>-0.06503851550497876</v>
      </c>
    </row>
    <row r="12" spans="1:11" ht="12.75">
      <c r="A12" s="49">
        <f t="shared" si="0"/>
        <v>5</v>
      </c>
      <c r="B12" s="3" t="s">
        <v>7</v>
      </c>
      <c r="C12" s="5">
        <f>+'Page 1'!C12</f>
        <v>2033425138</v>
      </c>
      <c r="D12" s="15">
        <f>+C12/C$26*0.86</f>
        <v>0.08432010467102743</v>
      </c>
      <c r="E12" s="5">
        <f>+'Page 1'!E12</f>
        <v>306725</v>
      </c>
      <c r="F12" s="15">
        <f>+E12/E$26*0.14</f>
        <v>0.011268972097803075</v>
      </c>
      <c r="G12" s="16">
        <f>+F12+D12</f>
        <v>0.09558907676883051</v>
      </c>
      <c r="H12" s="16"/>
      <c r="I12" s="17">
        <f>+G12*($H$26)</f>
        <v>-1255981.797479356</v>
      </c>
      <c r="J12" s="5">
        <f>+'Page 3'!D10+'Page 3'!D22</f>
        <v>2000327534.7804825</v>
      </c>
      <c r="K12" s="18">
        <f>+I12/J12*100</f>
        <v>-0.06278880711489022</v>
      </c>
    </row>
    <row r="13" spans="1:11" ht="12.75">
      <c r="A13" s="49">
        <f t="shared" si="0"/>
        <v>6</v>
      </c>
      <c r="B13" s="3" t="s">
        <v>8</v>
      </c>
      <c r="C13" s="5">
        <f>+'Page 1'!C13</f>
        <v>16137237</v>
      </c>
      <c r="D13" s="15">
        <f>+C13/C$26*0.86</f>
        <v>0.0006691633183405529</v>
      </c>
      <c r="E13" s="5">
        <f>+'Page 1'!E13</f>
        <v>327</v>
      </c>
      <c r="F13" s="15">
        <f>+E13/E$26*0.14</f>
        <v>1.2013868696655327E-05</v>
      </c>
      <c r="G13" s="16">
        <f>+F13+D13</f>
        <v>0.0006811771870372082</v>
      </c>
      <c r="H13" s="16"/>
      <c r="I13" s="17">
        <f>+G13*($H$26)</f>
        <v>-8950.250140462691</v>
      </c>
      <c r="J13" s="5">
        <f>+'Page 3'!D11</f>
        <v>16619421.930661587</v>
      </c>
      <c r="K13" s="18">
        <f>+I13/J13*100</f>
        <v>-0.05385416037816665</v>
      </c>
    </row>
    <row r="14" spans="1:11" ht="12.75">
      <c r="A14" s="49">
        <f t="shared" si="0"/>
        <v>7</v>
      </c>
      <c r="D14" s="15"/>
      <c r="F14" s="15"/>
      <c r="G14" s="16"/>
      <c r="H14" s="16"/>
      <c r="I14" s="17"/>
      <c r="J14" s="5"/>
      <c r="K14" s="18"/>
    </row>
    <row r="15" spans="1:11" ht="12.75">
      <c r="A15" s="49">
        <f t="shared" si="0"/>
        <v>8</v>
      </c>
      <c r="B15" s="3" t="s">
        <v>9</v>
      </c>
      <c r="C15" s="5">
        <f>+'Page 1'!C15</f>
        <v>1732250258</v>
      </c>
      <c r="D15" s="15">
        <f>+C15/C$26*0.86</f>
        <v>0.07183127637274948</v>
      </c>
      <c r="E15" s="5">
        <f>+'Page 1'!E15</f>
        <v>251566</v>
      </c>
      <c r="F15" s="15">
        <f>+E15/E$26*0.14</f>
        <v>0.009242449212669094</v>
      </c>
      <c r="G15" s="16">
        <f>+F15+D15</f>
        <v>0.08107372558541857</v>
      </c>
      <c r="H15" s="16"/>
      <c r="I15" s="17">
        <f>+G15*($H$26)</f>
        <v>-1065258.9922526132</v>
      </c>
      <c r="J15" s="5">
        <f>+'Page 3'!D15+'Page 3'!D23</f>
        <v>1720697764.0662336</v>
      </c>
      <c r="K15" s="18">
        <f>+I15/J15*100</f>
        <v>-0.061908547479905304</v>
      </c>
    </row>
    <row r="16" spans="1:11" ht="12.75">
      <c r="A16" s="49">
        <f t="shared" si="0"/>
        <v>9</v>
      </c>
      <c r="B16" s="3" t="s">
        <v>10</v>
      </c>
      <c r="C16" s="5">
        <f>+'Page 1'!C16</f>
        <v>5179541</v>
      </c>
      <c r="D16" s="15">
        <f>+C16/C$26*0.86</f>
        <v>0.0002147801908741221</v>
      </c>
      <c r="E16" s="5">
        <f>+'Page 1'!E16</f>
        <v>3</v>
      </c>
      <c r="F16" s="15">
        <f>+E16/E$26*0.14</f>
        <v>1.102189788683975E-07</v>
      </c>
      <c r="G16" s="16">
        <f>+F16+D16</f>
        <v>0.0002148904098529905</v>
      </c>
      <c r="H16" s="16"/>
      <c r="I16" s="17">
        <f>+G16*($H$26)</f>
        <v>-2823.528088684736</v>
      </c>
      <c r="J16" s="5">
        <f>+'Page 3'!D16</f>
        <v>5272800</v>
      </c>
      <c r="K16" s="18">
        <f>+I16/J16*100</f>
        <v>-0.05354893204150994</v>
      </c>
    </row>
    <row r="17" spans="1:11" ht="12.75">
      <c r="A17" s="49">
        <f t="shared" si="0"/>
        <v>10</v>
      </c>
      <c r="B17" s="3" t="s">
        <v>11</v>
      </c>
      <c r="C17" s="5">
        <f>+'Page 1'!C17</f>
        <v>198756334</v>
      </c>
      <c r="D17" s="15">
        <f>+C17/C$26*0.86</f>
        <v>0.008241835203922658</v>
      </c>
      <c r="E17" s="5">
        <f>+'Page 1'!E17</f>
        <v>0</v>
      </c>
      <c r="F17" s="15">
        <f>+E17/E$26*0.14</f>
        <v>0</v>
      </c>
      <c r="G17" s="16">
        <f>+F17+D17</f>
        <v>0.008241835203922658</v>
      </c>
      <c r="H17" s="16"/>
      <c r="I17" s="17">
        <f>+G17*($H$26)</f>
        <v>-108292.6558542392</v>
      </c>
      <c r="J17" s="5">
        <f>+'Page 3'!D17</f>
        <v>170898928.71050644</v>
      </c>
      <c r="K17" s="18">
        <f>+I17/J17*100</f>
        <v>-0.06336649192089502</v>
      </c>
    </row>
    <row r="18" spans="1:11" ht="12.75">
      <c r="A18" s="49">
        <f t="shared" si="0"/>
        <v>11</v>
      </c>
      <c r="D18" s="15"/>
      <c r="F18" s="15"/>
      <c r="G18" s="16"/>
      <c r="H18" s="16"/>
      <c r="I18" s="17"/>
      <c r="J18" s="5"/>
      <c r="K18" s="18"/>
    </row>
    <row r="19" spans="1:11" ht="12.75">
      <c r="A19" s="49">
        <f t="shared" si="0"/>
        <v>12</v>
      </c>
      <c r="B19" s="44" t="s">
        <v>12</v>
      </c>
      <c r="C19" s="5">
        <f>+'Page 1'!C19</f>
        <v>52438983</v>
      </c>
      <c r="D19" s="15">
        <f>+C19/C$26*0.86</f>
        <v>0.0021744889707379176</v>
      </c>
      <c r="E19" s="5">
        <f>+'Page 1'!E19</f>
        <v>0</v>
      </c>
      <c r="F19" s="15">
        <f>+E19/E$26*0.14</f>
        <v>0</v>
      </c>
      <c r="G19" s="16">
        <f>+F19+D19</f>
        <v>0.0021744889707379176</v>
      </c>
      <c r="H19" s="16"/>
      <c r="I19" s="17">
        <f>+G19*($H$26)</f>
        <v>-28571.450404017312</v>
      </c>
      <c r="J19" s="5">
        <f>+'Page 3'!D27</f>
        <v>53868000</v>
      </c>
      <c r="K19" s="18">
        <f>+I19/J19*100</f>
        <v>-0.05303974605334765</v>
      </c>
    </row>
    <row r="20" spans="1:11" ht="12.75">
      <c r="A20" s="49">
        <f t="shared" si="0"/>
        <v>13</v>
      </c>
      <c r="B20" s="44" t="s">
        <v>13</v>
      </c>
      <c r="C20" s="5">
        <f>+'Page 1'!C20</f>
        <v>435535557</v>
      </c>
      <c r="D20" s="15">
        <f>+C20/C$26*0.86</f>
        <v>0.018060366751595766</v>
      </c>
      <c r="E20" s="5">
        <f>+'Page 1'!E20</f>
        <v>54839</v>
      </c>
      <c r="F20" s="15">
        <f>+E20/E$26*0.14</f>
        <v>0.0020147661940546836</v>
      </c>
      <c r="G20" s="16">
        <f>+F20+D20</f>
        <v>0.02007513294565045</v>
      </c>
      <c r="H20" s="16"/>
      <c r="I20" s="17">
        <f>+G20*($H$26)</f>
        <v>-263774.92506483564</v>
      </c>
      <c r="J20" s="5">
        <f>+'Page 3'!D28</f>
        <v>428133312.46</v>
      </c>
      <c r="K20" s="18">
        <f>+I20/J20*100</f>
        <v>-0.0616104651023809</v>
      </c>
    </row>
    <row r="21" spans="1:11" ht="12.75">
      <c r="A21" s="49">
        <f t="shared" si="0"/>
        <v>14</v>
      </c>
      <c r="B21" s="47"/>
      <c r="D21" s="15"/>
      <c r="F21" s="15"/>
      <c r="G21" s="16"/>
      <c r="H21" s="16"/>
      <c r="I21" s="17"/>
      <c r="J21" s="5"/>
      <c r="K21" s="18"/>
    </row>
    <row r="22" spans="1:11" ht="12.75">
      <c r="A22" s="49">
        <f t="shared" si="0"/>
        <v>15</v>
      </c>
      <c r="B22" s="3" t="s">
        <v>14</v>
      </c>
      <c r="C22" s="5">
        <f>+'Page 1'!C22</f>
        <v>88994743</v>
      </c>
      <c r="D22" s="15">
        <f>+C22/C$26*0.86</f>
        <v>0.0036903478297272752</v>
      </c>
      <c r="E22" s="5">
        <f>+'Page 1'!E22</f>
        <v>7108</v>
      </c>
      <c r="F22" s="15">
        <f>+E22/E$26*0.14</f>
        <v>0.0002611455005988565</v>
      </c>
      <c r="G22" s="16">
        <f>+F22+D22</f>
        <v>0.003951493330326131</v>
      </c>
      <c r="H22" s="16"/>
      <c r="I22" s="17">
        <f>+G22*($H$26)</f>
        <v>-51920.196988125186</v>
      </c>
      <c r="J22" s="5">
        <f>+'Page 3'!D32</f>
        <v>85072943.13000001</v>
      </c>
      <c r="K22" s="18">
        <f>+I22/J22*100</f>
        <v>-0.06103021134320686</v>
      </c>
    </row>
    <row r="23" spans="1:11" ht="12.75">
      <c r="A23" s="49">
        <f t="shared" si="0"/>
        <v>16</v>
      </c>
      <c r="D23" s="15"/>
      <c r="I23" s="17"/>
      <c r="K23" s="20"/>
    </row>
    <row r="24" spans="1:12" ht="12.75">
      <c r="A24" s="49">
        <f t="shared" si="0"/>
        <v>17</v>
      </c>
      <c r="B24" s="47" t="s">
        <v>15</v>
      </c>
      <c r="C24" s="5">
        <f>+'Page 1'!C24</f>
        <v>8033422</v>
      </c>
      <c r="D24" s="15">
        <f>+C24/C$26*0.86</f>
        <v>0.000333122164788805</v>
      </c>
      <c r="E24" s="5">
        <f>+'Page 1'!E24</f>
        <v>1358</v>
      </c>
      <c r="F24" s="15">
        <f>+E24/E$26*0.14</f>
        <v>4.989245776776127E-05</v>
      </c>
      <c r="G24" s="16">
        <f>+F24+D24</f>
        <v>0.00038301462255656624</v>
      </c>
      <c r="H24" s="16"/>
      <c r="I24" s="17">
        <f>+G24*($H$26)</f>
        <v>-5032.577051275967</v>
      </c>
      <c r="J24" s="5">
        <f>+'Page 3'!D34</f>
        <v>7343249.482781174</v>
      </c>
      <c r="K24" s="18">
        <f>+I24/J24*100</f>
        <v>-0.06853337971257291</v>
      </c>
      <c r="L24" s="21"/>
    </row>
    <row r="25" spans="1:11" ht="12.75">
      <c r="A25" s="49">
        <f t="shared" si="0"/>
        <v>18</v>
      </c>
      <c r="D25" s="15"/>
      <c r="I25" s="17"/>
      <c r="K25" s="20"/>
    </row>
    <row r="26" spans="1:11" ht="12.75">
      <c r="A26" s="49">
        <f t="shared" si="0"/>
        <v>19</v>
      </c>
      <c r="B26" s="3" t="s">
        <v>16</v>
      </c>
      <c r="C26" s="5">
        <f>SUM(C8:C24)</f>
        <v>20739367266</v>
      </c>
      <c r="D26" s="15">
        <f>SUM(D8:D24)</f>
        <v>0.86</v>
      </c>
      <c r="E26" s="5">
        <f>SUM(E8:E24)</f>
        <v>3810596</v>
      </c>
      <c r="F26" s="15">
        <f>SUM(F8:F24)</f>
        <v>0.14</v>
      </c>
      <c r="G26" s="15">
        <f>SUM(G8:G24)</f>
        <v>1.0000000000000002</v>
      </c>
      <c r="H26" s="22">
        <v>-13139386.213727968</v>
      </c>
      <c r="I26" s="17">
        <f>SUM(I8:I24)</f>
        <v>-13139386.213727968</v>
      </c>
      <c r="J26" s="5">
        <f>SUM(J8:J24)</f>
        <v>20013323121.119568</v>
      </c>
      <c r="K26" s="18">
        <f>+I26/J26*100</f>
        <v>-0.06565319579466689</v>
      </c>
    </row>
    <row r="27" spans="1:12" ht="12.75">
      <c r="A27" s="49">
        <f t="shared" si="0"/>
        <v>20</v>
      </c>
      <c r="I27" s="23"/>
      <c r="K27" s="24"/>
      <c r="L27" s="21"/>
    </row>
    <row r="28" spans="1:12" ht="12.75">
      <c r="A28" s="49">
        <f t="shared" si="0"/>
        <v>21</v>
      </c>
      <c r="B28" s="47" t="s">
        <v>45</v>
      </c>
      <c r="C28" s="5">
        <f>+'Page 1'!C28</f>
        <v>128379640</v>
      </c>
      <c r="E28" s="5">
        <f>+'Page 1'!E28</f>
        <v>15716</v>
      </c>
      <c r="I28" s="23"/>
      <c r="J28" s="5">
        <f>+'Page 3'!D39</f>
        <v>143532718</v>
      </c>
      <c r="K28" s="25"/>
      <c r="L28" s="21"/>
    </row>
    <row r="29" spans="1:12" ht="12.75">
      <c r="A29" s="49">
        <f t="shared" si="0"/>
        <v>22</v>
      </c>
      <c r="B29" s="3" t="s">
        <v>17</v>
      </c>
      <c r="C29" s="5">
        <f>+'Page 1'!C29</f>
        <v>2045918481</v>
      </c>
      <c r="E29" s="5">
        <f>+'Page 1'!E29</f>
        <v>247756</v>
      </c>
      <c r="G29" s="5"/>
      <c r="H29" s="5"/>
      <c r="I29" s="23"/>
      <c r="J29" s="5">
        <f>+'Page 3'!D40</f>
        <v>1993176480.99</v>
      </c>
      <c r="K29" s="25"/>
      <c r="L29" s="21"/>
    </row>
    <row r="30" spans="1:13" ht="12.75">
      <c r="A30" s="49">
        <f t="shared" si="0"/>
        <v>23</v>
      </c>
      <c r="K30" s="6"/>
      <c r="L30"/>
      <c r="M30"/>
    </row>
    <row r="31" spans="1:13" ht="12.75">
      <c r="A31" s="49">
        <f t="shared" si="0"/>
        <v>24</v>
      </c>
      <c r="B31" s="3" t="s">
        <v>18</v>
      </c>
      <c r="C31" s="5">
        <f>SUM(C26:C29)</f>
        <v>22913665387</v>
      </c>
      <c r="E31" s="5">
        <f>SUM(E26:E29)</f>
        <v>4074068</v>
      </c>
      <c r="I31" s="17"/>
      <c r="J31" s="5">
        <f>SUM(J26:J29)</f>
        <v>22150032320.10957</v>
      </c>
      <c r="K31" s="18"/>
      <c r="L31"/>
      <c r="M31"/>
    </row>
    <row r="32" spans="1:13" ht="13.5" thickBot="1">
      <c r="A32" s="50"/>
      <c r="B32" s="27"/>
      <c r="C32" s="26"/>
      <c r="D32" s="27"/>
      <c r="E32" s="26"/>
      <c r="F32" s="27"/>
      <c r="G32" s="27"/>
      <c r="H32" s="27"/>
      <c r="I32" s="28"/>
      <c r="J32" s="29"/>
      <c r="K32" s="30"/>
      <c r="L32"/>
      <c r="M32"/>
    </row>
    <row r="33" spans="10:13" ht="12.75">
      <c r="J33" s="31"/>
      <c r="L33"/>
      <c r="M33"/>
    </row>
    <row r="34" spans="9:13" ht="12.75">
      <c r="I34" s="32"/>
      <c r="L34"/>
      <c r="M34"/>
    </row>
    <row r="35" spans="12:13" ht="12.75">
      <c r="L35"/>
      <c r="M35"/>
    </row>
    <row r="36" spans="12:13" ht="12.75">
      <c r="L36"/>
      <c r="M36"/>
    </row>
  </sheetData>
  <mergeCells count="3">
    <mergeCell ref="A3:K3"/>
    <mergeCell ref="A4:K4"/>
    <mergeCell ref="A5:K5"/>
  </mergeCells>
  <printOptions horizontalCentered="1" verticalCentered="1"/>
  <pageMargins left="0.75" right="0.75" top="1.25" bottom="1" header="0.5" footer="0.5"/>
  <pageSetup cellComments="asDisplayed" horizontalDpi="600" verticalDpi="600" orientation="landscape" scale="75" r:id="rId3"/>
  <headerFooter alignWithMargins="0">
    <oddHeader>&amp;R&amp;"Times New Roman,Regular"&amp;12Exhibit No. ___(SJC-5)
Page &amp;P of &amp;N</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46"/>
  <sheetViews>
    <sheetView view="pageBreakPreview" zoomScale="60" workbookViewId="0" topLeftCell="C1">
      <selection activeCell="I34" sqref="I34"/>
    </sheetView>
  </sheetViews>
  <sheetFormatPr defaultColWidth="9.140625" defaultRowHeight="12.75"/>
  <cols>
    <col min="1" max="1" width="9.140625" style="33" customWidth="1"/>
    <col min="2" max="2" width="29.28125" style="3" bestFit="1" customWidth="1"/>
    <col min="3" max="3" width="11.00390625" style="33" customWidth="1"/>
    <col min="4" max="5" width="15.421875" style="5" customWidth="1"/>
    <col min="6" max="6" width="13.421875" style="3" bestFit="1" customWidth="1"/>
    <col min="7" max="7" width="16.28125" style="5" customWidth="1"/>
    <col min="8" max="8" width="14.00390625" style="3" bestFit="1" customWidth="1"/>
    <col min="9" max="9" width="12.421875" style="3" customWidth="1"/>
    <col min="10" max="16384" width="9.140625" style="3" customWidth="1"/>
  </cols>
  <sheetData>
    <row r="1" spans="1:9" s="70" customFormat="1" ht="12.75">
      <c r="A1" s="67" t="s">
        <v>19</v>
      </c>
      <c r="B1" s="68"/>
      <c r="C1" s="68"/>
      <c r="D1" s="68"/>
      <c r="E1" s="68"/>
      <c r="F1" s="68"/>
      <c r="G1" s="68"/>
      <c r="H1" s="68"/>
      <c r="I1" s="69"/>
    </row>
    <row r="2" spans="1:9" s="70" customFormat="1" ht="12.75">
      <c r="A2" s="71" t="s">
        <v>68</v>
      </c>
      <c r="B2" s="72"/>
      <c r="C2" s="72"/>
      <c r="D2" s="72"/>
      <c r="E2" s="72"/>
      <c r="F2" s="72"/>
      <c r="G2" s="72"/>
      <c r="H2" s="72"/>
      <c r="I2" s="73"/>
    </row>
    <row r="3" spans="1:9" s="70" customFormat="1" ht="12.75">
      <c r="A3" s="65"/>
      <c r="C3" s="74"/>
      <c r="D3" s="75"/>
      <c r="E3" s="75"/>
      <c r="G3" s="75"/>
      <c r="I3" s="76"/>
    </row>
    <row r="4" spans="1:9" s="10" customFormat="1" ht="77.25" thickBot="1">
      <c r="A4" s="7" t="s">
        <v>43</v>
      </c>
      <c r="B4" s="34" t="s">
        <v>20</v>
      </c>
      <c r="C4" s="34" t="s">
        <v>21</v>
      </c>
      <c r="D4" s="35" t="s">
        <v>44</v>
      </c>
      <c r="E4" s="35" t="s">
        <v>37</v>
      </c>
      <c r="F4" s="36" t="s">
        <v>69</v>
      </c>
      <c r="G4" s="37" t="s">
        <v>70</v>
      </c>
      <c r="H4" s="8" t="s">
        <v>22</v>
      </c>
      <c r="I4" s="38" t="s">
        <v>23</v>
      </c>
    </row>
    <row r="5" spans="1:9" ht="12.75">
      <c r="A5" s="49"/>
      <c r="I5" s="6"/>
    </row>
    <row r="6" spans="1:9" ht="12.75">
      <c r="A6" s="49">
        <v>1</v>
      </c>
      <c r="B6" s="3" t="s">
        <v>4</v>
      </c>
      <c r="C6" s="33">
        <v>7</v>
      </c>
      <c r="D6" s="5">
        <v>10129282893.454304</v>
      </c>
      <c r="E6" s="17">
        <v>827377693.0795368</v>
      </c>
      <c r="F6" s="39">
        <f>+'Page 5'!K8</f>
        <v>-0.06752523894078238</v>
      </c>
      <c r="G6" s="17">
        <f>+F6*$D6/100+$E6</f>
        <v>820537870.602744</v>
      </c>
      <c r="H6" s="17">
        <f>+G6-E6</f>
        <v>-6839822.476792812</v>
      </c>
      <c r="I6" s="40">
        <f>+H6/E6</f>
        <v>-0.008266868364960007</v>
      </c>
    </row>
    <row r="7" spans="1:9" ht="12.75">
      <c r="A7" s="49">
        <f aca="true" t="shared" si="0" ref="A7:A26">+A6+1</f>
        <v>2</v>
      </c>
      <c r="E7" s="17"/>
      <c r="F7" s="39"/>
      <c r="G7" s="17"/>
      <c r="H7" s="17"/>
      <c r="I7" s="57"/>
    </row>
    <row r="8" spans="1:9" ht="12.75">
      <c r="A8" s="49">
        <f t="shared" si="0"/>
        <v>3</v>
      </c>
      <c r="B8" s="45" t="s">
        <v>5</v>
      </c>
      <c r="C8" s="33">
        <v>24</v>
      </c>
      <c r="D8" s="5">
        <v>2462369463.527399</v>
      </c>
      <c r="E8" s="17">
        <v>187253951.0307733</v>
      </c>
      <c r="F8" s="39">
        <f>+'Page 5'!K10</f>
        <v>-0.06502247664703896</v>
      </c>
      <c r="G8" s="17">
        <f>+F8*$D8/100+$E8</f>
        <v>185652857.4213874</v>
      </c>
      <c r="H8" s="17">
        <f>+G8-E8</f>
        <v>-1601093.6093859076</v>
      </c>
      <c r="I8" s="57">
        <f>+H8/E8</f>
        <v>-0.008550386256591104</v>
      </c>
    </row>
    <row r="9" spans="1:9" ht="12.75">
      <c r="A9" s="49">
        <f t="shared" si="0"/>
        <v>4</v>
      </c>
      <c r="B9" s="46" t="s">
        <v>6</v>
      </c>
      <c r="C9" s="33">
        <v>25</v>
      </c>
      <c r="D9" s="5">
        <v>2923910769.5772</v>
      </c>
      <c r="E9" s="17">
        <v>217795152.96708146</v>
      </c>
      <c r="F9" s="39">
        <f>+'Page 5'!K11</f>
        <v>-0.06503851550497876</v>
      </c>
      <c r="G9" s="17">
        <f>+F9*$D9/100+$E9</f>
        <v>215893484.80785826</v>
      </c>
      <c r="H9" s="17">
        <f>+G9-E9</f>
        <v>-1901668.159223199</v>
      </c>
      <c r="I9" s="57">
        <f>+H9/E9</f>
        <v>-0.008731453080182302</v>
      </c>
    </row>
    <row r="10" spans="1:9" ht="12.75">
      <c r="A10" s="49">
        <f t="shared" si="0"/>
        <v>5</v>
      </c>
      <c r="B10" s="46" t="s">
        <v>7</v>
      </c>
      <c r="C10" s="33">
        <v>26</v>
      </c>
      <c r="D10" s="5">
        <v>1885095294.7804825</v>
      </c>
      <c r="E10" s="17">
        <v>125851868.4024106</v>
      </c>
      <c r="F10" s="39">
        <f>+'Page 5'!K12</f>
        <v>-0.06278880711489022</v>
      </c>
      <c r="G10" s="17">
        <f>+F10*$D10/100+$E10</f>
        <v>124668239.55383901</v>
      </c>
      <c r="H10" s="17">
        <f>+G10-E10</f>
        <v>-1183628.8485715836</v>
      </c>
      <c r="I10" s="57">
        <f>+H10/E10</f>
        <v>-0.009404936641758368</v>
      </c>
    </row>
    <row r="11" spans="1:9" ht="12.75">
      <c r="A11" s="49">
        <f t="shared" si="0"/>
        <v>6</v>
      </c>
      <c r="B11" s="46" t="s">
        <v>8</v>
      </c>
      <c r="C11" s="33">
        <v>29</v>
      </c>
      <c r="D11" s="5">
        <v>16619421.930661587</v>
      </c>
      <c r="E11" s="17">
        <v>1083826.0866406295</v>
      </c>
      <c r="F11" s="39">
        <f>+'Page 5'!K13</f>
        <v>-0.05385416037816665</v>
      </c>
      <c r="G11" s="17">
        <f>+F11*$D11/100+$E11</f>
        <v>1074875.8365001667</v>
      </c>
      <c r="H11" s="17">
        <f>+G11-E11</f>
        <v>-8950.25014046277</v>
      </c>
      <c r="I11" s="57">
        <f>+H11/E11</f>
        <v>-0.008258013209669547</v>
      </c>
    </row>
    <row r="12" spans="1:9" ht="12.75">
      <c r="A12" s="49">
        <f t="shared" si="0"/>
        <v>7</v>
      </c>
      <c r="E12" s="17"/>
      <c r="F12" s="39"/>
      <c r="G12" s="17"/>
      <c r="H12" s="17"/>
      <c r="I12" s="57"/>
    </row>
    <row r="13" spans="1:9" ht="12.75">
      <c r="A13" s="49">
        <f t="shared" si="0"/>
        <v>8</v>
      </c>
      <c r="B13" s="3" t="s">
        <v>24</v>
      </c>
      <c r="D13" s="5">
        <f>SUM(D8:D12)</f>
        <v>7287994949.8157425</v>
      </c>
      <c r="E13" s="17">
        <f>SUM(E8:E12)</f>
        <v>531984798.486906</v>
      </c>
      <c r="F13" s="39">
        <f>+H13/D13*100</f>
        <v>-0.0644256877186758</v>
      </c>
      <c r="G13" s="17">
        <f>SUM(G8:G12)</f>
        <v>527289457.61958486</v>
      </c>
      <c r="H13" s="17">
        <f>SUM(H8:H11)</f>
        <v>-4695340.867321153</v>
      </c>
      <c r="I13" s="57">
        <f>+H13/E13</f>
        <v>-0.008826080896814803</v>
      </c>
    </row>
    <row r="14" spans="1:9" ht="12.75">
      <c r="A14" s="49">
        <f t="shared" si="0"/>
        <v>9</v>
      </c>
      <c r="E14" s="17"/>
      <c r="F14" s="39"/>
      <c r="G14" s="17"/>
      <c r="H14" s="17"/>
      <c r="I14" s="57"/>
    </row>
    <row r="15" spans="1:9" ht="12.75">
      <c r="A15" s="49">
        <f t="shared" si="0"/>
        <v>10</v>
      </c>
      <c r="B15" s="46" t="s">
        <v>9</v>
      </c>
      <c r="C15" s="33">
        <v>31</v>
      </c>
      <c r="D15" s="5">
        <v>1408936864.0662336</v>
      </c>
      <c r="E15" s="17">
        <v>87701613.96852835</v>
      </c>
      <c r="F15" s="39">
        <f>+'Page 5'!K15</f>
        <v>-0.061908547479905304</v>
      </c>
      <c r="G15" s="17">
        <f>+F15*$D15/100+$E15</f>
        <v>86829361.62107602</v>
      </c>
      <c r="H15" s="17">
        <f>+G15-E15</f>
        <v>-872252.3474523276</v>
      </c>
      <c r="I15" s="57">
        <f>+H15/E15</f>
        <v>-0.009945681817957588</v>
      </c>
    </row>
    <row r="16" spans="1:9" ht="12.75">
      <c r="A16" s="49">
        <f t="shared" si="0"/>
        <v>11</v>
      </c>
      <c r="B16" s="46" t="s">
        <v>10</v>
      </c>
      <c r="C16" s="33">
        <v>35</v>
      </c>
      <c r="D16" s="5">
        <v>5272800</v>
      </c>
      <c r="E16" s="17">
        <v>224640.2172</v>
      </c>
      <c r="F16" s="39">
        <f>+'Page 5'!K16</f>
        <v>-0.05354893204150994</v>
      </c>
      <c r="G16" s="17">
        <f>+F16*$D16/100+$E16</f>
        <v>221816.68911131527</v>
      </c>
      <c r="H16" s="17">
        <f>+G16-E16</f>
        <v>-2823.5280886847468</v>
      </c>
      <c r="I16" s="57">
        <f>+H16/E16</f>
        <v>-0.012569112173582543</v>
      </c>
    </row>
    <row r="17" spans="1:9" ht="12.75">
      <c r="A17" s="49">
        <f t="shared" si="0"/>
        <v>12</v>
      </c>
      <c r="B17" s="46" t="s">
        <v>11</v>
      </c>
      <c r="C17" s="33">
        <v>43</v>
      </c>
      <c r="D17" s="5">
        <v>170898928.71050644</v>
      </c>
      <c r="E17" s="17">
        <v>11531369.623198086</v>
      </c>
      <c r="F17" s="39">
        <f>+'Page 5'!K17</f>
        <v>-0.06336649192089502</v>
      </c>
      <c r="G17" s="17">
        <f>+F17*$D17/100+$E17</f>
        <v>11423076.967343846</v>
      </c>
      <c r="H17" s="17">
        <f>+G17-E17</f>
        <v>-108292.65585424006</v>
      </c>
      <c r="I17" s="57">
        <f>+H17/E17</f>
        <v>-0.009391135605989394</v>
      </c>
    </row>
    <row r="18" spans="1:9" ht="12.75">
      <c r="A18" s="49">
        <f t="shared" si="0"/>
        <v>13</v>
      </c>
      <c r="B18" s="47"/>
      <c r="E18" s="17"/>
      <c r="F18" s="39"/>
      <c r="G18" s="17"/>
      <c r="H18" s="17"/>
      <c r="I18" s="57"/>
    </row>
    <row r="19" spans="1:9" ht="12.75">
      <c r="A19" s="49">
        <f t="shared" si="0"/>
        <v>14</v>
      </c>
      <c r="B19" s="47" t="s">
        <v>25</v>
      </c>
      <c r="D19" s="5">
        <f>SUM(D15:D18)</f>
        <v>1585108592.77674</v>
      </c>
      <c r="E19" s="17">
        <f>SUM(E15:E18)</f>
        <v>99457623.80892643</v>
      </c>
      <c r="F19" s="39">
        <f>+H19/D19*100</f>
        <v>-0.062037928245194884</v>
      </c>
      <c r="G19" s="17">
        <f>SUM(G15:G18)</f>
        <v>98474255.27753119</v>
      </c>
      <c r="H19" s="17">
        <f>SUM(H15:H18)</f>
        <v>-983368.5313952524</v>
      </c>
      <c r="I19" s="57">
        <f>+H19/E19</f>
        <v>-0.009887311738760785</v>
      </c>
    </row>
    <row r="20" spans="1:9" ht="12.75">
      <c r="A20" s="49">
        <f t="shared" si="0"/>
        <v>15</v>
      </c>
      <c r="B20" s="47"/>
      <c r="E20" s="17"/>
      <c r="F20" s="39"/>
      <c r="G20" s="17"/>
      <c r="H20" s="17"/>
      <c r="I20" s="57"/>
    </row>
    <row r="21" spans="1:9" ht="12.75">
      <c r="A21" s="49">
        <f t="shared" si="0"/>
        <v>16</v>
      </c>
      <c r="B21" s="46" t="s">
        <v>47</v>
      </c>
      <c r="C21" s="33">
        <v>40</v>
      </c>
      <c r="D21" s="5">
        <v>9526040</v>
      </c>
      <c r="E21" s="17">
        <v>593807.8416719406</v>
      </c>
      <c r="F21" s="39">
        <f>+'Page 5'!K11</f>
        <v>-0.06503851550497876</v>
      </c>
      <c r="G21" s="17">
        <f>+F21*$D21/100+$E21</f>
        <v>587612.2466695302</v>
      </c>
      <c r="H21" s="17">
        <f>+G21-E21</f>
        <v>-6195.595002410468</v>
      </c>
      <c r="I21" s="57">
        <f>+H21/E21</f>
        <v>-0.010433669897261699</v>
      </c>
    </row>
    <row r="22" spans="1:9" ht="12.75">
      <c r="A22" s="49">
        <f t="shared" si="0"/>
        <v>17</v>
      </c>
      <c r="B22" s="46" t="s">
        <v>48</v>
      </c>
      <c r="C22" s="33">
        <v>40</v>
      </c>
      <c r="D22" s="5">
        <v>115232240</v>
      </c>
      <c r="E22" s="17">
        <v>6852149.923421958</v>
      </c>
      <c r="F22" s="39">
        <f>+'Page 5'!K12</f>
        <v>-0.06278880711489022</v>
      </c>
      <c r="G22" s="17">
        <f>+F22*$D22/100+$E22</f>
        <v>6779796.974514191</v>
      </c>
      <c r="H22" s="17">
        <f>+G22-E22</f>
        <v>-72352.94890776742</v>
      </c>
      <c r="I22" s="57">
        <f>+H22/E22</f>
        <v>-0.010559160222173658</v>
      </c>
    </row>
    <row r="23" spans="1:9" ht="12.75">
      <c r="A23" s="49">
        <f t="shared" si="0"/>
        <v>18</v>
      </c>
      <c r="B23" s="46" t="s">
        <v>42</v>
      </c>
      <c r="C23" s="33">
        <v>40</v>
      </c>
      <c r="D23" s="5">
        <v>311760900</v>
      </c>
      <c r="E23" s="17">
        <v>17830056.01229713</v>
      </c>
      <c r="F23" s="39">
        <f>+'Page 5'!K15</f>
        <v>-0.061908547479905304</v>
      </c>
      <c r="G23" s="17">
        <f>+F23*$D23/100+$E23</f>
        <v>17637049.36749685</v>
      </c>
      <c r="H23" s="17">
        <f>+G23-E23</f>
        <v>-193006.6448002793</v>
      </c>
      <c r="I23" s="57">
        <f>+H23/E23</f>
        <v>-0.010824791838408438</v>
      </c>
    </row>
    <row r="24" spans="1:9" ht="12.75">
      <c r="A24" s="49">
        <f t="shared" si="0"/>
        <v>19</v>
      </c>
      <c r="B24" s="47"/>
      <c r="E24" s="17"/>
      <c r="F24" s="39"/>
      <c r="G24" s="17"/>
      <c r="H24" s="17"/>
      <c r="I24" s="57"/>
    </row>
    <row r="25" spans="1:9" ht="12.75">
      <c r="A25" s="49">
        <f t="shared" si="0"/>
        <v>20</v>
      </c>
      <c r="B25" s="44" t="s">
        <v>46</v>
      </c>
      <c r="D25" s="5">
        <f>SUM(D21:D24)</f>
        <v>436519180</v>
      </c>
      <c r="E25" s="17">
        <f>SUM(E21:E24)</f>
        <v>25276013.77739103</v>
      </c>
      <c r="F25" s="39">
        <f>+H25/D25*100</f>
        <v>-0.06220922267618508</v>
      </c>
      <c r="G25" s="17">
        <f>SUM(G21:G24)</f>
        <v>25004458.588680573</v>
      </c>
      <c r="H25" s="17">
        <f>SUM(H21:H24)</f>
        <v>-271555.1887104572</v>
      </c>
      <c r="I25" s="57">
        <f>+H25/E25</f>
        <v>-0.010743592367929421</v>
      </c>
    </row>
    <row r="26" spans="1:9" ht="12.75">
      <c r="A26" s="49">
        <f t="shared" si="0"/>
        <v>21</v>
      </c>
      <c r="B26" s="47"/>
      <c r="E26" s="17"/>
      <c r="F26" s="39"/>
      <c r="G26" s="17"/>
      <c r="H26" s="17"/>
      <c r="I26" s="57"/>
    </row>
    <row r="27" spans="1:9" ht="12.75">
      <c r="A27" s="49">
        <f>+A20+1</f>
        <v>16</v>
      </c>
      <c r="B27" s="46" t="s">
        <v>26</v>
      </c>
      <c r="C27" s="33">
        <v>46</v>
      </c>
      <c r="D27" s="5">
        <v>53868000</v>
      </c>
      <c r="E27" s="17">
        <v>2525530.932</v>
      </c>
      <c r="F27" s="39">
        <f>+'Page 5'!K19</f>
        <v>-0.05303974605334765</v>
      </c>
      <c r="G27" s="17">
        <f>+F27*$D27/100+$E27</f>
        <v>2496959.481595983</v>
      </c>
      <c r="H27" s="17">
        <f>+G27-E27</f>
        <v>-28571.450404017232</v>
      </c>
      <c r="I27" s="57">
        <f>+H27/E27</f>
        <v>-0.01131304710704578</v>
      </c>
    </row>
    <row r="28" spans="1:9" ht="12.75">
      <c r="A28" s="49">
        <f aca="true" t="shared" si="1" ref="A28:A43">+A27+1</f>
        <v>17</v>
      </c>
      <c r="B28" s="45" t="s">
        <v>27</v>
      </c>
      <c r="C28" s="33">
        <v>49</v>
      </c>
      <c r="D28" s="5">
        <v>428133312.46</v>
      </c>
      <c r="E28" s="17">
        <v>21218652.50476794</v>
      </c>
      <c r="F28" s="39">
        <f>+'Page 5'!K20</f>
        <v>-0.0616104651023809</v>
      </c>
      <c r="G28" s="17">
        <f>+F28*$D28/100+$E28</f>
        <v>20954877.579703104</v>
      </c>
      <c r="H28" s="17">
        <f>+G28-E28</f>
        <v>-263774.9250648357</v>
      </c>
      <c r="I28" s="57">
        <f>+H28/E28</f>
        <v>-0.012431275973135623</v>
      </c>
    </row>
    <row r="29" spans="1:9" ht="12.75">
      <c r="A29" s="49">
        <f t="shared" si="1"/>
        <v>18</v>
      </c>
      <c r="E29" s="17"/>
      <c r="F29" s="39"/>
      <c r="G29" s="17"/>
      <c r="H29" s="17"/>
      <c r="I29" s="57"/>
    </row>
    <row r="30" spans="1:9" ht="12.75">
      <c r="A30" s="49">
        <f t="shared" si="1"/>
        <v>19</v>
      </c>
      <c r="B30" s="44" t="s">
        <v>28</v>
      </c>
      <c r="D30" s="5">
        <f>SUM(D27:D29)</f>
        <v>482001312.46</v>
      </c>
      <c r="E30" s="17">
        <f>SUM(E27:E29)</f>
        <v>23744183.43676794</v>
      </c>
      <c r="F30" s="39">
        <f>+H30/D30*100</f>
        <v>-0.06065260983975308</v>
      </c>
      <c r="G30" s="5">
        <f>SUM(G27:G29)</f>
        <v>23451837.061299086</v>
      </c>
      <c r="H30" s="17">
        <f>SUM(H27:H29)</f>
        <v>-292346.37546885293</v>
      </c>
      <c r="I30" s="57">
        <f>+H30/E30</f>
        <v>-0.012312336461154259</v>
      </c>
    </row>
    <row r="31" spans="1:9" ht="12.75">
      <c r="A31" s="49">
        <f t="shared" si="1"/>
        <v>20</v>
      </c>
      <c r="E31" s="17"/>
      <c r="F31" s="39"/>
      <c r="G31" s="17"/>
      <c r="H31" s="17"/>
      <c r="I31" s="57"/>
    </row>
    <row r="32" spans="1:9" ht="12.75">
      <c r="A32" s="49">
        <f t="shared" si="1"/>
        <v>21</v>
      </c>
      <c r="B32" s="3" t="s">
        <v>14</v>
      </c>
      <c r="D32" s="5">
        <v>85072943.13000001</v>
      </c>
      <c r="E32" s="17">
        <v>13483388.20082</v>
      </c>
      <c r="F32" s="39">
        <f>+'Page 5'!K22</f>
        <v>-0.06103021134320686</v>
      </c>
      <c r="G32" s="17">
        <f>+F32*$D32/100+$E32</f>
        <v>13431468.003831876</v>
      </c>
      <c r="H32" s="17">
        <f>+G32-E32</f>
        <v>-51920.1969881244</v>
      </c>
      <c r="I32" s="57">
        <f>+H32/E32</f>
        <v>-0.0038506787919201824</v>
      </c>
    </row>
    <row r="33" spans="1:9" ht="12.75">
      <c r="A33" s="49">
        <f t="shared" si="1"/>
        <v>22</v>
      </c>
      <c r="E33" s="17"/>
      <c r="G33" s="17"/>
      <c r="H33" s="17"/>
      <c r="I33" s="57"/>
    </row>
    <row r="34" spans="1:9" ht="12.75">
      <c r="A34" s="49">
        <f t="shared" si="1"/>
        <v>23</v>
      </c>
      <c r="B34" s="48" t="s">
        <v>29</v>
      </c>
      <c r="C34" s="42" t="s">
        <v>30</v>
      </c>
      <c r="D34" s="5">
        <v>7343249.482781174</v>
      </c>
      <c r="E34" s="17">
        <v>459824.1321999139</v>
      </c>
      <c r="F34" s="39">
        <f>+'Page 5'!K24</f>
        <v>-0.06853337971257291</v>
      </c>
      <c r="G34" s="17">
        <f>+F34*$D34/100+$E34</f>
        <v>454791.5551486379</v>
      </c>
      <c r="H34" s="17">
        <f>+G34-E34</f>
        <v>-5032.577051275992</v>
      </c>
      <c r="I34" s="57">
        <f>+H34/E34</f>
        <v>-0.010944569236066149</v>
      </c>
    </row>
    <row r="35" spans="1:9" ht="12.75">
      <c r="A35" s="49">
        <f t="shared" si="1"/>
        <v>24</v>
      </c>
      <c r="B35" s="48"/>
      <c r="C35" s="42"/>
      <c r="E35" s="17"/>
      <c r="F35" s="39"/>
      <c r="G35" s="17"/>
      <c r="H35" s="17"/>
      <c r="I35" s="57"/>
    </row>
    <row r="36" spans="1:9" ht="12.75">
      <c r="A36" s="49">
        <f t="shared" si="1"/>
        <v>25</v>
      </c>
      <c r="B36" s="46" t="s">
        <v>16</v>
      </c>
      <c r="D36" s="5">
        <f>SUM(D32,D30,D25,D19,D13,D6,D34)</f>
        <v>20013323121.119568</v>
      </c>
      <c r="E36" s="17">
        <f>SUM(E32,E30,E25,E19,E13,E6,E34)</f>
        <v>1521783524.922548</v>
      </c>
      <c r="F36" s="39">
        <f>+H36/D36*100</f>
        <v>-0.06565319579466669</v>
      </c>
      <c r="G36" s="17">
        <f>SUM(G32,G30,G25,G19,G13,G6,G34)</f>
        <v>1508644138.7088203</v>
      </c>
      <c r="H36" s="17">
        <f>SUM(H32,H30,H25,H19,H13,H6,H34)</f>
        <v>-13139386.213727929</v>
      </c>
      <c r="I36" s="57">
        <f>+H36/E36</f>
        <v>-0.008634201907526015</v>
      </c>
    </row>
    <row r="37" spans="1:9" ht="12.75">
      <c r="A37" s="49">
        <f t="shared" si="1"/>
        <v>26</v>
      </c>
      <c r="B37" s="44"/>
      <c r="E37" s="17"/>
      <c r="F37" s="39"/>
      <c r="G37" s="17"/>
      <c r="H37" s="17"/>
      <c r="I37" s="57"/>
    </row>
    <row r="38" spans="1:9" ht="12.75">
      <c r="A38" s="49">
        <f t="shared" si="1"/>
        <v>27</v>
      </c>
      <c r="B38" s="44" t="s">
        <v>31</v>
      </c>
      <c r="E38" s="17"/>
      <c r="F38" s="39"/>
      <c r="G38" s="17"/>
      <c r="H38" s="17"/>
      <c r="I38" s="57"/>
    </row>
    <row r="39" spans="1:9" ht="12.75">
      <c r="A39" s="49">
        <f t="shared" si="1"/>
        <v>28</v>
      </c>
      <c r="B39" s="45" t="s">
        <v>45</v>
      </c>
      <c r="C39" s="42" t="s">
        <v>30</v>
      </c>
      <c r="D39" s="5">
        <v>143532718</v>
      </c>
      <c r="E39" s="17">
        <v>1695340.6063576064</v>
      </c>
      <c r="F39" s="39"/>
      <c r="G39" s="17">
        <f>+F39*$D39/100+$E39</f>
        <v>1695340.6063576064</v>
      </c>
      <c r="H39" s="17">
        <f>+G39-E39</f>
        <v>0</v>
      </c>
      <c r="I39" s="57">
        <f>+H39/E39</f>
        <v>0</v>
      </c>
    </row>
    <row r="40" spans="1:9" ht="12.75">
      <c r="A40" s="49">
        <f t="shared" si="1"/>
        <v>29</v>
      </c>
      <c r="B40" s="46" t="s">
        <v>17</v>
      </c>
      <c r="C40" s="42" t="s">
        <v>32</v>
      </c>
      <c r="D40" s="5">
        <v>1993176480.99</v>
      </c>
      <c r="E40" s="17">
        <v>6219353.0030000005</v>
      </c>
      <c r="F40" s="39"/>
      <c r="G40" s="17">
        <f>+F40*$D40/100+$E40</f>
        <v>6219353.0030000005</v>
      </c>
      <c r="H40" s="17">
        <f>+G40-E40</f>
        <v>0</v>
      </c>
      <c r="I40" s="57">
        <f>+H40/E40</f>
        <v>0</v>
      </c>
    </row>
    <row r="41" spans="1:9" ht="12.75">
      <c r="A41" s="49">
        <f t="shared" si="1"/>
        <v>30</v>
      </c>
      <c r="B41" s="45"/>
      <c r="E41" s="17"/>
      <c r="F41" s="39"/>
      <c r="G41" s="17"/>
      <c r="H41" s="17"/>
      <c r="I41" s="57"/>
    </row>
    <row r="42" spans="1:9" ht="12.75">
      <c r="A42" s="49">
        <f t="shared" si="1"/>
        <v>31</v>
      </c>
      <c r="B42" s="44"/>
      <c r="E42" s="17"/>
      <c r="F42" s="39"/>
      <c r="G42" s="17"/>
      <c r="H42" s="17"/>
      <c r="I42" s="57"/>
    </row>
    <row r="43" spans="1:9" ht="12.75">
      <c r="A43" s="49">
        <f t="shared" si="1"/>
        <v>32</v>
      </c>
      <c r="B43" s="44" t="s">
        <v>18</v>
      </c>
      <c r="D43" s="5">
        <f>SUM(D36:D40)</f>
        <v>22150032320.10957</v>
      </c>
      <c r="E43" s="17">
        <f>SUM(E36:E40)</f>
        <v>1529698218.5319057</v>
      </c>
      <c r="F43" s="39"/>
      <c r="G43" s="17">
        <f>SUM(G36:G40)</f>
        <v>1516558832.318178</v>
      </c>
      <c r="H43" s="17">
        <f>SUM(H36:H40)</f>
        <v>-13139386.213727929</v>
      </c>
      <c r="I43" s="57">
        <f>+H43/E43</f>
        <v>-0.008589528349152532</v>
      </c>
    </row>
    <row r="44" spans="1:9" ht="13.5" thickBot="1">
      <c r="A44" s="50"/>
      <c r="B44" s="27"/>
      <c r="C44" s="43"/>
      <c r="D44" s="26"/>
      <c r="E44" s="52"/>
      <c r="F44" s="27"/>
      <c r="G44" s="26"/>
      <c r="H44" s="27"/>
      <c r="I44" s="30"/>
    </row>
    <row r="46" spans="2:5" ht="12.75">
      <c r="B46" s="44"/>
      <c r="C46" s="3"/>
      <c r="D46" s="31"/>
      <c r="E46" s="23"/>
    </row>
  </sheetData>
  <printOptions horizontalCentered="1" verticalCentered="1"/>
  <pageMargins left="0.75" right="0.75" top="1.25" bottom="1" header="0.5" footer="0.5"/>
  <pageSetup cellComments="asDisplayed" fitToHeight="1" fitToWidth="1" horizontalDpi="600" verticalDpi="600" orientation="landscape" scale="74" r:id="rId1"/>
  <headerFooter alignWithMargins="0">
    <oddHeader>&amp;RExhibit No. ___(SJC-5)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46"/>
  <sheetViews>
    <sheetView view="pageBreakPreview" zoomScale="60" workbookViewId="0" topLeftCell="A1">
      <selection activeCell="E10" sqref="E10"/>
    </sheetView>
  </sheetViews>
  <sheetFormatPr defaultColWidth="9.140625" defaultRowHeight="12.75"/>
  <cols>
    <col min="1" max="1" width="8.00390625" style="33" bestFit="1" customWidth="1"/>
    <col min="2" max="2" width="29.28125" style="3" bestFit="1" customWidth="1"/>
    <col min="3" max="3" width="11.00390625" style="33" customWidth="1"/>
    <col min="4" max="4" width="17.00390625" style="5" bestFit="1" customWidth="1"/>
    <col min="5" max="5" width="16.28125" style="5" bestFit="1" customWidth="1"/>
    <col min="6" max="6" width="13.8515625" style="5" bestFit="1" customWidth="1"/>
    <col min="7" max="7" width="14.140625" style="5" bestFit="1" customWidth="1"/>
    <col min="8" max="8" width="16.57421875" style="5" bestFit="1" customWidth="1"/>
    <col min="9" max="9" width="12.28125" style="3" bestFit="1" customWidth="1"/>
    <col min="10" max="10" width="9.140625" style="3" bestFit="1" customWidth="1"/>
    <col min="11" max="16384" width="9.140625" style="3" customWidth="1"/>
  </cols>
  <sheetData>
    <row r="1" spans="1:10" s="70" customFormat="1" ht="12.75">
      <c r="A1" s="67" t="s">
        <v>19</v>
      </c>
      <c r="B1" s="68"/>
      <c r="C1" s="68"/>
      <c r="D1" s="68"/>
      <c r="E1" s="68"/>
      <c r="F1" s="68"/>
      <c r="G1" s="68"/>
      <c r="H1" s="68"/>
      <c r="I1" s="68"/>
      <c r="J1" s="69"/>
    </row>
    <row r="2" spans="1:10" s="70" customFormat="1" ht="12.75">
      <c r="A2" s="71" t="s">
        <v>75</v>
      </c>
      <c r="B2" s="72"/>
      <c r="C2" s="72"/>
      <c r="D2" s="72"/>
      <c r="E2" s="72"/>
      <c r="F2" s="72"/>
      <c r="G2" s="72"/>
      <c r="H2" s="72"/>
      <c r="I2" s="72"/>
      <c r="J2" s="73"/>
    </row>
    <row r="3" spans="1:10" s="70" customFormat="1" ht="12.75">
      <c r="A3" s="65"/>
      <c r="C3" s="74"/>
      <c r="D3" s="75"/>
      <c r="E3" s="75"/>
      <c r="F3" s="75"/>
      <c r="G3" s="75"/>
      <c r="H3" s="75"/>
      <c r="J3" s="76"/>
    </row>
    <row r="4" spans="1:10" s="10" customFormat="1" ht="77.25" thickBot="1">
      <c r="A4" s="7" t="s">
        <v>43</v>
      </c>
      <c r="B4" s="34" t="s">
        <v>20</v>
      </c>
      <c r="C4" s="34" t="s">
        <v>21</v>
      </c>
      <c r="D4" s="35" t="s">
        <v>44</v>
      </c>
      <c r="E4" s="35" t="s">
        <v>37</v>
      </c>
      <c r="F4" s="35" t="s">
        <v>71</v>
      </c>
      <c r="G4" s="35" t="s">
        <v>72</v>
      </c>
      <c r="H4" s="37" t="s">
        <v>81</v>
      </c>
      <c r="I4" s="8" t="s">
        <v>73</v>
      </c>
      <c r="J4" s="9" t="s">
        <v>74</v>
      </c>
    </row>
    <row r="5" spans="1:10" ht="12.75">
      <c r="A5" s="49"/>
      <c r="J5" s="6"/>
    </row>
    <row r="6" spans="1:10" ht="12.75">
      <c r="A6" s="49">
        <v>1</v>
      </c>
      <c r="B6" s="3" t="s">
        <v>4</v>
      </c>
      <c r="C6" s="33">
        <v>7</v>
      </c>
      <c r="D6" s="5">
        <v>10129282893.454304</v>
      </c>
      <c r="E6" s="17">
        <v>827377693.0795368</v>
      </c>
      <c r="F6" s="17">
        <f>+'Page 3'!H6</f>
        <v>35768139.41146326</v>
      </c>
      <c r="G6" s="17">
        <f>+'Page 6'!H6</f>
        <v>-6839822.476792812</v>
      </c>
      <c r="H6" s="17">
        <f>SUM(E6:G6)</f>
        <v>856306010.0142072</v>
      </c>
      <c r="I6" s="17">
        <f>+H6-E6</f>
        <v>28928316.93467045</v>
      </c>
      <c r="J6" s="57">
        <f>+I6/E6</f>
        <v>0.034963858920341394</v>
      </c>
    </row>
    <row r="7" spans="1:10" ht="12.75">
      <c r="A7" s="49">
        <f aca="true" t="shared" si="0" ref="A7:A26">+A6+1</f>
        <v>2</v>
      </c>
      <c r="E7" s="17"/>
      <c r="F7" s="17"/>
      <c r="G7" s="17"/>
      <c r="H7" s="17"/>
      <c r="I7" s="17"/>
      <c r="J7" s="57"/>
    </row>
    <row r="8" spans="1:10" ht="12.75">
      <c r="A8" s="49">
        <f t="shared" si="0"/>
        <v>3</v>
      </c>
      <c r="B8" s="45" t="s">
        <v>5</v>
      </c>
      <c r="C8" s="33">
        <v>24</v>
      </c>
      <c r="D8" s="5">
        <v>2462369463.527399</v>
      </c>
      <c r="E8" s="17">
        <v>187253951.0307733</v>
      </c>
      <c r="F8" s="17">
        <f>+'Page 3'!H8</f>
        <v>8372752.308356911</v>
      </c>
      <c r="G8" s="17">
        <f>+'Page 6'!H8</f>
        <v>-1601093.6093859076</v>
      </c>
      <c r="H8" s="17">
        <f>SUM(E8:G8)</f>
        <v>194025609.72974432</v>
      </c>
      <c r="I8" s="17">
        <f>+H8-E8</f>
        <v>6771658.698971003</v>
      </c>
      <c r="J8" s="57">
        <f>+I8/E8</f>
        <v>0.03616296832026871</v>
      </c>
    </row>
    <row r="9" spans="1:10" ht="12.75">
      <c r="A9" s="49">
        <f t="shared" si="0"/>
        <v>4</v>
      </c>
      <c r="B9" s="46" t="s">
        <v>6</v>
      </c>
      <c r="C9" s="33">
        <v>25</v>
      </c>
      <c r="D9" s="5">
        <v>2923910769.5772</v>
      </c>
      <c r="E9" s="17">
        <v>217795152.96708146</v>
      </c>
      <c r="F9" s="17">
        <f>+'Page 3'!H9</f>
        <v>9944575.617893904</v>
      </c>
      <c r="G9" s="17">
        <f>+'Page 6'!H9</f>
        <v>-1901668.159223199</v>
      </c>
      <c r="H9" s="17">
        <f>SUM(E9:G9)</f>
        <v>225838060.42575216</v>
      </c>
      <c r="I9" s="17">
        <f>+H9-E9</f>
        <v>8042907.458670706</v>
      </c>
      <c r="J9" s="57">
        <f>+I9/E9</f>
        <v>0.03692877159615369</v>
      </c>
    </row>
    <row r="10" spans="1:10" ht="12.75">
      <c r="A10" s="49">
        <f t="shared" si="0"/>
        <v>5</v>
      </c>
      <c r="B10" s="46" t="s">
        <v>7</v>
      </c>
      <c r="C10" s="33">
        <v>26</v>
      </c>
      <c r="D10" s="5">
        <v>1885095294.7804825</v>
      </c>
      <c r="E10" s="17">
        <v>125851868.4024106</v>
      </c>
      <c r="F10" s="17">
        <f>+'Page 3'!H10</f>
        <v>6189663.812296733</v>
      </c>
      <c r="G10" s="17">
        <f>+'Page 6'!H10</f>
        <v>-1183628.8485715836</v>
      </c>
      <c r="H10" s="17">
        <f>SUM(E10:G10)</f>
        <v>130857903.36613575</v>
      </c>
      <c r="I10" s="17">
        <f>+H10-E10</f>
        <v>5006034.96372515</v>
      </c>
      <c r="J10" s="57">
        <f>+I10/E10</f>
        <v>0.03977720018997559</v>
      </c>
    </row>
    <row r="11" spans="1:10" ht="12.75">
      <c r="A11" s="49">
        <f t="shared" si="0"/>
        <v>6</v>
      </c>
      <c r="B11" s="46" t="s">
        <v>8</v>
      </c>
      <c r="C11" s="33">
        <v>29</v>
      </c>
      <c r="D11" s="5">
        <v>16619421.930661587</v>
      </c>
      <c r="E11" s="17">
        <v>1083826.0866406295</v>
      </c>
      <c r="F11" s="17">
        <f>+'Page 3'!H11</f>
        <v>46804.40111972741</v>
      </c>
      <c r="G11" s="17">
        <f>+'Page 6'!H11</f>
        <v>-8950.25014046277</v>
      </c>
      <c r="H11" s="17">
        <f>SUM(E11:G11)</f>
        <v>1121680.237619894</v>
      </c>
      <c r="I11" s="17">
        <f>+H11-E11</f>
        <v>37854.15097926464</v>
      </c>
      <c r="J11" s="57">
        <f>+I11/E11</f>
        <v>0.03492640696312762</v>
      </c>
    </row>
    <row r="12" spans="1:10" ht="12.75">
      <c r="A12" s="49">
        <f t="shared" si="0"/>
        <v>7</v>
      </c>
      <c r="E12" s="17"/>
      <c r="F12" s="17"/>
      <c r="G12" s="17"/>
      <c r="H12" s="17"/>
      <c r="I12" s="17"/>
      <c r="J12" s="57"/>
    </row>
    <row r="13" spans="1:10" ht="12.75">
      <c r="A13" s="49">
        <f t="shared" si="0"/>
        <v>8</v>
      </c>
      <c r="B13" s="3" t="s">
        <v>24</v>
      </c>
      <c r="D13" s="5">
        <f>SUM(D8:D12)</f>
        <v>7287994949.8157425</v>
      </c>
      <c r="E13" s="17">
        <f>SUM(E8:E12)</f>
        <v>531984798.486906</v>
      </c>
      <c r="F13" s="17">
        <f>SUM(F8:F12)</f>
        <v>24553796.139667276</v>
      </c>
      <c r="G13" s="17">
        <f>SUM(G8:G12)</f>
        <v>-4695340.867321153</v>
      </c>
      <c r="H13" s="17">
        <f>SUM(H8:H12)</f>
        <v>551843253.7592521</v>
      </c>
      <c r="I13" s="17">
        <f>SUM(I8:I11)</f>
        <v>19858455.272346124</v>
      </c>
      <c r="J13" s="57">
        <f>+I13/E13</f>
        <v>0.0373289900930034</v>
      </c>
    </row>
    <row r="14" spans="1:10" ht="12.75">
      <c r="A14" s="49">
        <f t="shared" si="0"/>
        <v>9</v>
      </c>
      <c r="E14" s="17"/>
      <c r="F14" s="17"/>
      <c r="G14" s="17"/>
      <c r="H14" s="17"/>
      <c r="I14" s="17"/>
      <c r="J14" s="57"/>
    </row>
    <row r="15" spans="1:10" ht="12.75">
      <c r="A15" s="49">
        <f t="shared" si="0"/>
        <v>10</v>
      </c>
      <c r="B15" s="46" t="s">
        <v>9</v>
      </c>
      <c r="C15" s="33">
        <v>31</v>
      </c>
      <c r="D15" s="5">
        <v>1408936864.0662336</v>
      </c>
      <c r="E15" s="17">
        <v>87701613.96852835</v>
      </c>
      <c r="F15" s="17">
        <f>+'Page 3'!H15</f>
        <v>4561352.8233382255</v>
      </c>
      <c r="G15" s="17">
        <f>+'Page 6'!H15</f>
        <v>-872252.3474523276</v>
      </c>
      <c r="H15" s="17">
        <f>SUM(E15:G15)</f>
        <v>91390714.44441424</v>
      </c>
      <c r="I15" s="17">
        <f>+H15-E15</f>
        <v>3689100.475885898</v>
      </c>
      <c r="J15" s="57">
        <f>+I15/E15</f>
        <v>0.042064225604898545</v>
      </c>
    </row>
    <row r="16" spans="1:10" ht="12.75">
      <c r="A16" s="49">
        <f t="shared" si="0"/>
        <v>11</v>
      </c>
      <c r="B16" s="46" t="s">
        <v>10</v>
      </c>
      <c r="C16" s="33">
        <v>35</v>
      </c>
      <c r="D16" s="5">
        <v>5272800</v>
      </c>
      <c r="E16" s="17">
        <v>224640.2172</v>
      </c>
      <c r="F16" s="17">
        <f>+'Page 3'!H16</f>
        <v>14765.346125710144</v>
      </c>
      <c r="G16" s="17">
        <f>+'Page 6'!H16</f>
        <v>-2823.5280886847468</v>
      </c>
      <c r="H16" s="17">
        <f>SUM(E16:G16)</f>
        <v>236582.0352370254</v>
      </c>
      <c r="I16" s="17">
        <f>+H16-E16</f>
        <v>11941.818037025398</v>
      </c>
      <c r="J16" s="57">
        <f>+I16/E16</f>
        <v>0.05315975111613005</v>
      </c>
    </row>
    <row r="17" spans="1:10" ht="12.75">
      <c r="A17" s="49">
        <f t="shared" si="0"/>
        <v>12</v>
      </c>
      <c r="B17" s="46" t="s">
        <v>11</v>
      </c>
      <c r="C17" s="33">
        <v>43</v>
      </c>
      <c r="D17" s="5">
        <v>170898928.71050644</v>
      </c>
      <c r="E17" s="17">
        <v>11531369.623198086</v>
      </c>
      <c r="F17" s="17">
        <f>+'Page 3'!H17</f>
        <v>566305.1672721598</v>
      </c>
      <c r="G17" s="17">
        <f>+'Page 6'!H17</f>
        <v>-108292.65585424006</v>
      </c>
      <c r="H17" s="17">
        <f>SUM(E17:G17)</f>
        <v>11989382.134616006</v>
      </c>
      <c r="I17" s="17">
        <f>+H17-E17</f>
        <v>458012.51141791977</v>
      </c>
      <c r="J17" s="57">
        <f>+I17/E17</f>
        <v>0.03971883014629233</v>
      </c>
    </row>
    <row r="18" spans="1:10" ht="12.75">
      <c r="A18" s="49">
        <f t="shared" si="0"/>
        <v>13</v>
      </c>
      <c r="B18" s="47"/>
      <c r="E18" s="17"/>
      <c r="F18" s="17"/>
      <c r="G18" s="17"/>
      <c r="H18" s="17"/>
      <c r="I18" s="17"/>
      <c r="J18" s="57"/>
    </row>
    <row r="19" spans="1:10" ht="12.75">
      <c r="A19" s="49">
        <f t="shared" si="0"/>
        <v>14</v>
      </c>
      <c r="B19" s="47" t="s">
        <v>25</v>
      </c>
      <c r="D19" s="5">
        <f aca="true" t="shared" si="1" ref="D19:I19">SUM(D15:D18)</f>
        <v>1585108592.77674</v>
      </c>
      <c r="E19" s="17">
        <f t="shared" si="1"/>
        <v>99457623.80892643</v>
      </c>
      <c r="F19" s="17">
        <f t="shared" si="1"/>
        <v>5142423.336736095</v>
      </c>
      <c r="G19" s="17">
        <f t="shared" si="1"/>
        <v>-983368.5313952524</v>
      </c>
      <c r="H19" s="17">
        <f t="shared" si="1"/>
        <v>103616678.61426727</v>
      </c>
      <c r="I19" s="17">
        <f t="shared" si="1"/>
        <v>4159054.8053408433</v>
      </c>
      <c r="J19" s="57">
        <f>+I19/E19</f>
        <v>0.04181735543301371</v>
      </c>
    </row>
    <row r="20" spans="1:10" ht="12.75">
      <c r="A20" s="49">
        <f t="shared" si="0"/>
        <v>15</v>
      </c>
      <c r="B20" s="47"/>
      <c r="E20" s="17"/>
      <c r="F20" s="17"/>
      <c r="G20" s="17"/>
      <c r="H20" s="17"/>
      <c r="I20" s="17"/>
      <c r="J20" s="57"/>
    </row>
    <row r="21" spans="1:10" ht="12.75">
      <c r="A21" s="49">
        <f t="shared" si="0"/>
        <v>16</v>
      </c>
      <c r="B21" s="46" t="s">
        <v>47</v>
      </c>
      <c r="C21" s="33">
        <v>40</v>
      </c>
      <c r="D21" s="5">
        <v>9526040</v>
      </c>
      <c r="E21" s="17">
        <v>593807.8416719406</v>
      </c>
      <c r="F21" s="17">
        <f>+'Page 3'!H21</f>
        <v>32399.218917607563</v>
      </c>
      <c r="G21" s="17">
        <f>+'Page 6'!H21</f>
        <v>-6195.595002410468</v>
      </c>
      <c r="H21" s="17">
        <f>SUM(E21:G21)</f>
        <v>620011.4655871377</v>
      </c>
      <c r="I21" s="17">
        <f>+H21-E21</f>
        <v>26203.623915197095</v>
      </c>
      <c r="J21" s="57">
        <f>+I21/E21</f>
        <v>0.04412812037210135</v>
      </c>
    </row>
    <row r="22" spans="1:10" ht="12.75">
      <c r="A22" s="49">
        <f t="shared" si="0"/>
        <v>17</v>
      </c>
      <c r="B22" s="46" t="s">
        <v>48</v>
      </c>
      <c r="C22" s="33">
        <v>40</v>
      </c>
      <c r="D22" s="5">
        <v>115232240</v>
      </c>
      <c r="E22" s="17">
        <v>6852149.923421958</v>
      </c>
      <c r="F22" s="17">
        <f>+'Page 3'!H22</f>
        <v>378362.2121983757</v>
      </c>
      <c r="G22" s="17">
        <f>+'Page 6'!H22</f>
        <v>-72352.94890776742</v>
      </c>
      <c r="H22" s="17">
        <f>SUM(E22:G22)</f>
        <v>7158159.186712567</v>
      </c>
      <c r="I22" s="17">
        <f>+H22-E22</f>
        <v>306009.2632906083</v>
      </c>
      <c r="J22" s="57">
        <f>+I22/E22</f>
        <v>0.04465886863400495</v>
      </c>
    </row>
    <row r="23" spans="1:10" ht="12.75">
      <c r="A23" s="49">
        <f t="shared" si="0"/>
        <v>18</v>
      </c>
      <c r="B23" s="46" t="s">
        <v>42</v>
      </c>
      <c r="C23" s="33">
        <v>40</v>
      </c>
      <c r="D23" s="5">
        <v>311760900</v>
      </c>
      <c r="E23" s="17">
        <v>17830056.01229713</v>
      </c>
      <c r="F23" s="17">
        <f>+'Page 3'!H23</f>
        <v>1009308.1511952095</v>
      </c>
      <c r="G23" s="17">
        <f>+'Page 6'!H23</f>
        <v>-193006.6448002793</v>
      </c>
      <c r="H23" s="17">
        <f>SUM(E23:G23)</f>
        <v>18646357.51869206</v>
      </c>
      <c r="I23" s="17">
        <f>+H23-E23</f>
        <v>816301.5063949302</v>
      </c>
      <c r="J23" s="57">
        <f>+I23/E23</f>
        <v>0.045782329894641885</v>
      </c>
    </row>
    <row r="24" spans="1:10" ht="12.75">
      <c r="A24" s="49">
        <f t="shared" si="0"/>
        <v>19</v>
      </c>
      <c r="B24" s="47"/>
      <c r="E24" s="17"/>
      <c r="F24" s="17"/>
      <c r="G24" s="17"/>
      <c r="H24" s="17"/>
      <c r="I24" s="17"/>
      <c r="J24" s="57"/>
    </row>
    <row r="25" spans="1:10" ht="12.75">
      <c r="A25" s="49">
        <f t="shared" si="0"/>
        <v>20</v>
      </c>
      <c r="B25" s="44" t="s">
        <v>46</v>
      </c>
      <c r="D25" s="5">
        <f aca="true" t="shared" si="2" ref="D25:I25">SUM(D21:D24)</f>
        <v>436519180</v>
      </c>
      <c r="E25" s="17">
        <f t="shared" si="2"/>
        <v>25276013.77739103</v>
      </c>
      <c r="F25" s="17">
        <f t="shared" si="2"/>
        <v>1420069.5823111928</v>
      </c>
      <c r="G25" s="17">
        <f t="shared" si="2"/>
        <v>-271555.1887104572</v>
      </c>
      <c r="H25" s="17">
        <f t="shared" si="2"/>
        <v>26424528.170991763</v>
      </c>
      <c r="I25" s="17">
        <f t="shared" si="2"/>
        <v>1148514.3936007356</v>
      </c>
      <c r="J25" s="57">
        <f>+I25/E25</f>
        <v>0.04543890518955415</v>
      </c>
    </row>
    <row r="26" spans="1:10" ht="12.75">
      <c r="A26" s="49">
        <f t="shared" si="0"/>
        <v>21</v>
      </c>
      <c r="B26" s="47"/>
      <c r="E26" s="17"/>
      <c r="F26" s="17"/>
      <c r="G26" s="17"/>
      <c r="H26" s="17"/>
      <c r="I26" s="17"/>
      <c r="J26" s="57"/>
    </row>
    <row r="27" spans="1:10" ht="12.75">
      <c r="A27" s="49">
        <f>+A20+1</f>
        <v>16</v>
      </c>
      <c r="B27" s="46" t="s">
        <v>26</v>
      </c>
      <c r="C27" s="33">
        <v>46</v>
      </c>
      <c r="D27" s="5">
        <v>53868000</v>
      </c>
      <c r="E27" s="17">
        <v>2525530.932</v>
      </c>
      <c r="F27" s="17">
        <f>+'Page 3'!H27</f>
        <v>149411.42474179948</v>
      </c>
      <c r="G27" s="17">
        <f>+'Page 6'!H27</f>
        <v>-28571.450404017232</v>
      </c>
      <c r="H27" s="17">
        <f>SUM(E27:G27)</f>
        <v>2646370.9063377823</v>
      </c>
      <c r="I27" s="17">
        <f>+H27-E27</f>
        <v>120839.97433778225</v>
      </c>
      <c r="J27" s="57">
        <f>+I27/E27</f>
        <v>0.047847354711307195</v>
      </c>
    </row>
    <row r="28" spans="1:10" ht="12.75">
      <c r="A28" s="49">
        <f aca="true" t="shared" si="3" ref="A28:A43">+A27+1</f>
        <v>17</v>
      </c>
      <c r="B28" s="45" t="s">
        <v>27</v>
      </c>
      <c r="C28" s="33">
        <v>49</v>
      </c>
      <c r="D28" s="5">
        <v>428133312.46</v>
      </c>
      <c r="E28" s="17">
        <v>21218652.50476794</v>
      </c>
      <c r="F28" s="17">
        <f>+'Page 3'!H28</f>
        <v>1379383.5037355013</v>
      </c>
      <c r="G28" s="17">
        <f>+'Page 6'!H28</f>
        <v>-263774.9250648357</v>
      </c>
      <c r="H28" s="17">
        <f>SUM(E28:G28)</f>
        <v>22334261.083438605</v>
      </c>
      <c r="I28" s="17">
        <f>+H28-E28</f>
        <v>1115608.5786706656</v>
      </c>
      <c r="J28" s="57">
        <f>+I28/E28</f>
        <v>0.05257678725922783</v>
      </c>
    </row>
    <row r="29" spans="1:10" ht="12.75">
      <c r="A29" s="49">
        <f t="shared" si="3"/>
        <v>18</v>
      </c>
      <c r="E29" s="17"/>
      <c r="F29" s="17"/>
      <c r="G29" s="17"/>
      <c r="H29" s="17"/>
      <c r="I29" s="17"/>
      <c r="J29" s="57"/>
    </row>
    <row r="30" spans="1:10" ht="12.75">
      <c r="A30" s="49">
        <f t="shared" si="3"/>
        <v>19</v>
      </c>
      <c r="B30" s="44" t="s">
        <v>28</v>
      </c>
      <c r="D30" s="5">
        <f aca="true" t="shared" si="4" ref="D30:I30">SUM(D27:D29)</f>
        <v>482001312.46</v>
      </c>
      <c r="E30" s="17">
        <f t="shared" si="4"/>
        <v>23744183.43676794</v>
      </c>
      <c r="F30" s="17">
        <f t="shared" si="4"/>
        <v>1528794.9284773008</v>
      </c>
      <c r="G30" s="17">
        <f t="shared" si="4"/>
        <v>-292346.37546885293</v>
      </c>
      <c r="H30" s="5">
        <f t="shared" si="4"/>
        <v>24980631.989776388</v>
      </c>
      <c r="I30" s="17">
        <f t="shared" si="4"/>
        <v>1236448.5530084479</v>
      </c>
      <c r="J30" s="57">
        <f>+I30/E30</f>
        <v>0.0520737449784777</v>
      </c>
    </row>
    <row r="31" spans="1:10" ht="12.75">
      <c r="A31" s="49">
        <f t="shared" si="3"/>
        <v>20</v>
      </c>
      <c r="E31" s="17"/>
      <c r="F31" s="17"/>
      <c r="G31" s="17"/>
      <c r="H31" s="17"/>
      <c r="I31" s="17"/>
      <c r="J31" s="57"/>
    </row>
    <row r="32" spans="1:10" ht="12.75">
      <c r="A32" s="49">
        <f t="shared" si="3"/>
        <v>21</v>
      </c>
      <c r="B32" s="3" t="s">
        <v>14</v>
      </c>
      <c r="D32" s="5">
        <v>85072943.13000001</v>
      </c>
      <c r="E32" s="17">
        <v>13483388.20082</v>
      </c>
      <c r="F32" s="17">
        <f>+'Page 3'!H32</f>
        <v>271511.26369769126</v>
      </c>
      <c r="G32" s="17">
        <f>+'Page 6'!H32</f>
        <v>-51920.1969881244</v>
      </c>
      <c r="H32" s="17">
        <f>SUM(E32:G32)</f>
        <v>13702979.267529568</v>
      </c>
      <c r="I32" s="17">
        <f>+H32-E32</f>
        <v>219591.06670956686</v>
      </c>
      <c r="J32" s="57">
        <f>+I32/E32</f>
        <v>0.01628604497912567</v>
      </c>
    </row>
    <row r="33" spans="1:10" ht="12.75">
      <c r="A33" s="49">
        <f t="shared" si="3"/>
        <v>22</v>
      </c>
      <c r="E33" s="17"/>
      <c r="F33" s="17"/>
      <c r="G33" s="17"/>
      <c r="H33" s="17"/>
      <c r="I33" s="17"/>
      <c r="J33" s="57"/>
    </row>
    <row r="34" spans="1:10" ht="12.75">
      <c r="A34" s="49">
        <f t="shared" si="3"/>
        <v>23</v>
      </c>
      <c r="B34" s="48" t="s">
        <v>29</v>
      </c>
      <c r="C34" s="42" t="s">
        <v>30</v>
      </c>
      <c r="D34" s="5">
        <v>7343249.482781174</v>
      </c>
      <c r="E34" s="17">
        <v>459824.1321999139</v>
      </c>
      <c r="F34" s="17">
        <f>+'Page 3'!H34</f>
        <v>26317.337647244625</v>
      </c>
      <c r="G34" s="17">
        <f>+'Page 6'!H34</f>
        <v>-5032.577051275992</v>
      </c>
      <c r="H34" s="17">
        <f>SUM(E34:G34)</f>
        <v>481108.89279588254</v>
      </c>
      <c r="I34" s="17">
        <f>+H34-E34</f>
        <v>21284.760595968633</v>
      </c>
      <c r="J34" s="57">
        <f>+I34/E34</f>
        <v>0.046288915925610526</v>
      </c>
    </row>
    <row r="35" spans="1:10" ht="12.75">
      <c r="A35" s="49">
        <f t="shared" si="3"/>
        <v>24</v>
      </c>
      <c r="B35" s="48"/>
      <c r="C35" s="42"/>
      <c r="E35" s="17"/>
      <c r="F35" s="17"/>
      <c r="G35" s="17"/>
      <c r="H35" s="17"/>
      <c r="I35" s="17"/>
      <c r="J35" s="57"/>
    </row>
    <row r="36" spans="1:10" ht="12.75">
      <c r="A36" s="49">
        <f t="shared" si="3"/>
        <v>25</v>
      </c>
      <c r="B36" s="46" t="s">
        <v>16</v>
      </c>
      <c r="D36" s="5">
        <f aca="true" t="shared" si="5" ref="D36:I36">SUM(D32,D30,D25,D19,D13,D6,D34)</f>
        <v>20013323121.119568</v>
      </c>
      <c r="E36" s="17">
        <f t="shared" si="5"/>
        <v>1521783524.922548</v>
      </c>
      <c r="F36" s="17">
        <f t="shared" si="5"/>
        <v>68711052.00000006</v>
      </c>
      <c r="G36" s="17">
        <f t="shared" si="5"/>
        <v>-13139386.213727929</v>
      </c>
      <c r="H36" s="17">
        <f t="shared" si="5"/>
        <v>1577355190.70882</v>
      </c>
      <c r="I36" s="17">
        <f t="shared" si="5"/>
        <v>55571665.78627213</v>
      </c>
      <c r="J36" s="57">
        <f>+I36/E36</f>
        <v>0.036517457888171366</v>
      </c>
    </row>
    <row r="37" spans="1:10" ht="12.75">
      <c r="A37" s="49">
        <f t="shared" si="3"/>
        <v>26</v>
      </c>
      <c r="B37" s="44"/>
      <c r="E37" s="17"/>
      <c r="F37" s="17"/>
      <c r="G37" s="17"/>
      <c r="H37" s="17"/>
      <c r="I37" s="17"/>
      <c r="J37" s="57"/>
    </row>
    <row r="38" spans="1:10" ht="12.75">
      <c r="A38" s="49">
        <f t="shared" si="3"/>
        <v>27</v>
      </c>
      <c r="B38" s="44" t="s">
        <v>31</v>
      </c>
      <c r="E38" s="17"/>
      <c r="F38" s="17"/>
      <c r="G38" s="17"/>
      <c r="H38" s="17"/>
      <c r="I38" s="17"/>
      <c r="J38" s="57"/>
    </row>
    <row r="39" spans="1:10" ht="12.75">
      <c r="A39" s="49">
        <f t="shared" si="3"/>
        <v>28</v>
      </c>
      <c r="B39" s="45" t="s">
        <v>45</v>
      </c>
      <c r="C39" s="42" t="s">
        <v>30</v>
      </c>
      <c r="D39" s="5">
        <v>143532718</v>
      </c>
      <c r="E39" s="17">
        <v>1695340.6063576064</v>
      </c>
      <c r="F39" s="17">
        <f>+'Page 3'!H39</f>
        <v>0</v>
      </c>
      <c r="G39" s="17">
        <f>+'Page 6'!H39</f>
        <v>0</v>
      </c>
      <c r="H39" s="17">
        <f>SUM(E39:G39)</f>
        <v>1695340.6063576064</v>
      </c>
      <c r="I39" s="17">
        <f>+H39-E39</f>
        <v>0</v>
      </c>
      <c r="J39" s="57">
        <f>+I39/E39</f>
        <v>0</v>
      </c>
    </row>
    <row r="40" spans="1:10" ht="12.75">
      <c r="A40" s="49">
        <f t="shared" si="3"/>
        <v>29</v>
      </c>
      <c r="B40" s="46" t="s">
        <v>17</v>
      </c>
      <c r="C40" s="42" t="s">
        <v>32</v>
      </c>
      <c r="D40" s="5">
        <v>1993176480.99</v>
      </c>
      <c r="E40" s="17">
        <v>6219353.0030000005</v>
      </c>
      <c r="F40" s="17">
        <f>+'Page 3'!H40</f>
        <v>0</v>
      </c>
      <c r="G40" s="17">
        <f>+'Page 6'!H40</f>
        <v>0</v>
      </c>
      <c r="H40" s="17">
        <f>SUM(E40:G40)</f>
        <v>6219353.0030000005</v>
      </c>
      <c r="I40" s="17">
        <f>+H40-E40</f>
        <v>0</v>
      </c>
      <c r="J40" s="57">
        <f>+I40/E40</f>
        <v>0</v>
      </c>
    </row>
    <row r="41" spans="1:10" ht="12.75">
      <c r="A41" s="49">
        <f t="shared" si="3"/>
        <v>30</v>
      </c>
      <c r="B41" s="45"/>
      <c r="E41" s="17"/>
      <c r="F41" s="17"/>
      <c r="G41" s="17"/>
      <c r="H41" s="17"/>
      <c r="I41" s="17"/>
      <c r="J41" s="57"/>
    </row>
    <row r="42" spans="1:10" ht="12.75">
      <c r="A42" s="49">
        <f t="shared" si="3"/>
        <v>31</v>
      </c>
      <c r="B42" s="44"/>
      <c r="E42" s="17"/>
      <c r="F42" s="17"/>
      <c r="G42" s="17"/>
      <c r="H42" s="17"/>
      <c r="I42" s="17"/>
      <c r="J42" s="57"/>
    </row>
    <row r="43" spans="1:10" ht="12.75">
      <c r="A43" s="49">
        <f t="shared" si="3"/>
        <v>32</v>
      </c>
      <c r="B43" s="44" t="s">
        <v>18</v>
      </c>
      <c r="D43" s="5">
        <f aca="true" t="shared" si="6" ref="D43:I43">SUM(D36:D40)</f>
        <v>22150032320.10957</v>
      </c>
      <c r="E43" s="17">
        <f t="shared" si="6"/>
        <v>1529698218.5319057</v>
      </c>
      <c r="F43" s="17">
        <f t="shared" si="6"/>
        <v>68711052.00000006</v>
      </c>
      <c r="G43" s="17">
        <f t="shared" si="6"/>
        <v>-13139386.213727929</v>
      </c>
      <c r="H43" s="17">
        <f t="shared" si="6"/>
        <v>1585269884.3181777</v>
      </c>
      <c r="I43" s="17">
        <f t="shared" si="6"/>
        <v>55571665.78627213</v>
      </c>
      <c r="J43" s="57">
        <f>+I43/E43</f>
        <v>0.03632851572488972</v>
      </c>
    </row>
    <row r="44" spans="1:10" ht="13.5" thickBot="1">
      <c r="A44" s="50"/>
      <c r="B44" s="27"/>
      <c r="C44" s="43"/>
      <c r="D44" s="26"/>
      <c r="E44" s="52"/>
      <c r="F44" s="52"/>
      <c r="G44" s="52"/>
      <c r="H44" s="26"/>
      <c r="I44" s="27"/>
      <c r="J44" s="30"/>
    </row>
    <row r="46" spans="2:7" ht="12.75">
      <c r="B46" s="44"/>
      <c r="C46" s="3"/>
      <c r="D46" s="31"/>
      <c r="E46" s="23"/>
      <c r="F46" s="23"/>
      <c r="G46" s="23"/>
    </row>
  </sheetData>
  <printOptions horizontalCentered="1" verticalCentered="1"/>
  <pageMargins left="0.75" right="0.75" top="1.25" bottom="1" header="0.5" footer="0.5"/>
  <pageSetup cellComments="asDisplayed" fitToHeight="1" fitToWidth="1" horizontalDpi="600" verticalDpi="600" orientation="landscape" scale="74" r:id="rId1"/>
  <headerFooter alignWithMargins="0">
    <oddHeader>&amp;R&amp;"Times New Roman,Regular"&amp;12Exhibit No. ___(SJC-5)
Page &amp;P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PCORC: Exhibit No. ___(SJC-4)</dc:title>
  <dc:subject/>
  <dc:creator>Kuzma, Jason</dc:creator>
  <cp:keywords/>
  <dc:description/>
  <cp:lastModifiedBy>No Name</cp:lastModifiedBy>
  <cp:lastPrinted>2005-05-28T23:20:23Z</cp:lastPrinted>
  <dcterms:created xsi:type="dcterms:W3CDTF">2004-02-12T21:16:50Z</dcterms:created>
  <dcterms:modified xsi:type="dcterms:W3CDTF">2005-06-04T02:15:31Z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lication">
    <vt:lpwstr>EXCEL - .XLS</vt:lpwstr>
  </property>
  <property fmtid="{D5CDD505-2E9C-101B-9397-08002B2CF9AE}" pid="3" name="author">
    <vt:lpwstr>Kuzma, Jason</vt:lpwstr>
  </property>
  <property fmtid="{D5CDD505-2E9C-101B-9397-08002B2CF9AE}" pid="4" name="archive">
    <vt:lpwstr>1 month last access</vt:lpwstr>
  </property>
  <property fmtid="{D5CDD505-2E9C-101B-9397-08002B2CF9AE}" pid="5" name="encrypt">
    <vt:lpwstr>0</vt:lpwstr>
  </property>
  <property fmtid="{D5CDD505-2E9C-101B-9397-08002B2CF9AE}" pid="6" name="association">
    <vt:lpwstr>ENVIRON/ENERGY</vt:lpwstr>
  </property>
  <property fmtid="{D5CDD505-2E9C-101B-9397-08002B2CF9AE}" pid="7" name="reference">
    <vt:lpwstr>07771-0381-000000</vt:lpwstr>
  </property>
  <property fmtid="{D5CDD505-2E9C-101B-9397-08002B2CF9AE}" pid="8" name="title">
    <vt:lpwstr>PCORC: Exhibit No. ___(SJC-4)</vt:lpwstr>
  </property>
  <property fmtid="{D5CDD505-2E9C-101B-9397-08002B2CF9AE}" pid="9" name="catid">
    <vt:lpwstr>BA</vt:lpwstr>
  </property>
  <property fmtid="{D5CDD505-2E9C-101B-9397-08002B2CF9AE}" pid="10" name="refname1">
    <vt:lpwstr>Puget Sound Energy, Inc.</vt:lpwstr>
  </property>
  <property fmtid="{D5CDD505-2E9C-101B-9397-08002B2CF9AE}" pid="11" name="refname2">
    <vt:lpwstr>June 2005 PCORC</vt:lpwstr>
  </property>
  <property fmtid="{D5CDD505-2E9C-101B-9397-08002B2CF9AE}" pid="12" name="indextext">
    <vt:lpwstr>1</vt:lpwstr>
  </property>
  <property fmtid="{D5CDD505-2E9C-101B-9397-08002B2CF9AE}" pid="13" name="filecat">
    <vt:lpwstr>13 GENERAL BUSINESS</vt:lpwstr>
  </property>
  <property fmtid="{D5CDD505-2E9C-101B-9397-08002B2CF9AE}" pid="14" name="version">
    <vt:lpwstr/>
  </property>
  <property fmtid="{D5CDD505-2E9C-101B-9397-08002B2CF9AE}" pid="15" name="typist">
    <vt:lpwstr>Kuzma, Jason</vt:lpwstr>
  </property>
  <property fmtid="{D5CDD505-2E9C-101B-9397-08002B2CF9AE}" pid="16" name="filename">
    <vt:lpwstr>BA051480.006</vt:lpwstr>
  </property>
  <property fmtid="{D5CDD505-2E9C-101B-9397-08002B2CF9AE}" pid="17" name="DocumentSetType">
    <vt:lpwstr>Testimony</vt:lpwstr>
  </property>
  <property fmtid="{D5CDD505-2E9C-101B-9397-08002B2CF9AE}" pid="18" name="IsHighlyConfidential">
    <vt:lpwstr>0</vt:lpwstr>
  </property>
  <property fmtid="{D5CDD505-2E9C-101B-9397-08002B2CF9AE}" pid="19" name="DocketNumber">
    <vt:lpwstr>050870</vt:lpwstr>
  </property>
  <property fmtid="{D5CDD505-2E9C-101B-9397-08002B2CF9AE}" pid="20" name="IsConfidential">
    <vt:lpwstr>0</vt:lpwstr>
  </property>
  <property fmtid="{D5CDD505-2E9C-101B-9397-08002B2CF9AE}" pid="21" name="Date1">
    <vt:lpwstr>2005-06-07T00:00:00Z</vt:lpwstr>
  </property>
  <property fmtid="{D5CDD505-2E9C-101B-9397-08002B2CF9AE}" pid="22" name="CaseType">
    <vt:lpwstr>Tariff Revision</vt:lpwstr>
  </property>
  <property fmtid="{D5CDD505-2E9C-101B-9397-08002B2CF9AE}" pid="23" name="OpenedDate">
    <vt:lpwstr>2005-06-07T00:00:00Z</vt:lpwstr>
  </property>
  <property fmtid="{D5CDD505-2E9C-101B-9397-08002B2CF9AE}" pid="24" name="Prefix">
    <vt:lpwstr>UE</vt:lpwstr>
  </property>
  <property fmtid="{D5CDD505-2E9C-101B-9397-08002B2CF9AE}" pid="25" name="CaseCompanyNames">
    <vt:lpwstr>Puget Sound Energy</vt:lpwstr>
  </property>
  <property fmtid="{D5CDD505-2E9C-101B-9397-08002B2CF9AE}" pid="26" name="IndustryCode">
    <vt:lpwstr>140</vt:lpwstr>
  </property>
  <property fmtid="{D5CDD505-2E9C-101B-9397-08002B2CF9AE}" pid="27" name="CaseStatus">
    <vt:lpwstr>Closed</vt:lpwstr>
  </property>
  <property fmtid="{D5CDD505-2E9C-101B-9397-08002B2CF9AE}" pid="28" name="_docset_NoMedatataSyncRequired">
    <vt:lpwstr>False</vt:lpwstr>
  </property>
  <property fmtid="{D5CDD505-2E9C-101B-9397-08002B2CF9AE}" pid="29" name="Nickname">
    <vt:lpwstr/>
  </property>
  <property fmtid="{D5CDD505-2E9C-101B-9397-08002B2CF9AE}" pid="30" name="Process">
    <vt:lpwstr/>
  </property>
  <property fmtid="{D5CDD505-2E9C-101B-9397-08002B2CF9AE}" pid="31" name="Visibility">
    <vt:lpwstr/>
  </property>
  <property fmtid="{D5CDD505-2E9C-101B-9397-08002B2CF9AE}" pid="32" name="DocumentGroup">
    <vt:lpwstr/>
  </property>
</Properties>
</file>