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1.xml" ContentType="application/vnd.openxmlformats-officedocument.spreadsheetml.externalLink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20" yWindow="315" windowWidth="18195" windowHeight="10650" tabRatio="821"/>
  </bookViews>
  <sheets>
    <sheet name="Summary" sheetId="4" r:id="rId1"/>
    <sheet name="Total Adj" sheetId="13" r:id="rId2"/>
    <sheet name="Restating Adj" sheetId="1" r:id="rId3"/>
    <sheet name="Pro Forma Adj" sheetId="17" r:id="rId4"/>
    <sheet name="Interest Calc" sheetId="7" r:id="rId5"/>
    <sheet name="Variables" sheetId="3" r:id="rId6"/>
    <sheet name="Check Sheet" sheetId="5" r:id="rId7"/>
    <sheet name="Rev Req Adj Summary" sheetId="16" r:id="rId8"/>
    <sheet name="Summarized Adjustments" sheetId="15" r:id="rId9"/>
    <sheet name="Page 1.4" sheetId="12" r:id="rId10"/>
    <sheet name="Page 1.5" sheetId="10" r:id="rId11"/>
    <sheet name="Page 1.6" sheetId="1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9">'Page 1.4'!$A$1:$J$80</definedName>
    <definedName name="_xlnm.Print_Area" localSheetId="10">'Page 1.5'!$A$1:$I$80</definedName>
    <definedName name="_xlnm.Print_Area" localSheetId="11">'Page 1.6'!$A$1:$I$80</definedName>
    <definedName name="_xlnm.Print_Area" localSheetId="3">'Pro Forma Adj'!$A$7:$BX$87</definedName>
    <definedName name="_xlnm.Print_Area" localSheetId="2">'Restating Adj'!$A$7:$BX$87</definedName>
    <definedName name="_xlnm.Print_Area" localSheetId="7">'Rev Req Adj Summary'!$A$1:$Q$88</definedName>
    <definedName name="_xlnm.Print_Area" localSheetId="1">'Total Adj'!$B$7:$BX$87</definedName>
    <definedName name="_xlnm.Print_Titles" localSheetId="3">'Pro Forma Adj'!$A:$A</definedName>
    <definedName name="_xlnm.Print_Titles" localSheetId="2">'Restating Adj'!$A:$A</definedName>
    <definedName name="_xlnm.Print_Titles" localSheetId="8">'Summarized Adjustments'!$A:$B,'Summarized Adjustments'!$1:$4</definedName>
    <definedName name="_xlnm.Print_Titles" localSheetId="1">'Total Adj'!$A:$A,'Total Adj'!$1:$4</definedName>
    <definedName name="Restated_Op_revenue">Summary!$F$37</definedName>
    <definedName name="Restated_rate_base">Summary!$F$64</definedName>
    <definedName name="Restated_ROE">Summary!$F$67</definedName>
    <definedName name="Unadj_Op_revenue">Summary!$B$37</definedName>
    <definedName name="Unadj_rate_base">Summary!$B$64</definedName>
    <definedName name="Unadj_ROE">Summary!$B$67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45621" iterate="1"/>
</workbook>
</file>

<file path=xl/calcChain.xml><?xml version="1.0" encoding="utf-8"?>
<calcChain xmlns="http://schemas.openxmlformats.org/spreadsheetml/2006/main">
  <c r="G83" i="16" l="1"/>
  <c r="F10" i="16"/>
  <c r="E10" i="16"/>
  <c r="G29" i="5" l="1"/>
  <c r="G28" i="5"/>
  <c r="G27" i="5"/>
  <c r="G26" i="5"/>
  <c r="G24" i="5"/>
  <c r="G23" i="5"/>
  <c r="G22" i="5"/>
  <c r="G21" i="5"/>
  <c r="G20" i="5"/>
  <c r="G19" i="5"/>
  <c r="G18" i="5"/>
  <c r="G17" i="5"/>
  <c r="G16" i="5"/>
  <c r="G13" i="5"/>
  <c r="G12" i="5"/>
  <c r="G11" i="5"/>
  <c r="G10" i="5"/>
  <c r="K83" i="5"/>
  <c r="G83" i="5"/>
  <c r="C83" i="5"/>
  <c r="K79" i="5"/>
  <c r="K78" i="5"/>
  <c r="K76" i="5"/>
  <c r="K75" i="5"/>
  <c r="K74" i="5"/>
  <c r="K73" i="5"/>
  <c r="K72" i="5"/>
  <c r="K71" i="5"/>
  <c r="K70" i="5"/>
  <c r="K67" i="5"/>
  <c r="K64" i="5"/>
  <c r="K62" i="5"/>
  <c r="K61" i="5"/>
  <c r="K60" i="5"/>
  <c r="K59" i="5"/>
  <c r="K58" i="5"/>
  <c r="K57" i="5"/>
  <c r="K56" i="5"/>
  <c r="K55" i="5"/>
  <c r="K54" i="5"/>
  <c r="K51" i="5"/>
  <c r="K50" i="5"/>
  <c r="K49" i="5"/>
  <c r="K48" i="5"/>
  <c r="K47" i="5"/>
  <c r="K46" i="5"/>
  <c r="K45" i="5"/>
  <c r="K44" i="5"/>
  <c r="K43" i="5"/>
  <c r="K42" i="5"/>
  <c r="K41" i="5"/>
  <c r="K40" i="5"/>
  <c r="K37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3" i="5"/>
  <c r="K12" i="5"/>
  <c r="K11" i="5"/>
  <c r="K10" i="5"/>
  <c r="K9" i="5"/>
  <c r="G79" i="5"/>
  <c r="G78" i="5"/>
  <c r="G76" i="5"/>
  <c r="G75" i="5"/>
  <c r="G74" i="5"/>
  <c r="G73" i="5"/>
  <c r="G72" i="5"/>
  <c r="G71" i="5"/>
  <c r="G70" i="5"/>
  <c r="G67" i="5"/>
  <c r="G64" i="5"/>
  <c r="G62" i="5"/>
  <c r="G61" i="5"/>
  <c r="G60" i="5"/>
  <c r="G59" i="5"/>
  <c r="G58" i="5"/>
  <c r="G57" i="5"/>
  <c r="G56" i="5"/>
  <c r="G55" i="5"/>
  <c r="G54" i="5"/>
  <c r="G51" i="5"/>
  <c r="G50" i="5"/>
  <c r="G49" i="5"/>
  <c r="G48" i="5"/>
  <c r="G47" i="5"/>
  <c r="G46" i="5"/>
  <c r="G45" i="5"/>
  <c r="G44" i="5"/>
  <c r="G43" i="5"/>
  <c r="G42" i="5"/>
  <c r="G41" i="5"/>
  <c r="G40" i="5"/>
  <c r="G37" i="5"/>
  <c r="G35" i="5"/>
  <c r="G34" i="5"/>
  <c r="G33" i="5"/>
  <c r="G32" i="5"/>
  <c r="G31" i="5"/>
  <c r="C79" i="5"/>
  <c r="C78" i="5"/>
  <c r="C76" i="5"/>
  <c r="C75" i="5"/>
  <c r="C74" i="5"/>
  <c r="C73" i="5"/>
  <c r="C72" i="5"/>
  <c r="C71" i="5"/>
  <c r="C70" i="5"/>
  <c r="C67" i="5"/>
  <c r="C64" i="5"/>
  <c r="C62" i="5"/>
  <c r="C61" i="5"/>
  <c r="C60" i="5"/>
  <c r="C59" i="5"/>
  <c r="C58" i="5"/>
  <c r="C57" i="5"/>
  <c r="C56" i="5"/>
  <c r="C55" i="5"/>
  <c r="C54" i="5"/>
  <c r="C51" i="5"/>
  <c r="C50" i="5"/>
  <c r="C49" i="5"/>
  <c r="C48" i="5"/>
  <c r="C47" i="5"/>
  <c r="C46" i="5"/>
  <c r="C45" i="5"/>
  <c r="C44" i="5"/>
  <c r="C43" i="5"/>
  <c r="C42" i="5"/>
  <c r="C41" i="5"/>
  <c r="C40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3" i="5"/>
  <c r="C12" i="5"/>
  <c r="C11" i="5"/>
  <c r="C10" i="5"/>
  <c r="C9" i="5"/>
  <c r="G9" i="5"/>
  <c r="G25" i="5"/>
  <c r="G30" i="5"/>
  <c r="S71" i="5"/>
  <c r="S70" i="5"/>
  <c r="O67" i="5"/>
  <c r="O36" i="5"/>
  <c r="BV93" i="13"/>
  <c r="BU93" i="13"/>
  <c r="BT93" i="13"/>
  <c r="BS93" i="13"/>
  <c r="BR93" i="13"/>
  <c r="BQ93" i="13"/>
  <c r="BP93" i="13"/>
  <c r="BO93" i="13"/>
  <c r="BN93" i="13"/>
  <c r="BM93" i="13"/>
  <c r="BL93" i="13"/>
  <c r="BK93" i="13"/>
  <c r="BJ93" i="13"/>
  <c r="BI93" i="13"/>
  <c r="BH93" i="13"/>
  <c r="BG93" i="13"/>
  <c r="BF93" i="13"/>
  <c r="BE93" i="13"/>
  <c r="BD93" i="13"/>
  <c r="BC93" i="13"/>
  <c r="BB93" i="13"/>
  <c r="BA93" i="13"/>
  <c r="AZ93" i="13"/>
  <c r="AY93" i="13"/>
  <c r="AX93" i="13"/>
  <c r="AW93" i="13"/>
  <c r="AV93" i="13"/>
  <c r="AU93" i="13"/>
  <c r="AT93" i="13"/>
  <c r="AS93" i="13"/>
  <c r="AR93" i="13"/>
  <c r="AQ93" i="13"/>
  <c r="AP93" i="13"/>
  <c r="AO93" i="13"/>
  <c r="AN93" i="13"/>
  <c r="AM93" i="13"/>
  <c r="AL93" i="13"/>
  <c r="AK93" i="13"/>
  <c r="AJ93" i="13"/>
  <c r="AI93" i="13"/>
  <c r="AH93" i="13"/>
  <c r="AG93" i="13"/>
  <c r="AF93" i="13"/>
  <c r="AE93" i="13"/>
  <c r="AD93" i="13"/>
  <c r="AC93" i="13"/>
  <c r="AB93" i="13"/>
  <c r="AA93" i="13"/>
  <c r="Z93" i="13"/>
  <c r="Y93" i="13"/>
  <c r="X93" i="13"/>
  <c r="W93" i="13"/>
  <c r="V93" i="13"/>
  <c r="U93" i="13"/>
  <c r="T93" i="13"/>
  <c r="S93" i="13"/>
  <c r="R93" i="13"/>
  <c r="Q93" i="13"/>
  <c r="P93" i="13"/>
  <c r="O93" i="13"/>
  <c r="M93" i="13"/>
  <c r="L93" i="13"/>
  <c r="K93" i="13"/>
  <c r="J93" i="13"/>
  <c r="I93" i="13"/>
  <c r="H93" i="13"/>
  <c r="G93" i="13"/>
  <c r="F93" i="13"/>
  <c r="E93" i="13"/>
  <c r="D93" i="13"/>
  <c r="C93" i="13"/>
  <c r="BX90" i="13"/>
  <c r="BW90" i="13"/>
  <c r="BV90" i="13"/>
  <c r="BU90" i="13"/>
  <c r="BT90" i="13"/>
  <c r="BS90" i="13"/>
  <c r="BR90" i="13"/>
  <c r="BQ90" i="13"/>
  <c r="BP90" i="13"/>
  <c r="BO90" i="13"/>
  <c r="BN90" i="13"/>
  <c r="BM90" i="13"/>
  <c r="BL90" i="13"/>
  <c r="BK90" i="13"/>
  <c r="BJ90" i="13"/>
  <c r="BI90" i="13"/>
  <c r="BH90" i="13"/>
  <c r="BG90" i="13"/>
  <c r="BF90" i="13"/>
  <c r="BE90" i="13"/>
  <c r="BD90" i="13"/>
  <c r="BC90" i="13"/>
  <c r="BB90" i="13"/>
  <c r="BA90" i="13"/>
  <c r="AZ90" i="13"/>
  <c r="AY90" i="13"/>
  <c r="AX90" i="13"/>
  <c r="AW90" i="13"/>
  <c r="AV90" i="13"/>
  <c r="AU90" i="13"/>
  <c r="AT90" i="13"/>
  <c r="AS90" i="13"/>
  <c r="AR90" i="13"/>
  <c r="AQ90" i="13"/>
  <c r="AP90" i="13"/>
  <c r="AO90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M90" i="13"/>
  <c r="L90" i="13"/>
  <c r="K90" i="13"/>
  <c r="J90" i="13"/>
  <c r="I90" i="13"/>
  <c r="H90" i="13"/>
  <c r="G90" i="13"/>
  <c r="F90" i="13"/>
  <c r="E90" i="13"/>
  <c r="D90" i="13"/>
  <c r="C90" i="13"/>
  <c r="W83" i="5"/>
  <c r="S83" i="5"/>
  <c r="O83" i="5"/>
  <c r="W79" i="5"/>
  <c r="S79" i="5"/>
  <c r="S78" i="5"/>
  <c r="S76" i="5"/>
  <c r="S75" i="5"/>
  <c r="S74" i="5"/>
  <c r="S73" i="5"/>
  <c r="S72" i="5"/>
  <c r="O79" i="5"/>
  <c r="O78" i="5"/>
  <c r="O76" i="5"/>
  <c r="O75" i="5"/>
  <c r="O74" i="5"/>
  <c r="O73" i="5"/>
  <c r="O72" i="5"/>
  <c r="O71" i="5"/>
  <c r="O70" i="5"/>
  <c r="W74" i="5"/>
  <c r="W73" i="5"/>
  <c r="W72" i="5"/>
  <c r="W71" i="5"/>
  <c r="W70" i="5"/>
  <c r="W69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5" i="5"/>
  <c r="W24" i="5"/>
  <c r="W23" i="5"/>
  <c r="W22" i="5"/>
  <c r="W21" i="5"/>
  <c r="W20" i="5"/>
  <c r="W19" i="5"/>
  <c r="W18" i="5"/>
  <c r="W17" i="5"/>
  <c r="W16" i="5"/>
  <c r="W12" i="5"/>
  <c r="W11" i="5"/>
  <c r="W10" i="5"/>
  <c r="W9" i="5"/>
  <c r="S67" i="5"/>
  <c r="S64" i="5"/>
  <c r="S62" i="5"/>
  <c r="S61" i="5"/>
  <c r="S60" i="5"/>
  <c r="S59" i="5"/>
  <c r="S58" i="5"/>
  <c r="S57" i="5"/>
  <c r="S56" i="5"/>
  <c r="S55" i="5"/>
  <c r="S54" i="5"/>
  <c r="S51" i="5"/>
  <c r="S50" i="5"/>
  <c r="S49" i="5"/>
  <c r="S48" i="5"/>
  <c r="S47" i="5"/>
  <c r="S46" i="5"/>
  <c r="S45" i="5"/>
  <c r="S44" i="5"/>
  <c r="S43" i="5"/>
  <c r="S42" i="5"/>
  <c r="S41" i="5"/>
  <c r="S40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3" i="5"/>
  <c r="S12" i="5"/>
  <c r="S11" i="5"/>
  <c r="S10" i="5"/>
  <c r="S9" i="5"/>
  <c r="O64" i="5"/>
  <c r="O62" i="5"/>
  <c r="O61" i="5"/>
  <c r="O60" i="5"/>
  <c r="O59" i="5"/>
  <c r="O58" i="5"/>
  <c r="O57" i="5"/>
  <c r="O56" i="5"/>
  <c r="O55" i="5"/>
  <c r="O54" i="5"/>
  <c r="O51" i="5"/>
  <c r="O50" i="5"/>
  <c r="O49" i="5"/>
  <c r="O48" i="5"/>
  <c r="O47" i="5"/>
  <c r="O46" i="5"/>
  <c r="O45" i="5"/>
  <c r="O44" i="5"/>
  <c r="O43" i="5"/>
  <c r="O42" i="5"/>
  <c r="O41" i="5"/>
  <c r="O40" i="5"/>
  <c r="O37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3" i="5"/>
  <c r="O12" i="5"/>
  <c r="O11" i="5"/>
  <c r="O10" i="5"/>
  <c r="O9" i="5"/>
  <c r="B84" i="4"/>
  <c r="B76" i="4"/>
  <c r="B75" i="4"/>
  <c r="B74" i="4"/>
  <c r="B73" i="4"/>
  <c r="B72" i="4"/>
  <c r="B61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G77" i="16" l="1"/>
  <c r="AZ59" i="1" l="1"/>
  <c r="AZ35" i="1"/>
  <c r="AN78" i="1" l="1"/>
  <c r="AN59" i="1"/>
  <c r="AN35" i="1"/>
  <c r="AM57" i="1"/>
  <c r="AL30" i="1"/>
  <c r="AE23" i="17" l="1"/>
  <c r="AE22" i="17"/>
  <c r="AE19" i="17"/>
  <c r="AE14" i="17"/>
  <c r="R24" i="1" l="1"/>
  <c r="N25" i="17"/>
  <c r="N28" i="17"/>
  <c r="N26" i="17"/>
  <c r="N24" i="17"/>
  <c r="N23" i="17"/>
  <c r="N22" i="17"/>
  <c r="N21" i="17"/>
  <c r="N19" i="17"/>
  <c r="D10" i="3" l="1"/>
  <c r="D9" i="3"/>
  <c r="D8" i="3"/>
  <c r="C10" i="3"/>
  <c r="C9" i="3"/>
  <c r="C8" i="3"/>
  <c r="F78" i="16"/>
  <c r="E78" i="16"/>
  <c r="F50" i="16"/>
  <c r="F22" i="16"/>
  <c r="E22" i="16" l="1"/>
  <c r="E75" i="16"/>
  <c r="F37" i="16"/>
  <c r="E60" i="16"/>
  <c r="E37" i="16"/>
  <c r="E43" i="16"/>
  <c r="F60" i="16"/>
  <c r="F75" i="16"/>
  <c r="F43" i="16"/>
  <c r="E50" i="16"/>
  <c r="E81" i="16" l="1"/>
  <c r="F81" i="16"/>
  <c r="S81" i="5" l="1"/>
  <c r="S82" i="5"/>
  <c r="W76" i="5"/>
  <c r="W26" i="5" l="1"/>
  <c r="W13" i="5"/>
  <c r="AH79" i="17" l="1"/>
  <c r="G72" i="11" l="1"/>
  <c r="F79" i="17"/>
  <c r="BI78" i="17"/>
  <c r="G71" i="11"/>
  <c r="F78" i="17"/>
  <c r="F63" i="17"/>
  <c r="BI59" i="17"/>
  <c r="AH59" i="17"/>
  <c r="F59" i="17"/>
  <c r="AH57" i="17"/>
  <c r="G51" i="11" s="1"/>
  <c r="BI45" i="17"/>
  <c r="F37" i="17"/>
  <c r="BI35" i="17"/>
  <c r="AH35" i="17"/>
  <c r="G29" i="11" s="1"/>
  <c r="F35" i="17"/>
  <c r="BA32" i="17"/>
  <c r="AW32" i="17"/>
  <c r="AT32" i="17"/>
  <c r="BI31" i="17"/>
  <c r="G24" i="11"/>
  <c r="X25" i="17"/>
  <c r="AF15" i="17"/>
  <c r="K15" i="17"/>
  <c r="I15" i="17"/>
  <c r="H15" i="17"/>
  <c r="BV51" i="1"/>
  <c r="BN21" i="1"/>
  <c r="BM15" i="1"/>
  <c r="BL62" i="1"/>
  <c r="BL37" i="1"/>
  <c r="BK79" i="1"/>
  <c r="BK63" i="1"/>
  <c r="BJ74" i="1"/>
  <c r="BJ43" i="1"/>
  <c r="BJ30" i="1"/>
  <c r="BH63" i="1"/>
  <c r="BH48" i="1"/>
  <c r="BH45" i="1"/>
  <c r="BG51" i="1"/>
  <c r="BG50" i="1"/>
  <c r="BG49" i="1"/>
  <c r="BG48" i="1"/>
  <c r="BD61" i="1"/>
  <c r="BC28" i="1"/>
  <c r="BC35" i="1"/>
  <c r="BC45" i="1"/>
  <c r="BC59" i="1"/>
  <c r="BC78" i="1"/>
  <c r="BC79" i="1"/>
  <c r="BB79" i="1"/>
  <c r="BB78" i="1"/>
  <c r="BB59" i="1"/>
  <c r="BB57" i="1"/>
  <c r="BB45" i="1"/>
  <c r="BB43" i="1"/>
  <c r="AY35" i="1"/>
  <c r="AX59" i="1"/>
  <c r="AV59" i="1"/>
  <c r="AQ59" i="1"/>
  <c r="AQ78" i="1"/>
  <c r="AP25" i="1"/>
  <c r="AP21" i="1"/>
  <c r="AP19" i="1"/>
  <c r="AO28" i="1"/>
  <c r="AO26" i="1"/>
  <c r="AO25" i="1"/>
  <c r="AO24" i="1"/>
  <c r="AO23" i="1"/>
  <c r="AO22" i="1"/>
  <c r="AO21" i="1"/>
  <c r="AO19" i="1"/>
  <c r="AG79" i="1"/>
  <c r="AG78" i="1"/>
  <c r="AG60" i="1"/>
  <c r="AG59" i="1"/>
  <c r="AG57" i="1"/>
  <c r="AG43" i="1"/>
  <c r="AG35" i="1"/>
  <c r="AG32" i="1"/>
  <c r="AG30" i="1"/>
  <c r="AD23" i="1"/>
  <c r="AD22" i="1"/>
  <c r="AD19" i="1"/>
  <c r="AD14" i="1"/>
  <c r="W28" i="1"/>
  <c r="V25" i="1"/>
  <c r="V24" i="1"/>
  <c r="V23" i="1"/>
  <c r="V22" i="1"/>
  <c r="V21" i="1"/>
  <c r="V19" i="1"/>
  <c r="V28" i="1"/>
  <c r="U25" i="1"/>
  <c r="T28" i="1"/>
  <c r="S28" i="1"/>
  <c r="S26" i="1"/>
  <c r="Q26" i="1"/>
  <c r="Q78" i="1"/>
  <c r="P19" i="1"/>
  <c r="P15" i="1"/>
  <c r="O26" i="1"/>
  <c r="G79" i="11"/>
  <c r="G70" i="11"/>
  <c r="G69" i="11"/>
  <c r="G68" i="11"/>
  <c r="G58" i="11"/>
  <c r="G57" i="11"/>
  <c r="G56" i="11"/>
  <c r="G55" i="11"/>
  <c r="G54" i="11"/>
  <c r="G53" i="11"/>
  <c r="G52" i="11"/>
  <c r="G47" i="11"/>
  <c r="G46" i="11"/>
  <c r="G45" i="11"/>
  <c r="G44" i="11"/>
  <c r="G43" i="11"/>
  <c r="G42" i="11"/>
  <c r="G41" i="11"/>
  <c r="G40" i="11"/>
  <c r="G39" i="11"/>
  <c r="G38" i="11"/>
  <c r="G37" i="11"/>
  <c r="G31" i="11"/>
  <c r="G30" i="11"/>
  <c r="G28" i="11"/>
  <c r="G26" i="11"/>
  <c r="G25" i="11"/>
  <c r="G22" i="11"/>
  <c r="G21" i="11"/>
  <c r="G20" i="11"/>
  <c r="G19" i="11"/>
  <c r="G18" i="11"/>
  <c r="G17" i="11"/>
  <c r="G16" i="11"/>
  <c r="G15" i="11"/>
  <c r="G14" i="11"/>
  <c r="G13" i="11"/>
  <c r="G9" i="11"/>
  <c r="G8" i="11"/>
  <c r="G7" i="11"/>
  <c r="G6" i="11"/>
  <c r="O22" i="1"/>
  <c r="M28" i="1"/>
  <c r="M26" i="1"/>
  <c r="M25" i="1"/>
  <c r="M24" i="1"/>
  <c r="M23" i="1"/>
  <c r="M22" i="1"/>
  <c r="M21" i="1"/>
  <c r="M19" i="1"/>
  <c r="L37" i="1"/>
  <c r="L28" i="1"/>
  <c r="L26" i="1"/>
  <c r="L25" i="1"/>
  <c r="L24" i="1"/>
  <c r="L22" i="1"/>
  <c r="K15" i="1"/>
  <c r="H15" i="1"/>
  <c r="G15" i="1"/>
  <c r="E12" i="1"/>
  <c r="D12" i="1"/>
  <c r="C12" i="1"/>
  <c r="A75" i="16" l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R86" i="13" l="1"/>
  <c r="AR79" i="13"/>
  <c r="AR78" i="13"/>
  <c r="AR77" i="13"/>
  <c r="AR76" i="13"/>
  <c r="AR75" i="13"/>
  <c r="AR64" i="13"/>
  <c r="AR63" i="13"/>
  <c r="AR62" i="13"/>
  <c r="AR61" i="13"/>
  <c r="AR60" i="13"/>
  <c r="AR59" i="13"/>
  <c r="AR58" i="13"/>
  <c r="AR57" i="13"/>
  <c r="AR53" i="13"/>
  <c r="AR52" i="13"/>
  <c r="AR51" i="13"/>
  <c r="AR50" i="13"/>
  <c r="AR49" i="13"/>
  <c r="AR48" i="13"/>
  <c r="AR47" i="13"/>
  <c r="AR46" i="13"/>
  <c r="AR45" i="13"/>
  <c r="AR44" i="13"/>
  <c r="AR43" i="13"/>
  <c r="AR37" i="13"/>
  <c r="AR36" i="13"/>
  <c r="AR35" i="13"/>
  <c r="AR34" i="13"/>
  <c r="AR32" i="13"/>
  <c r="AR31" i="13"/>
  <c r="AR30" i="13"/>
  <c r="AR28" i="13"/>
  <c r="AR27" i="13"/>
  <c r="AR26" i="13"/>
  <c r="AR25" i="13"/>
  <c r="AR24" i="13"/>
  <c r="AR23" i="13"/>
  <c r="AR22" i="13"/>
  <c r="AR21" i="13"/>
  <c r="AR20" i="13"/>
  <c r="AR19" i="13"/>
  <c r="AR15" i="13"/>
  <c r="AR14" i="13"/>
  <c r="AR13" i="13"/>
  <c r="AR12" i="13"/>
  <c r="AR9" i="13"/>
  <c r="AR54" i="13" l="1"/>
  <c r="AR16" i="13"/>
  <c r="AR65" i="13"/>
  <c r="AR29" i="13"/>
  <c r="AR74" i="13" s="1"/>
  <c r="AR80" i="13" s="1"/>
  <c r="AR83" i="13" s="1"/>
  <c r="AR85" i="13" l="1"/>
  <c r="AR87" i="13" s="1"/>
  <c r="AR67" i="13"/>
  <c r="J49" i="16" s="1"/>
  <c r="N49" i="16" s="1"/>
  <c r="AQ35" i="1" l="1"/>
  <c r="AR65" i="17" l="1"/>
  <c r="AR54" i="17"/>
  <c r="AR29" i="17"/>
  <c r="AR16" i="17"/>
  <c r="AR9" i="17"/>
  <c r="AR65" i="1"/>
  <c r="AR54" i="1"/>
  <c r="AR67" i="1" s="1"/>
  <c r="AR29" i="1"/>
  <c r="AR16" i="1"/>
  <c r="AR74" i="1" s="1"/>
  <c r="AR80" i="1" s="1"/>
  <c r="AR83" i="1" s="1"/>
  <c r="AR85" i="1" s="1"/>
  <c r="AR87" i="1" s="1"/>
  <c r="AR33" i="1" s="1"/>
  <c r="AR38" i="1" s="1"/>
  <c r="AR40" i="1" s="1"/>
  <c r="AR67" i="17" l="1"/>
  <c r="AR74" i="17"/>
  <c r="AR80" i="17" s="1"/>
  <c r="AR83" i="17" s="1"/>
  <c r="AR85" i="17" l="1"/>
  <c r="AR87" i="17" s="1"/>
  <c r="AR33" i="17" s="1"/>
  <c r="AR33" i="13" l="1"/>
  <c r="AR38" i="13" s="1"/>
  <c r="AR40" i="13" s="1"/>
  <c r="AR38" i="17"/>
  <c r="AR40" i="17" s="1"/>
  <c r="V29" i="1"/>
  <c r="I49" i="16" l="1"/>
  <c r="M49" i="16" s="1"/>
  <c r="BI79" i="17" l="1"/>
  <c r="AU86" i="17" l="1"/>
  <c r="AB74" i="1" l="1"/>
  <c r="AB80" i="1" s="1"/>
  <c r="AB83" i="1" s="1"/>
  <c r="AB85" i="1" s="1"/>
  <c r="AB87" i="1" s="1"/>
  <c r="AA74" i="1"/>
  <c r="AA80" i="1" s="1"/>
  <c r="AA83" i="1" s="1"/>
  <c r="AA85" i="1" s="1"/>
  <c r="AA87" i="1" s="1"/>
  <c r="Z74" i="1"/>
  <c r="Z80" i="1" s="1"/>
  <c r="Z83" i="1" s="1"/>
  <c r="Z85" i="1" s="1"/>
  <c r="Z87" i="1" s="1"/>
  <c r="Y74" i="1"/>
  <c r="Y80" i="1" s="1"/>
  <c r="Y83" i="1" s="1"/>
  <c r="Y85" i="1" s="1"/>
  <c r="Y87" i="1" s="1"/>
  <c r="H23" i="1" l="1"/>
  <c r="BD25" i="13" l="1"/>
  <c r="D57" i="10"/>
  <c r="D56" i="10"/>
  <c r="D55" i="10"/>
  <c r="D54" i="10"/>
  <c r="D53" i="10"/>
  <c r="D52" i="10"/>
  <c r="D51" i="10"/>
  <c r="D47" i="10"/>
  <c r="D46" i="10"/>
  <c r="D45" i="10"/>
  <c r="D44" i="10"/>
  <c r="D43" i="10"/>
  <c r="D42" i="10"/>
  <c r="D41" i="10"/>
  <c r="D40" i="10"/>
  <c r="D39" i="10"/>
  <c r="D38" i="10"/>
  <c r="D37" i="10"/>
  <c r="D31" i="10"/>
  <c r="D30" i="10"/>
  <c r="D29" i="10"/>
  <c r="D28" i="10"/>
  <c r="D26" i="10"/>
  <c r="D25" i="10"/>
  <c r="D24" i="10"/>
  <c r="D22" i="10"/>
  <c r="D21" i="10"/>
  <c r="D20" i="10"/>
  <c r="D19" i="10"/>
  <c r="D18" i="10"/>
  <c r="D16" i="10"/>
  <c r="D15" i="10"/>
  <c r="D14" i="10"/>
  <c r="D13" i="10"/>
  <c r="D8" i="10"/>
  <c r="D7" i="10"/>
  <c r="J70" i="11"/>
  <c r="J69" i="11"/>
  <c r="J68" i="11"/>
  <c r="J28" i="11"/>
  <c r="J57" i="11"/>
  <c r="J56" i="11"/>
  <c r="J55" i="11"/>
  <c r="J54" i="11"/>
  <c r="J52" i="11"/>
  <c r="J47" i="11"/>
  <c r="J46" i="11"/>
  <c r="J45" i="11"/>
  <c r="J44" i="11"/>
  <c r="J43" i="11"/>
  <c r="J42" i="11"/>
  <c r="J41" i="11"/>
  <c r="J40" i="11"/>
  <c r="J39" i="11"/>
  <c r="J38" i="11"/>
  <c r="J31" i="11"/>
  <c r="J30" i="11"/>
  <c r="J26" i="11"/>
  <c r="J25" i="11"/>
  <c r="J22" i="11"/>
  <c r="J21" i="11"/>
  <c r="J20" i="11"/>
  <c r="J19" i="11"/>
  <c r="J18" i="11"/>
  <c r="J15" i="11"/>
  <c r="J14" i="11"/>
  <c r="J7" i="11"/>
  <c r="J6" i="11"/>
  <c r="B86" i="1" l="1"/>
  <c r="B82" i="1"/>
  <c r="B76" i="1"/>
  <c r="B75" i="1"/>
  <c r="B64" i="1"/>
  <c r="B53" i="1"/>
  <c r="B52" i="1"/>
  <c r="B47" i="1"/>
  <c r="B46" i="1"/>
  <c r="B44" i="1"/>
  <c r="B36" i="1"/>
  <c r="B34" i="1"/>
  <c r="B31" i="1"/>
  <c r="B27" i="1"/>
  <c r="B20" i="1"/>
  <c r="B13" i="1"/>
  <c r="B84" i="13"/>
  <c r="B82" i="13"/>
  <c r="B56" i="13"/>
  <c r="B42" i="13"/>
  <c r="B39" i="13"/>
  <c r="B18" i="13"/>
  <c r="AE22" i="13" l="1"/>
  <c r="AE19" i="13"/>
  <c r="AE14" i="13"/>
  <c r="AE86" i="13"/>
  <c r="AE79" i="13"/>
  <c r="AE78" i="13"/>
  <c r="AE77" i="13"/>
  <c r="AE76" i="13"/>
  <c r="AE75" i="13"/>
  <c r="AE64" i="13"/>
  <c r="AE63" i="13"/>
  <c r="AE62" i="13"/>
  <c r="AE61" i="13"/>
  <c r="AE60" i="13"/>
  <c r="AE59" i="13"/>
  <c r="AE58" i="13"/>
  <c r="AE57" i="13"/>
  <c r="AE53" i="13"/>
  <c r="AE52" i="13"/>
  <c r="AE51" i="13"/>
  <c r="AE50" i="13"/>
  <c r="AE49" i="13"/>
  <c r="AE48" i="13"/>
  <c r="AE47" i="13"/>
  <c r="AE46" i="13"/>
  <c r="AE45" i="13"/>
  <c r="AE44" i="13"/>
  <c r="AE43" i="13"/>
  <c r="AE37" i="13"/>
  <c r="AE36" i="13"/>
  <c r="AE35" i="13"/>
  <c r="AE34" i="13"/>
  <c r="AE32" i="13"/>
  <c r="AE31" i="13"/>
  <c r="AE30" i="13"/>
  <c r="AE28" i="13"/>
  <c r="AE27" i="13"/>
  <c r="AE26" i="13"/>
  <c r="AE25" i="13"/>
  <c r="AE24" i="13"/>
  <c r="AE23" i="13"/>
  <c r="AE21" i="13"/>
  <c r="AE20" i="13"/>
  <c r="AE15" i="13"/>
  <c r="AE13" i="13"/>
  <c r="AE12" i="13"/>
  <c r="AE9" i="13"/>
  <c r="AE8" i="13"/>
  <c r="BW86" i="13"/>
  <c r="BV86" i="13"/>
  <c r="BU86" i="13"/>
  <c r="BT86" i="13"/>
  <c r="BS86" i="13"/>
  <c r="BR86" i="13"/>
  <c r="BQ86" i="13"/>
  <c r="BP86" i="13"/>
  <c r="BO86" i="13"/>
  <c r="BN86" i="13"/>
  <c r="BM86" i="13"/>
  <c r="BL86" i="13"/>
  <c r="BK86" i="13"/>
  <c r="BJ86" i="13"/>
  <c r="BI86" i="13"/>
  <c r="BH86" i="13"/>
  <c r="BG86" i="13"/>
  <c r="BW79" i="13"/>
  <c r="BV79" i="13"/>
  <c r="BU79" i="13"/>
  <c r="BT79" i="13"/>
  <c r="BS79" i="13"/>
  <c r="BR79" i="13"/>
  <c r="BQ79" i="13"/>
  <c r="BP79" i="13"/>
  <c r="BO79" i="13"/>
  <c r="BN79" i="13"/>
  <c r="BM79" i="13"/>
  <c r="BL79" i="13"/>
  <c r="BH79" i="13"/>
  <c r="BG79" i="13"/>
  <c r="BW78" i="13"/>
  <c r="BV78" i="13"/>
  <c r="BU78" i="13"/>
  <c r="BT78" i="13"/>
  <c r="BS78" i="13"/>
  <c r="BR78" i="13"/>
  <c r="BQ78" i="13"/>
  <c r="BP78" i="13"/>
  <c r="BO78" i="13"/>
  <c r="BN78" i="13"/>
  <c r="BM78" i="13"/>
  <c r="BL78" i="13"/>
  <c r="BK78" i="13"/>
  <c r="BJ78" i="13"/>
  <c r="BH78" i="13"/>
  <c r="BG78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X76" i="13"/>
  <c r="BW76" i="13"/>
  <c r="BV76" i="13"/>
  <c r="BU76" i="13"/>
  <c r="BT76" i="13"/>
  <c r="BS76" i="13"/>
  <c r="BR76" i="13"/>
  <c r="BQ76" i="13"/>
  <c r="BP76" i="13"/>
  <c r="BO76" i="13"/>
  <c r="BN76" i="13"/>
  <c r="BM76" i="13"/>
  <c r="BL76" i="13"/>
  <c r="BK76" i="13"/>
  <c r="BJ76" i="13"/>
  <c r="BI76" i="13"/>
  <c r="BH76" i="13"/>
  <c r="BG76" i="13"/>
  <c r="BX75" i="13"/>
  <c r="BW75" i="13"/>
  <c r="BV75" i="13"/>
  <c r="BU75" i="13"/>
  <c r="BT75" i="13"/>
  <c r="BS75" i="13"/>
  <c r="BR75" i="13"/>
  <c r="BQ75" i="13"/>
  <c r="BP75" i="13"/>
  <c r="BO75" i="13"/>
  <c r="BN75" i="13"/>
  <c r="BM75" i="13"/>
  <c r="BL75" i="13"/>
  <c r="BK75" i="13"/>
  <c r="BJ75" i="13"/>
  <c r="BI75" i="13"/>
  <c r="BH75" i="13"/>
  <c r="BG75" i="13"/>
  <c r="BX64" i="13"/>
  <c r="BW64" i="13"/>
  <c r="BV64" i="13"/>
  <c r="BU64" i="13"/>
  <c r="BT64" i="13"/>
  <c r="BS64" i="13"/>
  <c r="BR64" i="13"/>
  <c r="BQ64" i="13"/>
  <c r="BP64" i="13"/>
  <c r="BO64" i="13"/>
  <c r="BN64" i="13"/>
  <c r="BM64" i="13"/>
  <c r="BL64" i="13"/>
  <c r="BK64" i="13"/>
  <c r="BJ64" i="13"/>
  <c r="BI64" i="13"/>
  <c r="BH64" i="13"/>
  <c r="BG64" i="13"/>
  <c r="BX63" i="13"/>
  <c r="BW63" i="13"/>
  <c r="BV63" i="13"/>
  <c r="BU63" i="13"/>
  <c r="BT63" i="13"/>
  <c r="BS63" i="13"/>
  <c r="BR63" i="13"/>
  <c r="BQ63" i="13"/>
  <c r="BP63" i="13"/>
  <c r="BO63" i="13"/>
  <c r="BN63" i="13"/>
  <c r="BM63" i="13"/>
  <c r="BL63" i="13"/>
  <c r="BJ63" i="13"/>
  <c r="BI63" i="13"/>
  <c r="BH63" i="13"/>
  <c r="BG63" i="13"/>
  <c r="BX62" i="13"/>
  <c r="BW62" i="13"/>
  <c r="BV62" i="13"/>
  <c r="BU62" i="13"/>
  <c r="BT62" i="13"/>
  <c r="BS62" i="13"/>
  <c r="BR62" i="13"/>
  <c r="BQ62" i="13"/>
  <c r="BP62" i="13"/>
  <c r="BO62" i="13"/>
  <c r="BN62" i="13"/>
  <c r="BM62" i="13"/>
  <c r="BK62" i="13"/>
  <c r="BJ62" i="13"/>
  <c r="BI62" i="13"/>
  <c r="BH62" i="13"/>
  <c r="BG62" i="13"/>
  <c r="BX61" i="13"/>
  <c r="BW61" i="13"/>
  <c r="BV61" i="13"/>
  <c r="BU61" i="13"/>
  <c r="BT61" i="13"/>
  <c r="BS61" i="13"/>
  <c r="BR61" i="13"/>
  <c r="BQ61" i="13"/>
  <c r="BP61" i="13"/>
  <c r="BO61" i="13"/>
  <c r="BN61" i="13"/>
  <c r="BM61" i="13"/>
  <c r="BL61" i="13"/>
  <c r="BK61" i="13"/>
  <c r="BJ61" i="13"/>
  <c r="BI61" i="13"/>
  <c r="BH61" i="13"/>
  <c r="BG61" i="13"/>
  <c r="BX60" i="13"/>
  <c r="BW60" i="13"/>
  <c r="BV60" i="13"/>
  <c r="BU60" i="13"/>
  <c r="BT60" i="13"/>
  <c r="BS60" i="13"/>
  <c r="BR60" i="13"/>
  <c r="BQ60" i="13"/>
  <c r="BP60" i="13"/>
  <c r="BO60" i="13"/>
  <c r="BN60" i="13"/>
  <c r="BM60" i="13"/>
  <c r="BL60" i="13"/>
  <c r="BK60" i="13"/>
  <c r="BJ60" i="13"/>
  <c r="BI60" i="13"/>
  <c r="BH60" i="13"/>
  <c r="BG60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H59" i="13"/>
  <c r="BG59" i="13"/>
  <c r="BX58" i="13"/>
  <c r="BW58" i="13"/>
  <c r="BV58" i="13"/>
  <c r="BU58" i="13"/>
  <c r="BT58" i="13"/>
  <c r="BS58" i="13"/>
  <c r="BR58" i="13"/>
  <c r="BQ58" i="13"/>
  <c r="BP58" i="13"/>
  <c r="BO58" i="13"/>
  <c r="BN58" i="13"/>
  <c r="BM58" i="13"/>
  <c r="BL58" i="13"/>
  <c r="BK58" i="13"/>
  <c r="BJ58" i="13"/>
  <c r="BI58" i="13"/>
  <c r="BH58" i="13"/>
  <c r="BG58" i="13"/>
  <c r="BX57" i="13"/>
  <c r="BV57" i="13"/>
  <c r="BU57" i="13"/>
  <c r="BT57" i="13"/>
  <c r="BS57" i="13"/>
  <c r="BR57" i="13"/>
  <c r="BQ57" i="13"/>
  <c r="BP57" i="13"/>
  <c r="BO57" i="13"/>
  <c r="BN57" i="13"/>
  <c r="BM57" i="13"/>
  <c r="BL57" i="13"/>
  <c r="BK57" i="13"/>
  <c r="BJ57" i="13"/>
  <c r="BI57" i="13"/>
  <c r="BH57" i="13"/>
  <c r="BG57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X51" i="13"/>
  <c r="BW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X46" i="13"/>
  <c r="BW46" i="13"/>
  <c r="BV46" i="13"/>
  <c r="BU46" i="13"/>
  <c r="BT46" i="13"/>
  <c r="BS46" i="13"/>
  <c r="BR46" i="13"/>
  <c r="BQ46" i="13"/>
  <c r="BP46" i="13"/>
  <c r="BO46" i="13"/>
  <c r="BN46" i="13"/>
  <c r="BM46" i="13"/>
  <c r="BL46" i="13"/>
  <c r="BK46" i="13"/>
  <c r="BJ46" i="13"/>
  <c r="BI46" i="13"/>
  <c r="BH46" i="13"/>
  <c r="BG46" i="13"/>
  <c r="BX45" i="13"/>
  <c r="BW45" i="13"/>
  <c r="BV45" i="13"/>
  <c r="BU45" i="13"/>
  <c r="BT45" i="13"/>
  <c r="BS45" i="13"/>
  <c r="BR45" i="13"/>
  <c r="BQ45" i="13"/>
  <c r="BP45" i="13"/>
  <c r="BO45" i="13"/>
  <c r="BN45" i="13"/>
  <c r="BM45" i="13"/>
  <c r="BL45" i="13"/>
  <c r="BK45" i="13"/>
  <c r="BJ45" i="13"/>
  <c r="BG45" i="13"/>
  <c r="BX44" i="13"/>
  <c r="BW44" i="13"/>
  <c r="BV44" i="13"/>
  <c r="BU44" i="13"/>
  <c r="BT44" i="13"/>
  <c r="BS44" i="13"/>
  <c r="BR44" i="13"/>
  <c r="BQ44" i="13"/>
  <c r="BP44" i="13"/>
  <c r="BO44" i="13"/>
  <c r="BN44" i="13"/>
  <c r="BM44" i="13"/>
  <c r="BL44" i="13"/>
  <c r="BK44" i="13"/>
  <c r="BJ44" i="13"/>
  <c r="BI44" i="13"/>
  <c r="BH44" i="13"/>
  <c r="BG44" i="13"/>
  <c r="BX43" i="13"/>
  <c r="BV43" i="13"/>
  <c r="BN43" i="13"/>
  <c r="BM43" i="13"/>
  <c r="BL43" i="13"/>
  <c r="BK43" i="13"/>
  <c r="BI43" i="13"/>
  <c r="BH43" i="13"/>
  <c r="BG43" i="13"/>
  <c r="BX37" i="13"/>
  <c r="BW37" i="13"/>
  <c r="BV37" i="13"/>
  <c r="BU37" i="13"/>
  <c r="BT37" i="13"/>
  <c r="BS37" i="13"/>
  <c r="BR37" i="13"/>
  <c r="BQ37" i="13"/>
  <c r="BP37" i="13"/>
  <c r="BO37" i="13"/>
  <c r="BN37" i="13"/>
  <c r="BM37" i="13"/>
  <c r="BK37" i="13"/>
  <c r="BJ37" i="13"/>
  <c r="BI37" i="13"/>
  <c r="BH37" i="13"/>
  <c r="BG37" i="13"/>
  <c r="BX36" i="13"/>
  <c r="BW36" i="13"/>
  <c r="BV36" i="13"/>
  <c r="BU36" i="13"/>
  <c r="BT36" i="13"/>
  <c r="BS36" i="13"/>
  <c r="BR36" i="13"/>
  <c r="BQ36" i="13"/>
  <c r="BP36" i="13"/>
  <c r="BO36" i="13"/>
  <c r="BN36" i="13"/>
  <c r="BM36" i="13"/>
  <c r="BL36" i="13"/>
  <c r="BK36" i="13"/>
  <c r="BJ36" i="13"/>
  <c r="BI36" i="13"/>
  <c r="BH36" i="13"/>
  <c r="BG36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X34" i="13"/>
  <c r="BW34" i="13"/>
  <c r="BV34" i="13"/>
  <c r="BU34" i="13"/>
  <c r="BT34" i="13"/>
  <c r="BS34" i="13"/>
  <c r="BR34" i="13"/>
  <c r="BQ34" i="13"/>
  <c r="BP34" i="13"/>
  <c r="BO34" i="13"/>
  <c r="BN34" i="13"/>
  <c r="BM34" i="13"/>
  <c r="BL34" i="13"/>
  <c r="BK34" i="13"/>
  <c r="BJ34" i="13"/>
  <c r="BI34" i="13"/>
  <c r="BH34" i="13"/>
  <c r="BG34" i="13"/>
  <c r="BX32" i="13"/>
  <c r="BW32" i="13"/>
  <c r="BV32" i="13"/>
  <c r="BU32" i="13"/>
  <c r="BT32" i="13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BG32" i="13"/>
  <c r="BX31" i="13"/>
  <c r="BW31" i="13"/>
  <c r="BV31" i="13"/>
  <c r="BU31" i="13"/>
  <c r="BT31" i="13"/>
  <c r="BS31" i="13"/>
  <c r="BR31" i="13"/>
  <c r="BQ31" i="13"/>
  <c r="BP31" i="13"/>
  <c r="BO31" i="13"/>
  <c r="BN31" i="13"/>
  <c r="BM31" i="13"/>
  <c r="BL31" i="13"/>
  <c r="BK31" i="13"/>
  <c r="BJ31" i="13"/>
  <c r="BI31" i="13"/>
  <c r="BH31" i="13"/>
  <c r="BG31" i="13"/>
  <c r="BX30" i="13"/>
  <c r="BV30" i="13"/>
  <c r="BU30" i="13"/>
  <c r="BT30" i="13"/>
  <c r="BS30" i="13"/>
  <c r="BR30" i="13"/>
  <c r="BQ30" i="13"/>
  <c r="BP30" i="13"/>
  <c r="BO30" i="13"/>
  <c r="BM30" i="13"/>
  <c r="BL30" i="13"/>
  <c r="BK30" i="13"/>
  <c r="BI30" i="13"/>
  <c r="BH30" i="13"/>
  <c r="BG30" i="13"/>
  <c r="BX28" i="13"/>
  <c r="BW28" i="13"/>
  <c r="BV28" i="13"/>
  <c r="BU28" i="13"/>
  <c r="BT28" i="13"/>
  <c r="BS28" i="13"/>
  <c r="BR28" i="13"/>
  <c r="BQ28" i="13"/>
  <c r="BP28" i="13"/>
  <c r="BO28" i="13"/>
  <c r="BN28" i="13"/>
  <c r="BM28" i="13"/>
  <c r="BL28" i="13"/>
  <c r="BK28" i="13"/>
  <c r="BJ28" i="13"/>
  <c r="BI28" i="13"/>
  <c r="BH28" i="13"/>
  <c r="BG28" i="13"/>
  <c r="BX27" i="13"/>
  <c r="BW27" i="13"/>
  <c r="BV27" i="13"/>
  <c r="BU27" i="13"/>
  <c r="BT27" i="13"/>
  <c r="BS27" i="13"/>
  <c r="BR27" i="13"/>
  <c r="BQ27" i="13"/>
  <c r="BP27" i="13"/>
  <c r="BO27" i="13"/>
  <c r="BN27" i="13"/>
  <c r="BM27" i="13"/>
  <c r="BL27" i="13"/>
  <c r="BK27" i="13"/>
  <c r="BJ27" i="13"/>
  <c r="BI27" i="13"/>
  <c r="BH27" i="13"/>
  <c r="BG27" i="13"/>
  <c r="BX26" i="13"/>
  <c r="BW26" i="13"/>
  <c r="BV26" i="13"/>
  <c r="BU26" i="13"/>
  <c r="BT26" i="13"/>
  <c r="BS26" i="13"/>
  <c r="BR26" i="13"/>
  <c r="BQ26" i="13"/>
  <c r="BP26" i="13"/>
  <c r="BO26" i="13"/>
  <c r="BN26" i="13"/>
  <c r="BM26" i="13"/>
  <c r="BL26" i="13"/>
  <c r="BK26" i="13"/>
  <c r="BJ26" i="13"/>
  <c r="BI26" i="13"/>
  <c r="BH26" i="13"/>
  <c r="BG26" i="13"/>
  <c r="BX25" i="13"/>
  <c r="BW25" i="13"/>
  <c r="BV25" i="13"/>
  <c r="BU25" i="13"/>
  <c r="BT25" i="13"/>
  <c r="BS25" i="13"/>
  <c r="BR25" i="13"/>
  <c r="BQ25" i="13"/>
  <c r="BP25" i="13"/>
  <c r="BO25" i="13"/>
  <c r="BN25" i="13"/>
  <c r="BM25" i="13"/>
  <c r="BL25" i="13"/>
  <c r="BK25" i="13"/>
  <c r="BJ25" i="13"/>
  <c r="BI25" i="13"/>
  <c r="BH25" i="13"/>
  <c r="BG25" i="13"/>
  <c r="BX24" i="13"/>
  <c r="BW24" i="13"/>
  <c r="BV24" i="13"/>
  <c r="BU24" i="13"/>
  <c r="BT24" i="13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BG24" i="13"/>
  <c r="BX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X22" i="13"/>
  <c r="BV22" i="13"/>
  <c r="BU22" i="13"/>
  <c r="BT22" i="13"/>
  <c r="BS22" i="13"/>
  <c r="BR22" i="13"/>
  <c r="BQ22" i="13"/>
  <c r="BP22" i="13"/>
  <c r="BO22" i="13"/>
  <c r="BN22" i="13"/>
  <c r="BM22" i="13"/>
  <c r="BL22" i="13"/>
  <c r="BK22" i="13"/>
  <c r="BJ22" i="13"/>
  <c r="BI22" i="13"/>
  <c r="BH22" i="13"/>
  <c r="BG22" i="13"/>
  <c r="BX21" i="13"/>
  <c r="BW21" i="13"/>
  <c r="BV21" i="13"/>
  <c r="BU21" i="13"/>
  <c r="BT21" i="13"/>
  <c r="BS21" i="13"/>
  <c r="BR21" i="13"/>
  <c r="BQ21" i="13"/>
  <c r="BP21" i="13"/>
  <c r="BO21" i="13"/>
  <c r="BM21" i="13"/>
  <c r="BL21" i="13"/>
  <c r="BK21" i="13"/>
  <c r="BJ21" i="13"/>
  <c r="BI21" i="13"/>
  <c r="BH21" i="13"/>
  <c r="BG21" i="13"/>
  <c r="BX20" i="13"/>
  <c r="BW20" i="13"/>
  <c r="BV20" i="13"/>
  <c r="BU20" i="13"/>
  <c r="BT20" i="13"/>
  <c r="BS20" i="13"/>
  <c r="BR20" i="13"/>
  <c r="BQ20" i="13"/>
  <c r="BP20" i="13"/>
  <c r="BO20" i="13"/>
  <c r="BN20" i="13"/>
  <c r="BM20" i="13"/>
  <c r="BL20" i="13"/>
  <c r="BK20" i="13"/>
  <c r="BJ20" i="13"/>
  <c r="BI20" i="13"/>
  <c r="BH20" i="13"/>
  <c r="BG20" i="13"/>
  <c r="BX19" i="13"/>
  <c r="BV19" i="13"/>
  <c r="BU19" i="13"/>
  <c r="BT19" i="13"/>
  <c r="BS19" i="13"/>
  <c r="BR19" i="13"/>
  <c r="BQ19" i="13"/>
  <c r="BP19" i="13"/>
  <c r="BO19" i="13"/>
  <c r="BN19" i="13"/>
  <c r="BM19" i="13"/>
  <c r="BL19" i="13"/>
  <c r="BK19" i="13"/>
  <c r="BJ19" i="13"/>
  <c r="BI19" i="13"/>
  <c r="BH19" i="13"/>
  <c r="BG19" i="13"/>
  <c r="BW15" i="13"/>
  <c r="BV15" i="13"/>
  <c r="BU15" i="13"/>
  <c r="BT15" i="13"/>
  <c r="BS15" i="13"/>
  <c r="BR15" i="13"/>
  <c r="BQ15" i="13"/>
  <c r="BP15" i="13"/>
  <c r="BO15" i="13"/>
  <c r="BN15" i="13"/>
  <c r="BL15" i="13"/>
  <c r="BK15" i="13"/>
  <c r="BJ15" i="13"/>
  <c r="BI15" i="13"/>
  <c r="BH15" i="13"/>
  <c r="BG15" i="13"/>
  <c r="BX14" i="13"/>
  <c r="BV14" i="13"/>
  <c r="BU14" i="13"/>
  <c r="BT14" i="13"/>
  <c r="BS14" i="13"/>
  <c r="BR14" i="13"/>
  <c r="BQ14" i="13"/>
  <c r="BP14" i="13"/>
  <c r="BO14" i="13"/>
  <c r="BN14" i="13"/>
  <c r="BM14" i="13"/>
  <c r="BL14" i="13"/>
  <c r="BK14" i="13"/>
  <c r="BJ14" i="13"/>
  <c r="BI14" i="13"/>
  <c r="BH14" i="13"/>
  <c r="BG14" i="13"/>
  <c r="BX13" i="13"/>
  <c r="BW13" i="13"/>
  <c r="BV13" i="13"/>
  <c r="BU13" i="13"/>
  <c r="BT13" i="13"/>
  <c r="BS13" i="13"/>
  <c r="BR13" i="13"/>
  <c r="BQ13" i="13"/>
  <c r="BP13" i="13"/>
  <c r="BO13" i="13"/>
  <c r="BN13" i="13"/>
  <c r="BM13" i="13"/>
  <c r="BL13" i="13"/>
  <c r="BK13" i="13"/>
  <c r="BJ13" i="13"/>
  <c r="BI13" i="13"/>
  <c r="BH13" i="13"/>
  <c r="BG13" i="13"/>
  <c r="BX12" i="13"/>
  <c r="BW12" i="13"/>
  <c r="BV12" i="13"/>
  <c r="BU12" i="13"/>
  <c r="BT12" i="13"/>
  <c r="BS12" i="13"/>
  <c r="BR12" i="13"/>
  <c r="BQ12" i="13"/>
  <c r="BP12" i="13"/>
  <c r="BO12" i="13"/>
  <c r="BN12" i="13"/>
  <c r="BM12" i="13"/>
  <c r="BL12" i="13"/>
  <c r="BK12" i="13"/>
  <c r="BJ12" i="13"/>
  <c r="BI12" i="13"/>
  <c r="BH12" i="13"/>
  <c r="BG12" i="13"/>
  <c r="BX9" i="13"/>
  <c r="BW9" i="13"/>
  <c r="BV9" i="13"/>
  <c r="BU9" i="13"/>
  <c r="BT9" i="13"/>
  <c r="BS9" i="13"/>
  <c r="BR9" i="13"/>
  <c r="BQ9" i="13"/>
  <c r="BP9" i="13"/>
  <c r="BO9" i="13"/>
  <c r="C73" i="16" s="1"/>
  <c r="BN9" i="13"/>
  <c r="BM9" i="13"/>
  <c r="BL9" i="13"/>
  <c r="BK9" i="13"/>
  <c r="BJ9" i="13"/>
  <c r="BI9" i="13"/>
  <c r="BH9" i="13"/>
  <c r="BG9" i="13"/>
  <c r="BX8" i="13"/>
  <c r="BW8" i="13"/>
  <c r="BV8" i="13"/>
  <c r="BU8" i="13"/>
  <c r="BT8" i="13"/>
  <c r="BS8" i="13"/>
  <c r="BR8" i="13"/>
  <c r="BQ8" i="13"/>
  <c r="BP8" i="13"/>
  <c r="BO8" i="13"/>
  <c r="BN8" i="13"/>
  <c r="BM8" i="13"/>
  <c r="BL8" i="13"/>
  <c r="BK8" i="13"/>
  <c r="BJ8" i="13"/>
  <c r="BI8" i="13"/>
  <c r="BH8" i="13"/>
  <c r="BG8" i="13"/>
  <c r="BF86" i="13"/>
  <c r="BF77" i="13"/>
  <c r="BF76" i="13"/>
  <c r="BF75" i="13"/>
  <c r="BF64" i="13"/>
  <c r="BF63" i="13"/>
  <c r="BF62" i="13"/>
  <c r="BF61" i="13"/>
  <c r="BF60" i="13"/>
  <c r="BF58" i="13"/>
  <c r="BF57" i="13"/>
  <c r="BF53" i="13"/>
  <c r="BF52" i="13"/>
  <c r="BF51" i="13"/>
  <c r="BF50" i="13"/>
  <c r="BF49" i="13"/>
  <c r="BF48" i="13"/>
  <c r="BF47" i="13"/>
  <c r="BF46" i="13"/>
  <c r="BF45" i="13"/>
  <c r="BF44" i="13"/>
  <c r="BF43" i="13"/>
  <c r="BF37" i="13"/>
  <c r="BF36" i="13"/>
  <c r="BF34" i="13"/>
  <c r="BF32" i="13"/>
  <c r="BF31" i="13"/>
  <c r="BF30" i="13"/>
  <c r="BF28" i="13"/>
  <c r="BF27" i="13"/>
  <c r="BF26" i="13"/>
  <c r="BF25" i="13"/>
  <c r="BF24" i="13"/>
  <c r="BF23" i="13"/>
  <c r="BF22" i="13"/>
  <c r="BF21" i="13"/>
  <c r="BF20" i="13"/>
  <c r="BF19" i="13"/>
  <c r="BF15" i="13"/>
  <c r="BF14" i="13"/>
  <c r="BF13" i="13"/>
  <c r="BF12" i="13"/>
  <c r="BF9" i="13"/>
  <c r="BF8" i="13"/>
  <c r="AP86" i="13"/>
  <c r="AO86" i="13"/>
  <c r="AN86" i="13"/>
  <c r="AP79" i="13"/>
  <c r="AO79" i="13"/>
  <c r="AN79" i="13"/>
  <c r="AP78" i="13"/>
  <c r="AO78" i="13"/>
  <c r="AP77" i="13"/>
  <c r="AO77" i="13"/>
  <c r="AN77" i="13"/>
  <c r="AP76" i="13"/>
  <c r="AO76" i="13"/>
  <c r="AN76" i="13"/>
  <c r="AP75" i="13"/>
  <c r="AO75" i="13"/>
  <c r="AN75" i="13"/>
  <c r="AP64" i="13"/>
  <c r="AO64" i="13"/>
  <c r="AN64" i="13"/>
  <c r="AP63" i="13"/>
  <c r="AO63" i="13"/>
  <c r="AN63" i="13"/>
  <c r="AP62" i="13"/>
  <c r="AO62" i="13"/>
  <c r="AN62" i="13"/>
  <c r="AP61" i="13"/>
  <c r="AO61" i="13"/>
  <c r="AN61" i="13"/>
  <c r="AP60" i="13"/>
  <c r="AO60" i="13"/>
  <c r="AN60" i="13"/>
  <c r="AP59" i="13"/>
  <c r="AO59" i="13"/>
  <c r="AP58" i="13"/>
  <c r="AO58" i="13"/>
  <c r="AN58" i="13"/>
  <c r="AP57" i="13"/>
  <c r="AO57" i="13"/>
  <c r="AN57" i="13"/>
  <c r="AP53" i="13"/>
  <c r="AO53" i="13"/>
  <c r="AN53" i="13"/>
  <c r="AP52" i="13"/>
  <c r="AO52" i="13"/>
  <c r="AN52" i="13"/>
  <c r="AP51" i="13"/>
  <c r="AO51" i="13"/>
  <c r="AN51" i="13"/>
  <c r="AP50" i="13"/>
  <c r="AO50" i="13"/>
  <c r="AN50" i="13"/>
  <c r="AP49" i="13"/>
  <c r="AO49" i="13"/>
  <c r="AN49" i="13"/>
  <c r="AP48" i="13"/>
  <c r="AO48" i="13"/>
  <c r="AN48" i="13"/>
  <c r="AP47" i="13"/>
  <c r="AO47" i="13"/>
  <c r="AN47" i="13"/>
  <c r="AP46" i="13"/>
  <c r="AO46" i="13"/>
  <c r="AN46" i="13"/>
  <c r="AP45" i="13"/>
  <c r="AO45" i="13"/>
  <c r="AN45" i="13"/>
  <c r="AP44" i="13"/>
  <c r="AO44" i="13"/>
  <c r="AN44" i="13"/>
  <c r="AP43" i="13"/>
  <c r="AO43" i="13"/>
  <c r="AN43" i="13"/>
  <c r="AP37" i="13"/>
  <c r="AO37" i="13"/>
  <c r="AN37" i="13"/>
  <c r="AP36" i="13"/>
  <c r="AO36" i="13"/>
  <c r="AN36" i="13"/>
  <c r="AP35" i="13"/>
  <c r="AO35" i="13"/>
  <c r="AP34" i="13"/>
  <c r="AO34" i="13"/>
  <c r="AN34" i="13"/>
  <c r="AP32" i="13"/>
  <c r="AO32" i="13"/>
  <c r="AN32" i="13"/>
  <c r="AP31" i="13"/>
  <c r="AO31" i="13"/>
  <c r="AN31" i="13"/>
  <c r="AP30" i="13"/>
  <c r="AO30" i="13"/>
  <c r="AN30" i="13"/>
  <c r="AP28" i="13"/>
  <c r="AN28" i="13"/>
  <c r="AP27" i="13"/>
  <c r="AO27" i="13"/>
  <c r="AN27" i="13"/>
  <c r="AP26" i="13"/>
  <c r="AN26" i="13"/>
  <c r="AN25" i="13"/>
  <c r="AP24" i="13"/>
  <c r="AN24" i="13"/>
  <c r="AP23" i="13"/>
  <c r="AN23" i="13"/>
  <c r="AP22" i="13"/>
  <c r="AN22" i="13"/>
  <c r="AN21" i="13"/>
  <c r="AP20" i="13"/>
  <c r="AO20" i="13"/>
  <c r="AN20" i="13"/>
  <c r="AN19" i="13"/>
  <c r="AP15" i="13"/>
  <c r="AO15" i="13"/>
  <c r="AN15" i="13"/>
  <c r="AP14" i="13"/>
  <c r="AO14" i="13"/>
  <c r="AN14" i="13"/>
  <c r="AP13" i="13"/>
  <c r="AO13" i="13"/>
  <c r="AN13" i="13"/>
  <c r="AP12" i="13"/>
  <c r="AO12" i="13"/>
  <c r="AN12" i="13"/>
  <c r="AP9" i="13"/>
  <c r="AO9" i="13"/>
  <c r="C48" i="16" s="1"/>
  <c r="AN9" i="13"/>
  <c r="AP8" i="13"/>
  <c r="AO8" i="13"/>
  <c r="AN8" i="13"/>
  <c r="BK54" i="13" l="1"/>
  <c r="BQ16" i="13"/>
  <c r="BU16" i="13"/>
  <c r="BJ16" i="13"/>
  <c r="BM54" i="13"/>
  <c r="BR65" i="13"/>
  <c r="BL54" i="13"/>
  <c r="BX54" i="13"/>
  <c r="BH65" i="13"/>
  <c r="BP65" i="13"/>
  <c r="BT65" i="13"/>
  <c r="BI16" i="13"/>
  <c r="AP16" i="13"/>
  <c r="AN54" i="13"/>
  <c r="AP54" i="13"/>
  <c r="AP65" i="13"/>
  <c r="BF16" i="13"/>
  <c r="BF29" i="13"/>
  <c r="BF54" i="13"/>
  <c r="BH16" i="13"/>
  <c r="BL16" i="13"/>
  <c r="BP16" i="13"/>
  <c r="BT16" i="13"/>
  <c r="BR16" i="13"/>
  <c r="BQ65" i="13"/>
  <c r="BJ65" i="13"/>
  <c r="BN54" i="13"/>
  <c r="BU65" i="13"/>
  <c r="AE29" i="13"/>
  <c r="AE54" i="13"/>
  <c r="BN16" i="13"/>
  <c r="BV16" i="13"/>
  <c r="BG29" i="13"/>
  <c r="BK29" i="13"/>
  <c r="BO29" i="13"/>
  <c r="BS29" i="13"/>
  <c r="BN65" i="13"/>
  <c r="BV65" i="13"/>
  <c r="BM65" i="13"/>
  <c r="BM67" i="13" s="1"/>
  <c r="AE16" i="13"/>
  <c r="AE65" i="13"/>
  <c r="BG16" i="13"/>
  <c r="BG74" i="13" s="1"/>
  <c r="BG80" i="13" s="1"/>
  <c r="BG83" i="13" s="1"/>
  <c r="BG85" i="13" s="1"/>
  <c r="BG87" i="13" s="1"/>
  <c r="BK16" i="13"/>
  <c r="BO16" i="13"/>
  <c r="BS16" i="13"/>
  <c r="BH29" i="13"/>
  <c r="BL29" i="13"/>
  <c r="BP29" i="13"/>
  <c r="BT29" i="13"/>
  <c r="BX29" i="13"/>
  <c r="BG65" i="13"/>
  <c r="BO65" i="13"/>
  <c r="BS65" i="13"/>
  <c r="BI29" i="13"/>
  <c r="BM29" i="13"/>
  <c r="BQ29" i="13"/>
  <c r="BU29" i="13"/>
  <c r="BJ29" i="13"/>
  <c r="BR29" i="13"/>
  <c r="BV29" i="13"/>
  <c r="AN16" i="13"/>
  <c r="AN29" i="13"/>
  <c r="AO54" i="13"/>
  <c r="AO16" i="13"/>
  <c r="AO65" i="13"/>
  <c r="BN67" i="13" l="1"/>
  <c r="BF74" i="13"/>
  <c r="BI74" i="13"/>
  <c r="AN74" i="13"/>
  <c r="BK74" i="13"/>
  <c r="BO74" i="13"/>
  <c r="BO80" i="13" s="1"/>
  <c r="BO83" i="13" s="1"/>
  <c r="BO85" i="13" s="1"/>
  <c r="BO87" i="13" s="1"/>
  <c r="AP67" i="13"/>
  <c r="BP74" i="13"/>
  <c r="BP80" i="13" s="1"/>
  <c r="BP83" i="13" s="1"/>
  <c r="BP85" i="13" s="1"/>
  <c r="BP87" i="13" s="1"/>
  <c r="BS74" i="13"/>
  <c r="BS80" i="13" s="1"/>
  <c r="BS83" i="13" s="1"/>
  <c r="BS85" i="13" s="1"/>
  <c r="BS87" i="13" s="1"/>
  <c r="BH74" i="13"/>
  <c r="BH80" i="13" s="1"/>
  <c r="BH83" i="13" s="1"/>
  <c r="BH85" i="13" s="1"/>
  <c r="BH87" i="13" s="1"/>
  <c r="AE74" i="13"/>
  <c r="AE80" i="13" s="1"/>
  <c r="AE83" i="13" s="1"/>
  <c r="AE85" i="13" s="1"/>
  <c r="AE87" i="13" s="1"/>
  <c r="BT74" i="13"/>
  <c r="BT80" i="13" s="1"/>
  <c r="BT83" i="13" s="1"/>
  <c r="BT85" i="13" s="1"/>
  <c r="BT87" i="13" s="1"/>
  <c r="AE67" i="13"/>
  <c r="AO67" i="13"/>
  <c r="BU74" i="13"/>
  <c r="BU80" i="13" s="1"/>
  <c r="BU83" i="13" s="1"/>
  <c r="BU85" i="13" s="1"/>
  <c r="BU87" i="13" s="1"/>
  <c r="BR74" i="13"/>
  <c r="BR80" i="13" s="1"/>
  <c r="BR83" i="13" s="1"/>
  <c r="BR85" i="13" s="1"/>
  <c r="BR87" i="13" s="1"/>
  <c r="BV74" i="13"/>
  <c r="BV80" i="13" s="1"/>
  <c r="BV83" i="13" s="1"/>
  <c r="BV85" i="13" s="1"/>
  <c r="BV87" i="13" s="1"/>
  <c r="BQ74" i="13"/>
  <c r="BQ80" i="13" s="1"/>
  <c r="BQ83" i="13" s="1"/>
  <c r="BQ85" i="13" s="1"/>
  <c r="BQ87" i="13" s="1"/>
  <c r="BX54" i="17" l="1"/>
  <c r="BX29" i="17"/>
  <c r="BX9" i="17"/>
  <c r="BW9" i="17"/>
  <c r="BX8" i="17"/>
  <c r="BW8" i="17"/>
  <c r="BX65" i="1"/>
  <c r="BX54" i="1"/>
  <c r="BX67" i="1" s="1"/>
  <c r="BX29" i="1"/>
  <c r="BX16" i="1"/>
  <c r="BI45" i="13"/>
  <c r="BI54" i="13" s="1"/>
  <c r="BI79" i="13"/>
  <c r="BI78" i="13"/>
  <c r="BI59" i="13"/>
  <c r="BI65" i="13" s="1"/>
  <c r="BI80" i="13" l="1"/>
  <c r="BI83" i="13" s="1"/>
  <c r="BI85" i="13" s="1"/>
  <c r="BI87" i="13" s="1"/>
  <c r="BI67" i="13"/>
  <c r="BX74" i="1"/>
  <c r="BX80" i="1" s="1"/>
  <c r="BX83" i="1" s="1"/>
  <c r="BX85" i="1" s="1"/>
  <c r="BX87" i="1" s="1"/>
  <c r="BX33" i="1" s="1"/>
  <c r="BX38" i="1" l="1"/>
  <c r="BX40" i="1" s="1"/>
  <c r="BF54" i="17"/>
  <c r="BF29" i="17"/>
  <c r="BF16" i="17"/>
  <c r="BF9" i="17"/>
  <c r="BF8" i="17"/>
  <c r="BF74" i="17" l="1"/>
  <c r="H26" i="11" l="1"/>
  <c r="BV51" i="13" l="1"/>
  <c r="BV54" i="13" s="1"/>
  <c r="BV67" i="13" s="1"/>
  <c r="BU43" i="13" l="1"/>
  <c r="BU54" i="13" s="1"/>
  <c r="BU67" i="13" s="1"/>
  <c r="BT43" i="13"/>
  <c r="BT54" i="13" s="1"/>
  <c r="BT67" i="13" s="1"/>
  <c r="BS43" i="13"/>
  <c r="BS54" i="13" s="1"/>
  <c r="BS67" i="13" s="1"/>
  <c r="BP43" i="13"/>
  <c r="BP54" i="13" s="1"/>
  <c r="BP67" i="13" s="1"/>
  <c r="BR43" i="13"/>
  <c r="BR54" i="13" s="1"/>
  <c r="BR67" i="13" s="1"/>
  <c r="BQ43" i="13"/>
  <c r="BQ54" i="13" s="1"/>
  <c r="BQ67" i="13" s="1"/>
  <c r="BO43" i="13"/>
  <c r="BO54" i="13" s="1"/>
  <c r="BO67" i="13" s="1"/>
  <c r="BN30" i="13" l="1"/>
  <c r="BN21" i="13"/>
  <c r="BN29" i="13" s="1"/>
  <c r="BN74" i="13" l="1"/>
  <c r="BN80" i="13" s="1"/>
  <c r="BN83" i="13" s="1"/>
  <c r="BN85" i="13" s="1"/>
  <c r="BN87" i="13" s="1"/>
  <c r="BM15" i="13"/>
  <c r="BM16" i="13" s="1"/>
  <c r="BM74" i="13" s="1"/>
  <c r="BM80" i="13" s="1"/>
  <c r="BM83" i="13" s="1"/>
  <c r="BM85" i="13" s="1"/>
  <c r="BM87" i="13" s="1"/>
  <c r="BL37" i="13" l="1"/>
  <c r="BL74" i="13" s="1"/>
  <c r="BL80" i="13" s="1"/>
  <c r="BL83" i="13" s="1"/>
  <c r="BL85" i="13" s="1"/>
  <c r="BL87" i="13" s="1"/>
  <c r="B62" i="1" l="1"/>
  <c r="BL62" i="13"/>
  <c r="BL65" i="13" s="1"/>
  <c r="BL67" i="13" s="1"/>
  <c r="BK79" i="13"/>
  <c r="BK80" i="13" s="1"/>
  <c r="BK83" i="13" s="1"/>
  <c r="BK85" i="13" s="1"/>
  <c r="BK87" i="13" s="1"/>
  <c r="B63" i="1" l="1"/>
  <c r="BK63" i="13"/>
  <c r="BK65" i="13" s="1"/>
  <c r="BK67" i="13" s="1"/>
  <c r="BJ79" i="1"/>
  <c r="BJ79" i="13" s="1"/>
  <c r="BJ43" i="13"/>
  <c r="BJ54" i="13" s="1"/>
  <c r="BJ67" i="13" s="1"/>
  <c r="BJ30" i="13"/>
  <c r="BJ74" i="13" s="1"/>
  <c r="BJ80" i="13" l="1"/>
  <c r="BJ83" i="13" s="1"/>
  <c r="BJ85" i="13" s="1"/>
  <c r="BJ87" i="13" s="1"/>
  <c r="BH45" i="13"/>
  <c r="BH48" i="13"/>
  <c r="B51" i="1" l="1"/>
  <c r="BG51" i="13"/>
  <c r="B48" i="1"/>
  <c r="BG48" i="13"/>
  <c r="BH54" i="13"/>
  <c r="BH67" i="13" s="1"/>
  <c r="B49" i="1"/>
  <c r="BG49" i="13"/>
  <c r="B50" i="1"/>
  <c r="BG50" i="13"/>
  <c r="BF65" i="1"/>
  <c r="BF54" i="1"/>
  <c r="BF67" i="1" s="1"/>
  <c r="BF29" i="1"/>
  <c r="BF16" i="1"/>
  <c r="B61" i="1"/>
  <c r="BF74" i="1" l="1"/>
  <c r="BF80" i="1" s="1"/>
  <c r="BF83" i="1" s="1"/>
  <c r="BF85" i="1" s="1"/>
  <c r="BF87" i="1" s="1"/>
  <c r="BF33" i="1" s="1"/>
  <c r="BF38" i="1" s="1"/>
  <c r="BF40" i="1" s="1"/>
  <c r="BG54" i="13"/>
  <c r="BG67" i="13" s="1"/>
  <c r="B45" i="1" l="1"/>
  <c r="AP25" i="13" l="1"/>
  <c r="AP21" i="13"/>
  <c r="AP19" i="13"/>
  <c r="AO28" i="13"/>
  <c r="AO26" i="13"/>
  <c r="AO25" i="13"/>
  <c r="AO24" i="13"/>
  <c r="AO23" i="13"/>
  <c r="AO22" i="13"/>
  <c r="AO21" i="13"/>
  <c r="AO19" i="13"/>
  <c r="AN78" i="13"/>
  <c r="AN80" i="13" s="1"/>
  <c r="AN83" i="13" s="1"/>
  <c r="AN85" i="13" s="1"/>
  <c r="AN87" i="13" s="1"/>
  <c r="AN35" i="13"/>
  <c r="K86" i="13"/>
  <c r="J86" i="13"/>
  <c r="K79" i="13"/>
  <c r="J79" i="13"/>
  <c r="K78" i="13"/>
  <c r="J78" i="13"/>
  <c r="K77" i="13"/>
  <c r="J77" i="13"/>
  <c r="K76" i="13"/>
  <c r="J76" i="13"/>
  <c r="K75" i="13"/>
  <c r="J75" i="13"/>
  <c r="K64" i="13"/>
  <c r="J64" i="13"/>
  <c r="K63" i="13"/>
  <c r="J63" i="13"/>
  <c r="K62" i="13"/>
  <c r="J62" i="13"/>
  <c r="K61" i="13"/>
  <c r="J61" i="13"/>
  <c r="K60" i="13"/>
  <c r="J60" i="13"/>
  <c r="K59" i="13"/>
  <c r="J59" i="13"/>
  <c r="K58" i="13"/>
  <c r="J58" i="13"/>
  <c r="K57" i="13"/>
  <c r="J57" i="13"/>
  <c r="K53" i="13"/>
  <c r="J53" i="13"/>
  <c r="K52" i="13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37" i="13"/>
  <c r="J37" i="13"/>
  <c r="K36" i="13"/>
  <c r="J36" i="13"/>
  <c r="K35" i="13"/>
  <c r="J35" i="13"/>
  <c r="K34" i="13"/>
  <c r="J34" i="13"/>
  <c r="K32" i="13"/>
  <c r="J32" i="13"/>
  <c r="K31" i="13"/>
  <c r="J31" i="13"/>
  <c r="K30" i="13"/>
  <c r="J30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J15" i="13"/>
  <c r="K14" i="13"/>
  <c r="J14" i="13"/>
  <c r="K13" i="13"/>
  <c r="J13" i="13"/>
  <c r="K12" i="13"/>
  <c r="J12" i="13"/>
  <c r="K9" i="13"/>
  <c r="J9" i="13"/>
  <c r="K8" i="13"/>
  <c r="J8" i="13"/>
  <c r="K65" i="17"/>
  <c r="J65" i="17"/>
  <c r="K54" i="17"/>
  <c r="J54" i="17"/>
  <c r="K29" i="17"/>
  <c r="J29" i="17"/>
  <c r="K16" i="17"/>
  <c r="J16" i="17"/>
  <c r="K9" i="17"/>
  <c r="J9" i="17"/>
  <c r="K8" i="17"/>
  <c r="J8" i="17"/>
  <c r="AP65" i="17"/>
  <c r="AO65" i="17"/>
  <c r="AN65" i="17"/>
  <c r="AP54" i="17"/>
  <c r="AO54" i="17"/>
  <c r="AN54" i="17"/>
  <c r="AP29" i="17"/>
  <c r="AO29" i="17"/>
  <c r="AN29" i="17"/>
  <c r="AP16" i="17"/>
  <c r="AO16" i="17"/>
  <c r="AN16" i="17"/>
  <c r="AP9" i="17"/>
  <c r="AO9" i="17"/>
  <c r="AN9" i="17"/>
  <c r="AP8" i="17"/>
  <c r="AO8" i="17"/>
  <c r="AN8" i="17"/>
  <c r="AP65" i="1"/>
  <c r="AO65" i="1"/>
  <c r="AP54" i="1"/>
  <c r="AO54" i="1"/>
  <c r="AO67" i="1" s="1"/>
  <c r="AP16" i="1"/>
  <c r="AO16" i="1"/>
  <c r="AN54" i="1"/>
  <c r="AN29" i="1"/>
  <c r="AN16" i="1"/>
  <c r="B58" i="1"/>
  <c r="AO74" i="17" l="1"/>
  <c r="AO80" i="17" s="1"/>
  <c r="AO83" i="17" s="1"/>
  <c r="AO85" i="17" s="1"/>
  <c r="AO87" i="17" s="1"/>
  <c r="AO33" i="17" s="1"/>
  <c r="AP67" i="17"/>
  <c r="AN74" i="1"/>
  <c r="AN80" i="1" s="1"/>
  <c r="AN83" i="1" s="1"/>
  <c r="AN85" i="1" s="1"/>
  <c r="AN87" i="1" s="1"/>
  <c r="AN33" i="1" s="1"/>
  <c r="AN38" i="1" s="1"/>
  <c r="AN40" i="1" s="1"/>
  <c r="K65" i="13"/>
  <c r="AO29" i="13"/>
  <c r="AP29" i="13"/>
  <c r="AN65" i="1"/>
  <c r="AN67" i="1" s="1"/>
  <c r="AN59" i="13"/>
  <c r="AN65" i="13" s="1"/>
  <c r="AN67" i="13" s="1"/>
  <c r="AP67" i="1"/>
  <c r="AP29" i="1"/>
  <c r="AP74" i="1" s="1"/>
  <c r="AP80" i="1" s="1"/>
  <c r="AP83" i="1" s="1"/>
  <c r="AP85" i="1" s="1"/>
  <c r="AP87" i="1" s="1"/>
  <c r="AP33" i="1" s="1"/>
  <c r="AP74" i="17"/>
  <c r="AP80" i="17" s="1"/>
  <c r="AP83" i="17" s="1"/>
  <c r="AP85" i="17" s="1"/>
  <c r="AP87" i="17" s="1"/>
  <c r="AP33" i="17" s="1"/>
  <c r="AP38" i="17" s="1"/>
  <c r="AP40" i="17" s="1"/>
  <c r="AN67" i="17"/>
  <c r="J54" i="13"/>
  <c r="J65" i="13"/>
  <c r="AN74" i="17"/>
  <c r="AN80" i="17" s="1"/>
  <c r="AN83" i="17" s="1"/>
  <c r="AN85" i="17" s="1"/>
  <c r="AN87" i="17" s="1"/>
  <c r="AN33" i="17" s="1"/>
  <c r="AO38" i="17"/>
  <c r="AO40" i="17" s="1"/>
  <c r="J74" i="17"/>
  <c r="J80" i="17" s="1"/>
  <c r="J83" i="17" s="1"/>
  <c r="J85" i="17" s="1"/>
  <c r="J87" i="17" s="1"/>
  <c r="J33" i="17" s="1"/>
  <c r="J38" i="17" s="1"/>
  <c r="J40" i="17" s="1"/>
  <c r="J67" i="17"/>
  <c r="J16" i="13"/>
  <c r="J29" i="13"/>
  <c r="AO67" i="17"/>
  <c r="AO29" i="1"/>
  <c r="AO74" i="1" s="1"/>
  <c r="AO80" i="1" s="1"/>
  <c r="AO83" i="1" s="1"/>
  <c r="AO85" i="1" s="1"/>
  <c r="AO87" i="1" s="1"/>
  <c r="AO33" i="1" s="1"/>
  <c r="K74" i="17"/>
  <c r="K80" i="17" s="1"/>
  <c r="K83" i="17" s="1"/>
  <c r="K85" i="17" s="1"/>
  <c r="K87" i="17" s="1"/>
  <c r="K33" i="17" s="1"/>
  <c r="K38" i="17" s="1"/>
  <c r="K40" i="17" s="1"/>
  <c r="K67" i="17"/>
  <c r="K29" i="13"/>
  <c r="K54" i="13"/>
  <c r="AN33" i="13" l="1"/>
  <c r="AN38" i="13" s="1"/>
  <c r="AN40" i="13" s="1"/>
  <c r="K67" i="13"/>
  <c r="AN38" i="17"/>
  <c r="AN40" i="17" s="1"/>
  <c r="AP38" i="1"/>
  <c r="AP40" i="1" s="1"/>
  <c r="AP33" i="13"/>
  <c r="AP38" i="13" s="1"/>
  <c r="AP40" i="13" s="1"/>
  <c r="J67" i="13"/>
  <c r="J20" i="16" s="1"/>
  <c r="N20" i="16" s="1"/>
  <c r="AO38" i="1"/>
  <c r="AO40" i="1" s="1"/>
  <c r="AO33" i="13"/>
  <c r="AO38" i="13" s="1"/>
  <c r="AO40" i="13" s="1"/>
  <c r="AO74" i="13"/>
  <c r="AO80" i="13" s="1"/>
  <c r="AO83" i="13" s="1"/>
  <c r="AO85" i="13" s="1"/>
  <c r="AO87" i="13" s="1"/>
  <c r="J74" i="13"/>
  <c r="J80" i="13" s="1"/>
  <c r="J83" i="13" s="1"/>
  <c r="J85" i="13" s="1"/>
  <c r="J87" i="13" s="1"/>
  <c r="AP74" i="13"/>
  <c r="AP80" i="13" s="1"/>
  <c r="AP83" i="13" s="1"/>
  <c r="AP85" i="13" s="1"/>
  <c r="AP87" i="13" s="1"/>
  <c r="AG29" i="1"/>
  <c r="B30" i="1"/>
  <c r="B32" i="1"/>
  <c r="B35" i="1"/>
  <c r="B43" i="1"/>
  <c r="B57" i="1"/>
  <c r="B59" i="1"/>
  <c r="B60" i="1"/>
  <c r="AG65" i="1" l="1"/>
  <c r="B14" i="1"/>
  <c r="AB86" i="13" l="1"/>
  <c r="AA86" i="13"/>
  <c r="Z86" i="13"/>
  <c r="Y86" i="13"/>
  <c r="AB79" i="13"/>
  <c r="AA79" i="13"/>
  <c r="Z79" i="13"/>
  <c r="Y79" i="13"/>
  <c r="AB78" i="13"/>
  <c r="AA78" i="13"/>
  <c r="Z78" i="13"/>
  <c r="Y78" i="13"/>
  <c r="AB77" i="13"/>
  <c r="AA77" i="13"/>
  <c r="Z77" i="13"/>
  <c r="Y77" i="13"/>
  <c r="AB76" i="13"/>
  <c r="AA76" i="13"/>
  <c r="Z76" i="13"/>
  <c r="Y76" i="13"/>
  <c r="AB75" i="13"/>
  <c r="AA75" i="13"/>
  <c r="Z75" i="13"/>
  <c r="Y75" i="13"/>
  <c r="AB64" i="13"/>
  <c r="AA64" i="13"/>
  <c r="Z64" i="13"/>
  <c r="Y64" i="13"/>
  <c r="AB63" i="13"/>
  <c r="AA63" i="13"/>
  <c r="Z63" i="13"/>
  <c r="Y63" i="13"/>
  <c r="AB62" i="13"/>
  <c r="AA62" i="13"/>
  <c r="Z62" i="13"/>
  <c r="Y62" i="13"/>
  <c r="AB61" i="13"/>
  <c r="AA61" i="13"/>
  <c r="Z61" i="13"/>
  <c r="Y61" i="13"/>
  <c r="AB60" i="13"/>
  <c r="AA60" i="13"/>
  <c r="Z60" i="13"/>
  <c r="Y60" i="13"/>
  <c r="AB59" i="13"/>
  <c r="AA59" i="13"/>
  <c r="Z59" i="13"/>
  <c r="Y59" i="13"/>
  <c r="AB58" i="13"/>
  <c r="AA58" i="13"/>
  <c r="Z58" i="13"/>
  <c r="Y58" i="13"/>
  <c r="AB57" i="13"/>
  <c r="AB65" i="13" s="1"/>
  <c r="AA57" i="13"/>
  <c r="AA65" i="13" s="1"/>
  <c r="Z57" i="13"/>
  <c r="Y57" i="13"/>
  <c r="AB53" i="13"/>
  <c r="AA53" i="13"/>
  <c r="Z53" i="13"/>
  <c r="Y53" i="13"/>
  <c r="AB52" i="13"/>
  <c r="AA52" i="13"/>
  <c r="Z52" i="13"/>
  <c r="Y52" i="13"/>
  <c r="AB51" i="13"/>
  <c r="AA51" i="13"/>
  <c r="Z51" i="13"/>
  <c r="Y51" i="13"/>
  <c r="AB50" i="13"/>
  <c r="AA50" i="13"/>
  <c r="Z50" i="13"/>
  <c r="Y50" i="13"/>
  <c r="AB49" i="13"/>
  <c r="AA49" i="13"/>
  <c r="Z49" i="13"/>
  <c r="Y49" i="13"/>
  <c r="AB48" i="13"/>
  <c r="AA48" i="13"/>
  <c r="Z48" i="13"/>
  <c r="Y48" i="13"/>
  <c r="AB47" i="13"/>
  <c r="AA47" i="13"/>
  <c r="Z47" i="13"/>
  <c r="Y47" i="13"/>
  <c r="AB46" i="13"/>
  <c r="AA46" i="13"/>
  <c r="Z46" i="13"/>
  <c r="Y46" i="13"/>
  <c r="AB45" i="13"/>
  <c r="AA45" i="13"/>
  <c r="Z45" i="13"/>
  <c r="Y45" i="13"/>
  <c r="AB44" i="13"/>
  <c r="AA44" i="13"/>
  <c r="Z44" i="13"/>
  <c r="Y44" i="13"/>
  <c r="AB43" i="13"/>
  <c r="AB54" i="13" s="1"/>
  <c r="AB67" i="13" s="1"/>
  <c r="AA43" i="13"/>
  <c r="AA54" i="13" s="1"/>
  <c r="AA67" i="13" s="1"/>
  <c r="Z43" i="13"/>
  <c r="Z54" i="13" s="1"/>
  <c r="Y43" i="13"/>
  <c r="AB37" i="13"/>
  <c r="AA37" i="13"/>
  <c r="Z37" i="13"/>
  <c r="Y37" i="13"/>
  <c r="AB36" i="13"/>
  <c r="AA36" i="13"/>
  <c r="Z36" i="13"/>
  <c r="Y36" i="13"/>
  <c r="AB35" i="13"/>
  <c r="AA35" i="13"/>
  <c r="Z35" i="13"/>
  <c r="Y35" i="13"/>
  <c r="AB34" i="13"/>
  <c r="AA34" i="13"/>
  <c r="Z34" i="13"/>
  <c r="Y34" i="13"/>
  <c r="AB32" i="13"/>
  <c r="AA32" i="13"/>
  <c r="Z32" i="13"/>
  <c r="Y32" i="13"/>
  <c r="AB31" i="13"/>
  <c r="AA31" i="13"/>
  <c r="Z31" i="13"/>
  <c r="Y31" i="13"/>
  <c r="AB30" i="13"/>
  <c r="AA30" i="13"/>
  <c r="Z30" i="13"/>
  <c r="Y30" i="13"/>
  <c r="AB28" i="13"/>
  <c r="AA28" i="13"/>
  <c r="Z28" i="13"/>
  <c r="Y28" i="13"/>
  <c r="AB27" i="13"/>
  <c r="AA27" i="13"/>
  <c r="Z27" i="13"/>
  <c r="Y27" i="13"/>
  <c r="AB26" i="13"/>
  <c r="AA26" i="13"/>
  <c r="Z26" i="13"/>
  <c r="Y26" i="13"/>
  <c r="AB25" i="13"/>
  <c r="AA25" i="13"/>
  <c r="Z25" i="13"/>
  <c r="Y25" i="13"/>
  <c r="AB24" i="13"/>
  <c r="AA24" i="13"/>
  <c r="Z24" i="13"/>
  <c r="Y24" i="13"/>
  <c r="AB23" i="13"/>
  <c r="AA23" i="13"/>
  <c r="Z23" i="13"/>
  <c r="Y23" i="13"/>
  <c r="AB22" i="13"/>
  <c r="AA22" i="13"/>
  <c r="Z22" i="13"/>
  <c r="Y22" i="13"/>
  <c r="AB21" i="13"/>
  <c r="AA21" i="13"/>
  <c r="Z21" i="13"/>
  <c r="AB20" i="13"/>
  <c r="AA20" i="13"/>
  <c r="Z20" i="13"/>
  <c r="Y20" i="13"/>
  <c r="AB19" i="13"/>
  <c r="AA19" i="13"/>
  <c r="Z19" i="13"/>
  <c r="AB15" i="13"/>
  <c r="AA15" i="13"/>
  <c r="Z15" i="13"/>
  <c r="Y15" i="13"/>
  <c r="AB14" i="13"/>
  <c r="AA14" i="13"/>
  <c r="Z14" i="13"/>
  <c r="Y14" i="13"/>
  <c r="AB13" i="13"/>
  <c r="AA13" i="13"/>
  <c r="Z13" i="13"/>
  <c r="Y13" i="13"/>
  <c r="AB12" i="13"/>
  <c r="AA12" i="13"/>
  <c r="AA16" i="13" s="1"/>
  <c r="Z12" i="13"/>
  <c r="Z16" i="13" s="1"/>
  <c r="Y12" i="13"/>
  <c r="Y16" i="13" s="1"/>
  <c r="AB9" i="13"/>
  <c r="AA9" i="13"/>
  <c r="Z9" i="13"/>
  <c r="Y9" i="13"/>
  <c r="C36" i="16" s="1"/>
  <c r="AB8" i="13"/>
  <c r="AA8" i="13"/>
  <c r="Z8" i="13"/>
  <c r="Y8" i="13"/>
  <c r="Y8" i="17"/>
  <c r="Z8" i="17"/>
  <c r="AA8" i="17"/>
  <c r="AB8" i="17"/>
  <c r="Y9" i="17"/>
  <c r="Z9" i="17"/>
  <c r="AA9" i="17"/>
  <c r="AB9" i="17"/>
  <c r="Y16" i="17"/>
  <c r="Z16" i="17"/>
  <c r="AA16" i="17"/>
  <c r="AB16" i="17"/>
  <c r="Z29" i="17"/>
  <c r="AA29" i="17"/>
  <c r="AB29" i="17"/>
  <c r="Y54" i="17"/>
  <c r="Z54" i="17"/>
  <c r="AA54" i="17"/>
  <c r="AB54" i="17"/>
  <c r="Y65" i="17"/>
  <c r="Z65" i="17"/>
  <c r="Z67" i="17" s="1"/>
  <c r="AA65" i="17"/>
  <c r="AA67" i="17" s="1"/>
  <c r="AB65" i="17"/>
  <c r="Y67" i="17"/>
  <c r="X16" i="1"/>
  <c r="X29" i="1"/>
  <c r="X54" i="1"/>
  <c r="X65" i="1"/>
  <c r="Y65" i="13" l="1"/>
  <c r="AB16" i="13"/>
  <c r="Z74" i="17"/>
  <c r="Z80" i="17" s="1"/>
  <c r="Z83" i="17" s="1"/>
  <c r="Z85" i="17" s="1"/>
  <c r="Z87" i="17" s="1"/>
  <c r="Z33" i="17" s="1"/>
  <c r="Z38" i="17" s="1"/>
  <c r="Z40" i="17" s="1"/>
  <c r="AB67" i="17"/>
  <c r="AB74" i="17"/>
  <c r="AB80" i="17" s="1"/>
  <c r="AB83" i="17" s="1"/>
  <c r="AB85" i="17" s="1"/>
  <c r="AB87" i="17" s="1"/>
  <c r="AB33" i="17" s="1"/>
  <c r="AB33" i="13" s="1"/>
  <c r="AA74" i="17"/>
  <c r="AA80" i="17" s="1"/>
  <c r="AA83" i="17" s="1"/>
  <c r="AA85" i="17" s="1"/>
  <c r="AA87" i="17" s="1"/>
  <c r="AA33" i="17" s="1"/>
  <c r="AA38" i="17" s="1"/>
  <c r="AA40" i="17" s="1"/>
  <c r="AB29" i="13"/>
  <c r="AA29" i="13"/>
  <c r="AA74" i="13" s="1"/>
  <c r="AA80" i="13" s="1"/>
  <c r="AA83" i="13" s="1"/>
  <c r="AA85" i="13" s="1"/>
  <c r="AA87" i="13" s="1"/>
  <c r="Z29" i="13"/>
  <c r="Y54" i="13"/>
  <c r="Y67" i="13" s="1"/>
  <c r="Z65" i="13"/>
  <c r="Z67" i="13" s="1"/>
  <c r="X67" i="1"/>
  <c r="X74" i="1"/>
  <c r="X80" i="1" s="1"/>
  <c r="X83" i="1" s="1"/>
  <c r="X85" i="1" s="1"/>
  <c r="X87" i="1" s="1"/>
  <c r="X33" i="1" s="1"/>
  <c r="X38" i="1" s="1"/>
  <c r="X40" i="1" s="1"/>
  <c r="AB74" i="13" l="1"/>
  <c r="AB80" i="13" s="1"/>
  <c r="AB83" i="13" s="1"/>
  <c r="AB85" i="13" s="1"/>
  <c r="AB87" i="13" s="1"/>
  <c r="Z33" i="13"/>
  <c r="AB38" i="17"/>
  <c r="AB40" i="17" s="1"/>
  <c r="AB38" i="13"/>
  <c r="AB40" i="13" s="1"/>
  <c r="AA33" i="13"/>
  <c r="AA38" i="13" s="1"/>
  <c r="AA40" i="13" s="1"/>
  <c r="Z38" i="13"/>
  <c r="Z40" i="13" s="1"/>
  <c r="Z74" i="13"/>
  <c r="Z80" i="13" s="1"/>
  <c r="Z83" i="13" s="1"/>
  <c r="Z85" i="13" s="1"/>
  <c r="Z87" i="13" s="1"/>
  <c r="B78" i="1" l="1"/>
  <c r="B21" i="1" l="1"/>
  <c r="B19" i="1"/>
  <c r="B26" i="1" l="1"/>
  <c r="B37" i="1"/>
  <c r="B25" i="1"/>
  <c r="B24" i="1"/>
  <c r="K15" i="13" l="1"/>
  <c r="K16" i="13" s="1"/>
  <c r="K74" i="13" l="1"/>
  <c r="K80" i="13" s="1"/>
  <c r="K83" i="13" s="1"/>
  <c r="K85" i="13" s="1"/>
  <c r="K87" i="13" s="1"/>
  <c r="K65" i="1"/>
  <c r="K54" i="1"/>
  <c r="K67" i="1" s="1"/>
  <c r="K29" i="1"/>
  <c r="K16" i="1"/>
  <c r="D17" i="10" l="1"/>
  <c r="K74" i="1"/>
  <c r="K80" i="1" s="1"/>
  <c r="K83" i="1" s="1"/>
  <c r="K85" i="1" s="1"/>
  <c r="K87" i="1" s="1"/>
  <c r="K33" i="1" s="1"/>
  <c r="D9" i="10"/>
  <c r="D6" i="10" l="1"/>
  <c r="B12" i="1"/>
  <c r="B15" i="1"/>
  <c r="K38" i="1"/>
  <c r="K40" i="1" s="1"/>
  <c r="K33" i="13"/>
  <c r="K38" i="13" s="1"/>
  <c r="K40" i="13" s="1"/>
  <c r="C75" i="11" l="1"/>
  <c r="C75" i="12"/>
  <c r="C28" i="12"/>
  <c r="I79" i="11"/>
  <c r="H79" i="11"/>
  <c r="F79" i="11"/>
  <c r="E79" i="11"/>
  <c r="D79" i="11"/>
  <c r="J79" i="10"/>
  <c r="I79" i="10"/>
  <c r="H79" i="10"/>
  <c r="G79" i="10"/>
  <c r="F79" i="10"/>
  <c r="E79" i="10"/>
  <c r="D79" i="10"/>
  <c r="BE86" i="13"/>
  <c r="BD86" i="13"/>
  <c r="BC86" i="13"/>
  <c r="BB86" i="13"/>
  <c r="BA86" i="13"/>
  <c r="AZ86" i="13"/>
  <c r="AY86" i="13"/>
  <c r="AX86" i="13"/>
  <c r="AW86" i="13"/>
  <c r="AV86" i="13"/>
  <c r="AU86" i="13"/>
  <c r="AT86" i="13"/>
  <c r="AS86" i="13"/>
  <c r="AQ86" i="13"/>
  <c r="AM86" i="13"/>
  <c r="AL86" i="13"/>
  <c r="AK86" i="13"/>
  <c r="AJ86" i="13"/>
  <c r="AI86" i="13"/>
  <c r="AH86" i="13"/>
  <c r="AG86" i="13"/>
  <c r="AF86" i="13"/>
  <c r="AD86" i="13"/>
  <c r="AC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I86" i="13"/>
  <c r="H86" i="13"/>
  <c r="G86" i="13"/>
  <c r="F86" i="13"/>
  <c r="E86" i="13"/>
  <c r="D86" i="13"/>
  <c r="C86" i="13"/>
  <c r="J72" i="10"/>
  <c r="J71" i="10"/>
  <c r="J70" i="10"/>
  <c r="J69" i="10"/>
  <c r="J68" i="10"/>
  <c r="J57" i="10"/>
  <c r="J56" i="10"/>
  <c r="J56" i="12" s="1"/>
  <c r="K61" i="15" s="1"/>
  <c r="J55" i="10"/>
  <c r="J54" i="10"/>
  <c r="J53" i="10"/>
  <c r="J52" i="10"/>
  <c r="J51" i="10"/>
  <c r="J47" i="10"/>
  <c r="J46" i="10"/>
  <c r="J45" i="10"/>
  <c r="J45" i="12" s="1"/>
  <c r="K50" i="15" s="1"/>
  <c r="J44" i="10"/>
  <c r="J43" i="10"/>
  <c r="J42" i="10"/>
  <c r="J41" i="10"/>
  <c r="J40" i="10"/>
  <c r="J39" i="10"/>
  <c r="J38" i="10"/>
  <c r="J37" i="10"/>
  <c r="J31" i="10"/>
  <c r="J30" i="10"/>
  <c r="J29" i="10"/>
  <c r="J26" i="10"/>
  <c r="J25" i="10"/>
  <c r="J24" i="10"/>
  <c r="J22" i="10"/>
  <c r="J22" i="12" s="1"/>
  <c r="K27" i="15" s="1"/>
  <c r="J21" i="10"/>
  <c r="J20" i="10"/>
  <c r="J19" i="10"/>
  <c r="J18" i="10"/>
  <c r="J17" i="10"/>
  <c r="J16" i="10"/>
  <c r="J15" i="10"/>
  <c r="J14" i="10"/>
  <c r="J13" i="10"/>
  <c r="J9" i="10"/>
  <c r="J8" i="10"/>
  <c r="J7" i="10"/>
  <c r="J7" i="12" s="1"/>
  <c r="K12" i="15" s="1"/>
  <c r="J6" i="10"/>
  <c r="J42" i="12"/>
  <c r="K47" i="15" s="1"/>
  <c r="I70" i="11"/>
  <c r="I69" i="11"/>
  <c r="I68" i="11"/>
  <c r="I57" i="11"/>
  <c r="I56" i="11"/>
  <c r="I55" i="11"/>
  <c r="I54" i="11"/>
  <c r="I52" i="11"/>
  <c r="I47" i="11"/>
  <c r="I46" i="11"/>
  <c r="I45" i="11"/>
  <c r="I44" i="11"/>
  <c r="I43" i="11"/>
  <c r="I42" i="11"/>
  <c r="I41" i="11"/>
  <c r="I40" i="11"/>
  <c r="I39" i="11"/>
  <c r="I38" i="11"/>
  <c r="I31" i="11"/>
  <c r="I30" i="11"/>
  <c r="I26" i="11"/>
  <c r="I25" i="11"/>
  <c r="I22" i="11"/>
  <c r="I21" i="11"/>
  <c r="I20" i="11"/>
  <c r="I19" i="11"/>
  <c r="I18" i="11"/>
  <c r="I17" i="11"/>
  <c r="I16" i="11"/>
  <c r="I15" i="11"/>
  <c r="I14" i="11"/>
  <c r="I13" i="11"/>
  <c r="I9" i="11"/>
  <c r="I8" i="11"/>
  <c r="I7" i="11"/>
  <c r="I6" i="11"/>
  <c r="I72" i="10"/>
  <c r="I71" i="10"/>
  <c r="I70" i="10"/>
  <c r="I69" i="10"/>
  <c r="I68" i="10"/>
  <c r="I57" i="10"/>
  <c r="I56" i="10"/>
  <c r="I55" i="10"/>
  <c r="I54" i="10"/>
  <c r="I53" i="10"/>
  <c r="I52" i="10"/>
  <c r="I51" i="10"/>
  <c r="I47" i="10"/>
  <c r="I46" i="10"/>
  <c r="I45" i="10"/>
  <c r="I44" i="10"/>
  <c r="I43" i="10"/>
  <c r="I42" i="10"/>
  <c r="I41" i="10"/>
  <c r="I40" i="10"/>
  <c r="I39" i="10"/>
  <c r="I38" i="10"/>
  <c r="I31" i="10"/>
  <c r="I30" i="10"/>
  <c r="I29" i="10"/>
  <c r="I26" i="10"/>
  <c r="I25" i="10"/>
  <c r="I24" i="10"/>
  <c r="I22" i="10"/>
  <c r="I21" i="10"/>
  <c r="I20" i="10"/>
  <c r="I19" i="10"/>
  <c r="I18" i="10"/>
  <c r="I17" i="10"/>
  <c r="I16" i="10"/>
  <c r="I15" i="10"/>
  <c r="I14" i="10"/>
  <c r="I13" i="10"/>
  <c r="I9" i="10"/>
  <c r="I8" i="10"/>
  <c r="I7" i="10"/>
  <c r="I6" i="10"/>
  <c r="G72" i="10"/>
  <c r="G71" i="10"/>
  <c r="G70" i="10"/>
  <c r="G69" i="10"/>
  <c r="G68" i="10"/>
  <c r="G57" i="10"/>
  <c r="G56" i="10"/>
  <c r="G55" i="10"/>
  <c r="G54" i="10"/>
  <c r="G53" i="10"/>
  <c r="G52" i="10"/>
  <c r="G51" i="10"/>
  <c r="G47" i="10"/>
  <c r="G46" i="10"/>
  <c r="G45" i="10"/>
  <c r="G44" i="10"/>
  <c r="G43" i="10"/>
  <c r="G42" i="10"/>
  <c r="G41" i="10"/>
  <c r="G40" i="10"/>
  <c r="G39" i="10"/>
  <c r="G38" i="10"/>
  <c r="G37" i="10"/>
  <c r="G31" i="10"/>
  <c r="G30" i="10"/>
  <c r="G29" i="10"/>
  <c r="G26" i="10"/>
  <c r="G25" i="10"/>
  <c r="G24" i="10"/>
  <c r="G22" i="10"/>
  <c r="G21" i="10"/>
  <c r="G20" i="10"/>
  <c r="G19" i="10"/>
  <c r="G18" i="10"/>
  <c r="G17" i="10"/>
  <c r="G16" i="10"/>
  <c r="G15" i="10"/>
  <c r="G14" i="10"/>
  <c r="G13" i="10"/>
  <c r="G9" i="10"/>
  <c r="G8" i="10"/>
  <c r="G7" i="10"/>
  <c r="G6" i="10"/>
  <c r="E72" i="11"/>
  <c r="E71" i="11"/>
  <c r="E70" i="11"/>
  <c r="E69" i="11"/>
  <c r="E68" i="11"/>
  <c r="E57" i="11"/>
  <c r="E56" i="11"/>
  <c r="E55" i="11"/>
  <c r="E54" i="11"/>
  <c r="E53" i="11"/>
  <c r="E52" i="11"/>
  <c r="E51" i="11"/>
  <c r="E47" i="11"/>
  <c r="E46" i="11"/>
  <c r="E45" i="11"/>
  <c r="E44" i="11"/>
  <c r="E43" i="11"/>
  <c r="E42" i="11"/>
  <c r="E41" i="11"/>
  <c r="E40" i="11"/>
  <c r="E39" i="11"/>
  <c r="E38" i="11"/>
  <c r="E37" i="11"/>
  <c r="E31" i="11"/>
  <c r="E30" i="11"/>
  <c r="E29" i="11"/>
  <c r="E26" i="11"/>
  <c r="E25" i="11"/>
  <c r="E24" i="11"/>
  <c r="E21" i="11"/>
  <c r="E20" i="11"/>
  <c r="E19" i="11"/>
  <c r="E18" i="11"/>
  <c r="E17" i="11"/>
  <c r="E16" i="11"/>
  <c r="E14" i="11"/>
  <c r="E9" i="11"/>
  <c r="E8" i="11"/>
  <c r="E7" i="11"/>
  <c r="E6" i="11"/>
  <c r="E71" i="10"/>
  <c r="E70" i="10"/>
  <c r="E69" i="10"/>
  <c r="E68" i="10"/>
  <c r="E57" i="10"/>
  <c r="E56" i="10"/>
  <c r="E55" i="10"/>
  <c r="E54" i="10"/>
  <c r="E53" i="10"/>
  <c r="E52" i="10"/>
  <c r="E51" i="10"/>
  <c r="E47" i="10"/>
  <c r="E46" i="10"/>
  <c r="E45" i="10"/>
  <c r="E44" i="10"/>
  <c r="E43" i="10"/>
  <c r="E42" i="10"/>
  <c r="E41" i="10"/>
  <c r="E40" i="10"/>
  <c r="E39" i="10"/>
  <c r="E38" i="10"/>
  <c r="E37" i="10"/>
  <c r="E31" i="10"/>
  <c r="E30" i="10"/>
  <c r="E29" i="10"/>
  <c r="E26" i="10"/>
  <c r="E25" i="10"/>
  <c r="E24" i="10"/>
  <c r="E21" i="10"/>
  <c r="E20" i="10"/>
  <c r="E19" i="10"/>
  <c r="E18" i="10"/>
  <c r="E15" i="10"/>
  <c r="E14" i="10"/>
  <c r="E13" i="10"/>
  <c r="E9" i="10"/>
  <c r="E8" i="10"/>
  <c r="E7" i="10"/>
  <c r="E6" i="10"/>
  <c r="D72" i="11"/>
  <c r="D71" i="11"/>
  <c r="D70" i="11"/>
  <c r="D69" i="11"/>
  <c r="D68" i="11"/>
  <c r="D57" i="11"/>
  <c r="D56" i="11"/>
  <c r="D55" i="11"/>
  <c r="D54" i="11"/>
  <c r="D53" i="11"/>
  <c r="D52" i="11"/>
  <c r="D51" i="11"/>
  <c r="D47" i="11"/>
  <c r="D46" i="11"/>
  <c r="D45" i="11"/>
  <c r="D44" i="11"/>
  <c r="D43" i="11"/>
  <c r="D42" i="11"/>
  <c r="D41" i="11"/>
  <c r="D40" i="11"/>
  <c r="D39" i="11"/>
  <c r="D38" i="11"/>
  <c r="D37" i="11"/>
  <c r="D31" i="11"/>
  <c r="D30" i="11"/>
  <c r="D29" i="11"/>
  <c r="D26" i="11"/>
  <c r="D25" i="11"/>
  <c r="D24" i="11"/>
  <c r="D22" i="11"/>
  <c r="D21" i="11"/>
  <c r="D20" i="11"/>
  <c r="D19" i="11"/>
  <c r="D18" i="11"/>
  <c r="D17" i="11"/>
  <c r="D16" i="11"/>
  <c r="D15" i="11"/>
  <c r="D14" i="11"/>
  <c r="D13" i="11"/>
  <c r="D9" i="11"/>
  <c r="D8" i="11"/>
  <c r="D7" i="11"/>
  <c r="D6" i="11"/>
  <c r="D72" i="10"/>
  <c r="D71" i="10"/>
  <c r="D70" i="10"/>
  <c r="D69" i="10"/>
  <c r="D68" i="10"/>
  <c r="J75" i="11"/>
  <c r="J75" i="10"/>
  <c r="J28" i="10"/>
  <c r="J75" i="12"/>
  <c r="J28" i="12"/>
  <c r="K80" i="15"/>
  <c r="K63" i="15"/>
  <c r="K33" i="15"/>
  <c r="J25" i="12" l="1"/>
  <c r="K30" i="15" s="1"/>
  <c r="J52" i="12"/>
  <c r="K57" i="15" s="1"/>
  <c r="J70" i="12"/>
  <c r="K75" i="15" s="1"/>
  <c r="J6" i="12"/>
  <c r="K11" i="15" s="1"/>
  <c r="J21" i="12"/>
  <c r="K26" i="15" s="1"/>
  <c r="J26" i="12"/>
  <c r="K31" i="15" s="1"/>
  <c r="J41" i="12"/>
  <c r="K46" i="15" s="1"/>
  <c r="J18" i="12"/>
  <c r="K23" i="15" s="1"/>
  <c r="J57" i="12"/>
  <c r="K62" i="15" s="1"/>
  <c r="J40" i="12"/>
  <c r="K45" i="15" s="1"/>
  <c r="J44" i="12"/>
  <c r="K49" i="15" s="1"/>
  <c r="J55" i="12"/>
  <c r="K60" i="15" s="1"/>
  <c r="J69" i="12"/>
  <c r="K74" i="15" s="1"/>
  <c r="J10" i="10"/>
  <c r="J23" i="10"/>
  <c r="J30" i="12"/>
  <c r="K35" i="15" s="1"/>
  <c r="J43" i="12"/>
  <c r="K48" i="15" s="1"/>
  <c r="J15" i="12"/>
  <c r="K20" i="15" s="1"/>
  <c r="J19" i="12"/>
  <c r="K24" i="15" s="1"/>
  <c r="J47" i="12"/>
  <c r="K52" i="15" s="1"/>
  <c r="J54" i="12"/>
  <c r="K59" i="15" s="1"/>
  <c r="J68" i="12"/>
  <c r="K73" i="15" s="1"/>
  <c r="J20" i="12"/>
  <c r="K25" i="15" s="1"/>
  <c r="J31" i="12"/>
  <c r="K36" i="15" s="1"/>
  <c r="J14" i="12"/>
  <c r="K19" i="15" s="1"/>
  <c r="J39" i="12"/>
  <c r="K44" i="15" s="1"/>
  <c r="J59" i="10"/>
  <c r="J46" i="12"/>
  <c r="K51" i="15" s="1"/>
  <c r="J48" i="10"/>
  <c r="J38" i="12"/>
  <c r="K43" i="15" s="1"/>
  <c r="C79" i="10"/>
  <c r="M30" i="4"/>
  <c r="J67" i="10" l="1"/>
  <c r="J73" i="10" s="1"/>
  <c r="J76" i="10" s="1"/>
  <c r="J78" i="10" s="1"/>
  <c r="J80" i="10" s="1"/>
  <c r="J27" i="10" s="1"/>
  <c r="J32" i="10" s="1"/>
  <c r="J34" i="10" s="1"/>
  <c r="J61" i="10"/>
  <c r="J16" i="1" l="1"/>
  <c r="J65" i="1"/>
  <c r="J54" i="1"/>
  <c r="J29" i="1"/>
  <c r="J67" i="1" l="1"/>
  <c r="J74" i="1"/>
  <c r="J80" i="1" s="1"/>
  <c r="J83" i="1" s="1"/>
  <c r="J85" i="1" s="1"/>
  <c r="J87" i="1" s="1"/>
  <c r="J33" i="1" s="1"/>
  <c r="J33" i="13" s="1"/>
  <c r="J38" i="13" s="1"/>
  <c r="J40" i="13" s="1"/>
  <c r="I20" i="16" s="1"/>
  <c r="M20" i="16" s="1"/>
  <c r="J38" i="1" l="1"/>
  <c r="J40" i="1" s="1"/>
  <c r="J21" i="16"/>
  <c r="N21" i="16" s="1"/>
  <c r="I21" i="16"/>
  <c r="M21" i="16" s="1"/>
  <c r="W78" i="13" l="1"/>
  <c r="I37" i="10" l="1"/>
  <c r="AC79" i="13" l="1"/>
  <c r="AC78" i="13"/>
  <c r="AC77" i="13"/>
  <c r="AC76" i="13"/>
  <c r="AC75" i="13"/>
  <c r="AC64" i="13"/>
  <c r="AC63" i="13"/>
  <c r="AC62" i="13"/>
  <c r="AC61" i="13"/>
  <c r="AC60" i="13"/>
  <c r="AC59" i="13"/>
  <c r="AC58" i="13"/>
  <c r="AC57" i="13"/>
  <c r="AC53" i="13"/>
  <c r="AC52" i="13"/>
  <c r="AC51" i="13"/>
  <c r="AC50" i="13"/>
  <c r="AC49" i="13"/>
  <c r="AC48" i="13"/>
  <c r="AC47" i="13"/>
  <c r="AC46" i="13"/>
  <c r="AC45" i="13"/>
  <c r="AC44" i="13"/>
  <c r="AC43" i="13"/>
  <c r="AC37" i="13"/>
  <c r="AC36" i="13"/>
  <c r="AC35" i="13"/>
  <c r="AC34" i="13"/>
  <c r="AC32" i="13"/>
  <c r="AC31" i="13"/>
  <c r="AC30" i="13"/>
  <c r="AC28" i="13"/>
  <c r="AC27" i="13"/>
  <c r="AC26" i="13"/>
  <c r="AC25" i="13"/>
  <c r="AC24" i="13"/>
  <c r="AC23" i="13"/>
  <c r="AC22" i="13"/>
  <c r="AC21" i="13"/>
  <c r="AC20" i="13"/>
  <c r="AC19" i="13"/>
  <c r="AC15" i="13"/>
  <c r="AC14" i="13"/>
  <c r="AC13" i="13"/>
  <c r="AC12" i="13"/>
  <c r="AC9" i="13"/>
  <c r="AC8" i="13"/>
  <c r="AC65" i="17"/>
  <c r="AC54" i="17"/>
  <c r="AC29" i="17"/>
  <c r="AC16" i="17"/>
  <c r="AC9" i="17"/>
  <c r="AC8" i="17"/>
  <c r="AC67" i="17" l="1"/>
  <c r="AC16" i="13"/>
  <c r="AC65" i="13"/>
  <c r="AC74" i="17"/>
  <c r="AC80" i="17" s="1"/>
  <c r="AC83" i="17" s="1"/>
  <c r="AC85" i="17" s="1"/>
  <c r="AC87" i="17" s="1"/>
  <c r="AC33" i="17" s="1"/>
  <c r="AC38" i="17" s="1"/>
  <c r="AC40" i="17" s="1"/>
  <c r="AC29" i="13"/>
  <c r="AC54" i="13"/>
  <c r="AC67" i="13" l="1"/>
  <c r="AC74" i="13"/>
  <c r="AC80" i="13" s="1"/>
  <c r="AC83" i="13" s="1"/>
  <c r="AC85" i="13" s="1"/>
  <c r="AC87" i="13" s="1"/>
  <c r="AC65" i="1"/>
  <c r="AC54" i="1"/>
  <c r="AC29" i="1"/>
  <c r="AC16" i="1"/>
  <c r="B82" i="17"/>
  <c r="B76" i="17"/>
  <c r="B75" i="17"/>
  <c r="B64" i="17"/>
  <c r="B62" i="17"/>
  <c r="B61" i="17"/>
  <c r="B60" i="17"/>
  <c r="B58" i="17"/>
  <c r="B53" i="17"/>
  <c r="B52" i="17"/>
  <c r="B51" i="17"/>
  <c r="B50" i="17"/>
  <c r="B49" i="17"/>
  <c r="B48" i="17"/>
  <c r="B47" i="17"/>
  <c r="B46" i="17"/>
  <c r="B45" i="17"/>
  <c r="B39" i="17"/>
  <c r="B36" i="17"/>
  <c r="B34" i="17"/>
  <c r="B27" i="17"/>
  <c r="B20" i="17"/>
  <c r="B13" i="17"/>
  <c r="B12" i="17"/>
  <c r="B39" i="1"/>
  <c r="AC74" i="1" l="1"/>
  <c r="AC80" i="1" s="1"/>
  <c r="AC83" i="1" s="1"/>
  <c r="AC85" i="1" s="1"/>
  <c r="AC87" i="1" s="1"/>
  <c r="AC33" i="1" s="1"/>
  <c r="AC33" i="13" s="1"/>
  <c r="AC38" i="13" s="1"/>
  <c r="AC40" i="13" s="1"/>
  <c r="AC67" i="1"/>
  <c r="AC38" i="1" l="1"/>
  <c r="AC40" i="1" s="1"/>
  <c r="BV65" i="17"/>
  <c r="BV54" i="17"/>
  <c r="BV29" i="17"/>
  <c r="BV16" i="17"/>
  <c r="BV9" i="17"/>
  <c r="BV8" i="17"/>
  <c r="BV65" i="1"/>
  <c r="BV54" i="1"/>
  <c r="BV29" i="1"/>
  <c r="BV16" i="1"/>
  <c r="BV67" i="17" l="1"/>
  <c r="BV74" i="17"/>
  <c r="BV80" i="17" s="1"/>
  <c r="BV83" i="17" s="1"/>
  <c r="BV85" i="17" s="1"/>
  <c r="BV87" i="17" s="1"/>
  <c r="BV33" i="17" s="1"/>
  <c r="BV38" i="17" s="1"/>
  <c r="BV40" i="17" s="1"/>
  <c r="BV74" i="1"/>
  <c r="BV80" i="1" s="1"/>
  <c r="BV83" i="1" s="1"/>
  <c r="BV85" i="1" s="1"/>
  <c r="BV87" i="1" s="1"/>
  <c r="BV33" i="1" s="1"/>
  <c r="BV67" i="1"/>
  <c r="BV33" i="13" l="1"/>
  <c r="BV38" i="13" s="1"/>
  <c r="BV40" i="13" s="1"/>
  <c r="I74" i="16" s="1"/>
  <c r="M74" i="16" s="1"/>
  <c r="BV38" i="1"/>
  <c r="BV40" i="1" s="1"/>
  <c r="J74" i="16"/>
  <c r="N74" i="16" s="1"/>
  <c r="BW29" i="1" l="1"/>
  <c r="BW16" i="1" l="1"/>
  <c r="BW54" i="1" l="1"/>
  <c r="BW65" i="1"/>
  <c r="AQ79" i="13"/>
  <c r="AM79" i="13"/>
  <c r="AQ78" i="13"/>
  <c r="AQ77" i="13"/>
  <c r="AM77" i="13"/>
  <c r="AQ76" i="13"/>
  <c r="AM76" i="13"/>
  <c r="AQ75" i="13"/>
  <c r="AM75" i="13"/>
  <c r="AQ64" i="13"/>
  <c r="AM64" i="13"/>
  <c r="AQ63" i="13"/>
  <c r="AM63" i="13"/>
  <c r="AQ62" i="13"/>
  <c r="AM62" i="13"/>
  <c r="AQ61" i="13"/>
  <c r="AM61" i="13"/>
  <c r="AQ60" i="13"/>
  <c r="AM60" i="13"/>
  <c r="AQ59" i="13"/>
  <c r="AQ58" i="13"/>
  <c r="AM58" i="13"/>
  <c r="AM57" i="13"/>
  <c r="AQ53" i="13"/>
  <c r="AM53" i="13"/>
  <c r="AQ52" i="13"/>
  <c r="AM52" i="13"/>
  <c r="AQ51" i="13"/>
  <c r="AM51" i="13"/>
  <c r="AQ50" i="13"/>
  <c r="AM50" i="13"/>
  <c r="AQ49" i="13"/>
  <c r="AM49" i="13"/>
  <c r="AQ48" i="13"/>
  <c r="AM48" i="13"/>
  <c r="AQ47" i="13"/>
  <c r="AM47" i="13"/>
  <c r="AQ46" i="13"/>
  <c r="AM46" i="13"/>
  <c r="AQ45" i="13"/>
  <c r="AM45" i="13"/>
  <c r="AQ44" i="13"/>
  <c r="AM44" i="13"/>
  <c r="AQ43" i="13"/>
  <c r="AM43" i="13"/>
  <c r="AQ37" i="13"/>
  <c r="AM37" i="13"/>
  <c r="AQ36" i="13"/>
  <c r="AM36" i="13"/>
  <c r="AQ35" i="13"/>
  <c r="AQ34" i="13"/>
  <c r="AM34" i="13"/>
  <c r="AQ32" i="13"/>
  <c r="AM32" i="13"/>
  <c r="AQ31" i="13"/>
  <c r="AM31" i="13"/>
  <c r="AQ30" i="13"/>
  <c r="AQ28" i="13"/>
  <c r="AM28" i="13"/>
  <c r="AQ27" i="13"/>
  <c r="AM27" i="13"/>
  <c r="AQ26" i="13"/>
  <c r="AM26" i="13"/>
  <c r="AQ25" i="13"/>
  <c r="AM25" i="13"/>
  <c r="AQ24" i="13"/>
  <c r="AM24" i="13"/>
  <c r="AQ23" i="13"/>
  <c r="AM23" i="13"/>
  <c r="AQ22" i="13"/>
  <c r="AM22" i="13"/>
  <c r="AQ21" i="13"/>
  <c r="AM21" i="13"/>
  <c r="AQ20" i="13"/>
  <c r="AM20" i="13"/>
  <c r="AQ19" i="13"/>
  <c r="AM19" i="13"/>
  <c r="AQ15" i="13"/>
  <c r="AM15" i="13"/>
  <c r="AQ14" i="13"/>
  <c r="AM14" i="13"/>
  <c r="AQ13" i="13"/>
  <c r="AM13" i="13"/>
  <c r="AQ12" i="13"/>
  <c r="AM12" i="13"/>
  <c r="AQ9" i="13"/>
  <c r="AM9" i="13"/>
  <c r="AQ8" i="13"/>
  <c r="AM8" i="13"/>
  <c r="AQ9" i="17"/>
  <c r="AQ8" i="17"/>
  <c r="AM65" i="17"/>
  <c r="AM54" i="17"/>
  <c r="AM29" i="17"/>
  <c r="AM16" i="17"/>
  <c r="AM9" i="17"/>
  <c r="AM8" i="17"/>
  <c r="AQ65" i="17"/>
  <c r="AQ54" i="17"/>
  <c r="AQ29" i="17"/>
  <c r="AQ16" i="17"/>
  <c r="AQ57" i="13"/>
  <c r="AM78" i="13"/>
  <c r="AM59" i="13"/>
  <c r="AM35" i="13"/>
  <c r="AM30" i="13"/>
  <c r="AM67" i="17" l="1"/>
  <c r="AQ16" i="13"/>
  <c r="AQ29" i="13"/>
  <c r="AQ54" i="13"/>
  <c r="AM16" i="13"/>
  <c r="AM29" i="13"/>
  <c r="AM54" i="13"/>
  <c r="AQ67" i="17"/>
  <c r="AM74" i="17"/>
  <c r="AM80" i="17" s="1"/>
  <c r="AM83" i="17" s="1"/>
  <c r="AM85" i="17" s="1"/>
  <c r="AM87" i="17" s="1"/>
  <c r="AM33" i="17" s="1"/>
  <c r="AM38" i="17" s="1"/>
  <c r="AM40" i="17" s="1"/>
  <c r="AQ65" i="13"/>
  <c r="BW74" i="1"/>
  <c r="BW80" i="1" s="1"/>
  <c r="BW83" i="1" s="1"/>
  <c r="BW85" i="1" s="1"/>
  <c r="BW87" i="1" s="1"/>
  <c r="BW33" i="1" s="1"/>
  <c r="BW67" i="1"/>
  <c r="AM65" i="13"/>
  <c r="AQ74" i="17"/>
  <c r="AQ80" i="17" s="1"/>
  <c r="AQ83" i="17" s="1"/>
  <c r="AQ85" i="17" s="1"/>
  <c r="AQ87" i="17" s="1"/>
  <c r="AQ33" i="17" s="1"/>
  <c r="AQ38" i="17" s="1"/>
  <c r="AQ40" i="17" s="1"/>
  <c r="AM65" i="1"/>
  <c r="AM54" i="1"/>
  <c r="AM29" i="1"/>
  <c r="AM16" i="1"/>
  <c r="AQ65" i="1"/>
  <c r="AQ54" i="1"/>
  <c r="AQ29" i="1"/>
  <c r="AQ16" i="1"/>
  <c r="AQ74" i="13" l="1"/>
  <c r="AQ80" i="13" s="1"/>
  <c r="AQ83" i="13" s="1"/>
  <c r="AQ85" i="13" s="1"/>
  <c r="AQ87" i="13" s="1"/>
  <c r="AM67" i="13"/>
  <c r="AM74" i="13"/>
  <c r="AM80" i="13" s="1"/>
  <c r="AM83" i="13" s="1"/>
  <c r="AM85" i="13" s="1"/>
  <c r="AM87" i="13" s="1"/>
  <c r="AQ67" i="13"/>
  <c r="J48" i="16" s="1"/>
  <c r="N48" i="16" s="1"/>
  <c r="AQ74" i="1"/>
  <c r="AQ80" i="1" s="1"/>
  <c r="AQ83" i="1" s="1"/>
  <c r="AQ85" i="1" s="1"/>
  <c r="AQ87" i="1" s="1"/>
  <c r="AQ33" i="1" s="1"/>
  <c r="AQ33" i="13" s="1"/>
  <c r="AQ38" i="13" s="1"/>
  <c r="AQ40" i="13" s="1"/>
  <c r="I48" i="16" s="1"/>
  <c r="M48" i="16" s="1"/>
  <c r="AM74" i="1"/>
  <c r="AM80" i="1" s="1"/>
  <c r="AM83" i="1" s="1"/>
  <c r="AM85" i="1" s="1"/>
  <c r="AM87" i="1" s="1"/>
  <c r="AM33" i="1" s="1"/>
  <c r="AM33" i="13" s="1"/>
  <c r="AM38" i="13" s="1"/>
  <c r="AM40" i="13" s="1"/>
  <c r="BW38" i="1"/>
  <c r="BW40" i="1" s="1"/>
  <c r="AQ67" i="1"/>
  <c r="AM67" i="1"/>
  <c r="AM38" i="1" l="1"/>
  <c r="AM40" i="1" s="1"/>
  <c r="AQ38" i="1"/>
  <c r="AQ40" i="1" s="1"/>
  <c r="BU8" i="17" l="1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L8" i="17"/>
  <c r="AK8" i="17"/>
  <c r="AJ8" i="17"/>
  <c r="AI8" i="17"/>
  <c r="AH8" i="17"/>
  <c r="AG8" i="17"/>
  <c r="AF8" i="17"/>
  <c r="AE8" i="17"/>
  <c r="AD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I8" i="17"/>
  <c r="H8" i="17"/>
  <c r="G8" i="17"/>
  <c r="F8" i="17"/>
  <c r="E8" i="17"/>
  <c r="D8" i="17"/>
  <c r="C8" i="17"/>
  <c r="J63" i="15" l="1"/>
  <c r="I63" i="15"/>
  <c r="H63" i="15"/>
  <c r="G63" i="15"/>
  <c r="F63" i="15"/>
  <c r="E63" i="15"/>
  <c r="E33" i="15"/>
  <c r="H72" i="11"/>
  <c r="F72" i="11"/>
  <c r="H71" i="11"/>
  <c r="F71" i="11"/>
  <c r="F70" i="11"/>
  <c r="H69" i="11"/>
  <c r="F69" i="11"/>
  <c r="H68" i="11"/>
  <c r="F68" i="11"/>
  <c r="H57" i="11"/>
  <c r="F57" i="11"/>
  <c r="H56" i="11"/>
  <c r="F56" i="11"/>
  <c r="H55" i="11"/>
  <c r="F55" i="11"/>
  <c r="H54" i="11"/>
  <c r="F54" i="11"/>
  <c r="H53" i="11"/>
  <c r="F53" i="11"/>
  <c r="H52" i="11"/>
  <c r="F52" i="11"/>
  <c r="H51" i="11"/>
  <c r="F51" i="11"/>
  <c r="H47" i="11"/>
  <c r="F47" i="11"/>
  <c r="H46" i="11"/>
  <c r="F46" i="11"/>
  <c r="H45" i="11"/>
  <c r="F45" i="11"/>
  <c r="H44" i="11"/>
  <c r="F44" i="11"/>
  <c r="H43" i="11"/>
  <c r="F43" i="11"/>
  <c r="H42" i="11"/>
  <c r="F42" i="11"/>
  <c r="H41" i="11"/>
  <c r="F41" i="11"/>
  <c r="H40" i="11"/>
  <c r="F40" i="11"/>
  <c r="H39" i="11"/>
  <c r="F39" i="11"/>
  <c r="H38" i="11"/>
  <c r="F38" i="11"/>
  <c r="H37" i="11"/>
  <c r="F37" i="11"/>
  <c r="H31" i="11"/>
  <c r="F31" i="11"/>
  <c r="H30" i="11"/>
  <c r="F30" i="11"/>
  <c r="H29" i="11"/>
  <c r="F29" i="11"/>
  <c r="F26" i="11"/>
  <c r="H25" i="11"/>
  <c r="F25" i="11"/>
  <c r="H24" i="11"/>
  <c r="F24" i="11"/>
  <c r="H22" i="11"/>
  <c r="F22" i="11"/>
  <c r="H21" i="11"/>
  <c r="F21" i="11"/>
  <c r="H20" i="11"/>
  <c r="F20" i="11"/>
  <c r="H19" i="11"/>
  <c r="F19" i="11"/>
  <c r="H18" i="11"/>
  <c r="F18" i="11"/>
  <c r="H17" i="11"/>
  <c r="F17" i="11"/>
  <c r="H16" i="11"/>
  <c r="F16" i="11"/>
  <c r="H15" i="11"/>
  <c r="F15" i="11"/>
  <c r="H14" i="11"/>
  <c r="F14" i="11"/>
  <c r="H13" i="11"/>
  <c r="F13" i="11"/>
  <c r="H9" i="11"/>
  <c r="H8" i="11"/>
  <c r="F8" i="11"/>
  <c r="H7" i="11"/>
  <c r="F7" i="11"/>
  <c r="H6" i="11"/>
  <c r="F6" i="11"/>
  <c r="H72" i="10"/>
  <c r="H71" i="10"/>
  <c r="F70" i="10"/>
  <c r="F69" i="10"/>
  <c r="H68" i="10"/>
  <c r="F68" i="10"/>
  <c r="H57" i="10"/>
  <c r="F57" i="10"/>
  <c r="H56" i="10"/>
  <c r="F56" i="10"/>
  <c r="H55" i="10"/>
  <c r="F55" i="10"/>
  <c r="H54" i="10"/>
  <c r="H52" i="10"/>
  <c r="F52" i="10"/>
  <c r="H51" i="10"/>
  <c r="H47" i="10"/>
  <c r="F47" i="10"/>
  <c r="H46" i="10"/>
  <c r="F46" i="10"/>
  <c r="H45" i="10"/>
  <c r="F45" i="10"/>
  <c r="H44" i="10"/>
  <c r="F44" i="10"/>
  <c r="H43" i="10"/>
  <c r="F43" i="10"/>
  <c r="H42" i="10"/>
  <c r="F42" i="10"/>
  <c r="H41" i="10"/>
  <c r="F41" i="10"/>
  <c r="H40" i="10"/>
  <c r="F40" i="10"/>
  <c r="H39" i="10"/>
  <c r="F39" i="10"/>
  <c r="H38" i="10"/>
  <c r="F38" i="10"/>
  <c r="H37" i="10"/>
  <c r="H31" i="10"/>
  <c r="F31" i="10"/>
  <c r="H30" i="10"/>
  <c r="F30" i="10"/>
  <c r="H26" i="10"/>
  <c r="H25" i="10"/>
  <c r="F25" i="10"/>
  <c r="H24" i="10"/>
  <c r="H22" i="10"/>
  <c r="F22" i="10"/>
  <c r="H21" i="10"/>
  <c r="F21" i="10"/>
  <c r="H20" i="10"/>
  <c r="F20" i="10"/>
  <c r="H19" i="10"/>
  <c r="F19" i="10"/>
  <c r="H18" i="10"/>
  <c r="F18" i="10"/>
  <c r="H17" i="10"/>
  <c r="F17" i="10"/>
  <c r="H16" i="10"/>
  <c r="H15" i="10"/>
  <c r="F15" i="10"/>
  <c r="H14" i="10"/>
  <c r="F14" i="10"/>
  <c r="H13" i="10"/>
  <c r="F13" i="10"/>
  <c r="H9" i="10"/>
  <c r="F9" i="10"/>
  <c r="H8" i="10"/>
  <c r="F8" i="10"/>
  <c r="H7" i="10"/>
  <c r="F7" i="10"/>
  <c r="H6" i="10"/>
  <c r="F6" i="10"/>
  <c r="C14" i="11" l="1"/>
  <c r="C18" i="11"/>
  <c r="C20" i="11"/>
  <c r="C25" i="11"/>
  <c r="C18" i="10"/>
  <c r="C20" i="10"/>
  <c r="C52" i="10"/>
  <c r="C19" i="11"/>
  <c r="C21" i="11"/>
  <c r="C31" i="10"/>
  <c r="C30" i="10"/>
  <c r="C19" i="10"/>
  <c r="C21" i="10"/>
  <c r="C6" i="11"/>
  <c r="C7" i="11"/>
  <c r="C30" i="11"/>
  <c r="C31" i="11"/>
  <c r="C38" i="11"/>
  <c r="C39" i="11"/>
  <c r="C40" i="11"/>
  <c r="C41" i="11"/>
  <c r="C42" i="11"/>
  <c r="C43" i="11"/>
  <c r="C44" i="11"/>
  <c r="C45" i="11"/>
  <c r="C46" i="11"/>
  <c r="C47" i="11"/>
  <c r="C52" i="11"/>
  <c r="C54" i="11"/>
  <c r="C55" i="11"/>
  <c r="C56" i="11"/>
  <c r="C57" i="11"/>
  <c r="C69" i="11"/>
  <c r="C6" i="10"/>
  <c r="C7" i="10"/>
  <c r="C8" i="10"/>
  <c r="C9" i="10"/>
  <c r="C13" i="10"/>
  <c r="C14" i="10"/>
  <c r="C15" i="10"/>
  <c r="C25" i="10"/>
  <c r="C38" i="10"/>
  <c r="C39" i="10"/>
  <c r="C40" i="10"/>
  <c r="C41" i="10"/>
  <c r="C42" i="10"/>
  <c r="C43" i="10"/>
  <c r="C44" i="10"/>
  <c r="C45" i="10"/>
  <c r="C46" i="10"/>
  <c r="C47" i="10"/>
  <c r="C55" i="10"/>
  <c r="C56" i="10"/>
  <c r="C57" i="10"/>
  <c r="B31" i="17" l="1"/>
  <c r="B44" i="17"/>
  <c r="H69" i="10" l="1"/>
  <c r="C69" i="10" s="1"/>
  <c r="H29" i="10"/>
  <c r="C26" i="11" l="1"/>
  <c r="B32" i="17"/>
  <c r="F72" i="10" l="1"/>
  <c r="F71" i="10"/>
  <c r="C71" i="10" s="1"/>
  <c r="F24" i="10" l="1"/>
  <c r="C24" i="10" s="1"/>
  <c r="F37" i="10"/>
  <c r="C37" i="10" s="1"/>
  <c r="F53" i="10"/>
  <c r="F29" i="10"/>
  <c r="C29" i="10" s="1"/>
  <c r="F51" i="10"/>
  <c r="C51" i="10" s="1"/>
  <c r="F54" i="10"/>
  <c r="C54" i="10" s="1"/>
  <c r="F16" i="10"/>
  <c r="F26" i="10" l="1"/>
  <c r="C26" i="10" s="1"/>
  <c r="F9" i="11"/>
  <c r="BU9" i="17" l="1"/>
  <c r="BT9" i="17"/>
  <c r="BS9" i="17"/>
  <c r="BR9" i="17"/>
  <c r="BQ9" i="17"/>
  <c r="BP9" i="17"/>
  <c r="BO9" i="17"/>
  <c r="BN9" i="17"/>
  <c r="BM9" i="17"/>
  <c r="BL9" i="17"/>
  <c r="BK9" i="17"/>
  <c r="BJ9" i="17"/>
  <c r="BI9" i="17"/>
  <c r="BH9" i="17"/>
  <c r="BG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L9" i="17"/>
  <c r="AK9" i="17"/>
  <c r="AJ9" i="17"/>
  <c r="AI9" i="17"/>
  <c r="AH9" i="17"/>
  <c r="AG9" i="17"/>
  <c r="AF9" i="17"/>
  <c r="AE9" i="17"/>
  <c r="AD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I9" i="17"/>
  <c r="H9" i="17"/>
  <c r="G9" i="17"/>
  <c r="F9" i="17"/>
  <c r="E9" i="17"/>
  <c r="D9" i="17"/>
  <c r="C9" i="17"/>
  <c r="B26" i="17" l="1"/>
  <c r="B24" i="17"/>
  <c r="B25" i="17"/>
  <c r="B37" i="17" l="1"/>
  <c r="B63" i="17"/>
  <c r="BE79" i="13"/>
  <c r="BD79" i="13"/>
  <c r="BC79" i="13"/>
  <c r="BB79" i="13"/>
  <c r="BA79" i="13"/>
  <c r="AZ79" i="13"/>
  <c r="AY79" i="13"/>
  <c r="AX79" i="13"/>
  <c r="AW79" i="13"/>
  <c r="AV79" i="13"/>
  <c r="AU79" i="13"/>
  <c r="AT79" i="13"/>
  <c r="AS79" i="13"/>
  <c r="AL79" i="13"/>
  <c r="AK79" i="13"/>
  <c r="AJ79" i="13"/>
  <c r="AI79" i="13"/>
  <c r="AH79" i="13"/>
  <c r="AG79" i="13"/>
  <c r="AF79" i="13"/>
  <c r="AD79" i="13"/>
  <c r="X79" i="13"/>
  <c r="W79" i="13"/>
  <c r="V79" i="13"/>
  <c r="U79" i="13"/>
  <c r="T79" i="13"/>
  <c r="S79" i="13"/>
  <c r="Q79" i="13"/>
  <c r="P79" i="13"/>
  <c r="O79" i="13"/>
  <c r="N79" i="13"/>
  <c r="M79" i="13"/>
  <c r="L79" i="13"/>
  <c r="I79" i="13"/>
  <c r="H79" i="13"/>
  <c r="G79" i="13"/>
  <c r="F79" i="13"/>
  <c r="E79" i="13"/>
  <c r="D79" i="13"/>
  <c r="C79" i="13"/>
  <c r="BE78" i="13"/>
  <c r="BD78" i="13"/>
  <c r="BC78" i="13"/>
  <c r="BB78" i="13"/>
  <c r="BA78" i="13"/>
  <c r="AZ78" i="13"/>
  <c r="AY78" i="13"/>
  <c r="AX78" i="13"/>
  <c r="AW78" i="13"/>
  <c r="AV78" i="13"/>
  <c r="AU78" i="13"/>
  <c r="AT78" i="13"/>
  <c r="AS78" i="13"/>
  <c r="AL78" i="13"/>
  <c r="AK78" i="13"/>
  <c r="AJ78" i="13"/>
  <c r="AI78" i="13"/>
  <c r="AH78" i="13"/>
  <c r="AG78" i="13"/>
  <c r="AF78" i="13"/>
  <c r="AD78" i="13"/>
  <c r="X78" i="13"/>
  <c r="V78" i="13"/>
  <c r="U78" i="13"/>
  <c r="T78" i="13"/>
  <c r="S78" i="13"/>
  <c r="R78" i="13"/>
  <c r="Q78" i="13"/>
  <c r="P78" i="13"/>
  <c r="O78" i="13"/>
  <c r="N78" i="13"/>
  <c r="M78" i="13"/>
  <c r="L78" i="13"/>
  <c r="I78" i="13"/>
  <c r="H78" i="13"/>
  <c r="G78" i="13"/>
  <c r="F78" i="13"/>
  <c r="E78" i="13"/>
  <c r="C78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AL77" i="13"/>
  <c r="AK77" i="13"/>
  <c r="AJ77" i="13"/>
  <c r="AI77" i="13"/>
  <c r="AH77" i="13"/>
  <c r="AG77" i="13"/>
  <c r="AF77" i="13"/>
  <c r="AD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I77" i="13"/>
  <c r="H77" i="13"/>
  <c r="G77" i="13"/>
  <c r="F77" i="13"/>
  <c r="E77" i="13"/>
  <c r="D77" i="13"/>
  <c r="C77" i="13"/>
  <c r="BE76" i="13"/>
  <c r="BD76" i="13"/>
  <c r="BC76" i="13"/>
  <c r="BB76" i="13"/>
  <c r="BA76" i="13"/>
  <c r="AZ76" i="13"/>
  <c r="AY76" i="13"/>
  <c r="AX76" i="13"/>
  <c r="AW76" i="13"/>
  <c r="AV76" i="13"/>
  <c r="AU76" i="13"/>
  <c r="AT76" i="13"/>
  <c r="AS76" i="13"/>
  <c r="AL76" i="13"/>
  <c r="AK76" i="13"/>
  <c r="AJ76" i="13"/>
  <c r="AI76" i="13"/>
  <c r="AH76" i="13"/>
  <c r="AG76" i="13"/>
  <c r="AF76" i="13"/>
  <c r="AD76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I76" i="13"/>
  <c r="H76" i="13"/>
  <c r="G76" i="13"/>
  <c r="F76" i="13"/>
  <c r="E76" i="13"/>
  <c r="D76" i="13"/>
  <c r="C76" i="13"/>
  <c r="BE75" i="13"/>
  <c r="BD75" i="13"/>
  <c r="BC75" i="13"/>
  <c r="BB75" i="13"/>
  <c r="BA75" i="13"/>
  <c r="AZ75" i="13"/>
  <c r="AY75" i="13"/>
  <c r="AX75" i="13"/>
  <c r="AW75" i="13"/>
  <c r="AV75" i="13"/>
  <c r="AU75" i="13"/>
  <c r="AT75" i="13"/>
  <c r="AS75" i="13"/>
  <c r="AL75" i="13"/>
  <c r="AK75" i="13"/>
  <c r="AJ75" i="13"/>
  <c r="AI75" i="13"/>
  <c r="AH75" i="13"/>
  <c r="AG75" i="13"/>
  <c r="AF75" i="13"/>
  <c r="AD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I75" i="13"/>
  <c r="H75" i="13"/>
  <c r="G75" i="13"/>
  <c r="F75" i="13"/>
  <c r="E75" i="13"/>
  <c r="D75" i="13"/>
  <c r="C75" i="13"/>
  <c r="BE64" i="13"/>
  <c r="BD64" i="13"/>
  <c r="BC64" i="13"/>
  <c r="BB64" i="13"/>
  <c r="BA64" i="13"/>
  <c r="AZ64" i="13"/>
  <c r="AY64" i="13"/>
  <c r="AX64" i="13"/>
  <c r="AW64" i="13"/>
  <c r="AV64" i="13"/>
  <c r="AU64" i="13"/>
  <c r="AT64" i="13"/>
  <c r="AS64" i="13"/>
  <c r="AL64" i="13"/>
  <c r="AK64" i="13"/>
  <c r="AJ64" i="13"/>
  <c r="AI64" i="13"/>
  <c r="AH64" i="13"/>
  <c r="AG64" i="13"/>
  <c r="AF64" i="13"/>
  <c r="AD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I64" i="13"/>
  <c r="H64" i="13"/>
  <c r="G64" i="13"/>
  <c r="F64" i="13"/>
  <c r="E64" i="13"/>
  <c r="D64" i="13"/>
  <c r="C64" i="13"/>
  <c r="BE63" i="13"/>
  <c r="BD63" i="13"/>
  <c r="BC63" i="13"/>
  <c r="BB63" i="13"/>
  <c r="BA63" i="13"/>
  <c r="AZ63" i="13"/>
  <c r="AY63" i="13"/>
  <c r="AX63" i="13"/>
  <c r="AW63" i="13"/>
  <c r="AV63" i="13"/>
  <c r="AU63" i="13"/>
  <c r="AT63" i="13"/>
  <c r="AS63" i="13"/>
  <c r="AL63" i="13"/>
  <c r="AK63" i="13"/>
  <c r="AJ63" i="13"/>
  <c r="AI63" i="13"/>
  <c r="AH63" i="13"/>
  <c r="AG63" i="13"/>
  <c r="AF63" i="13"/>
  <c r="AD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I63" i="13"/>
  <c r="H63" i="13"/>
  <c r="G63" i="13"/>
  <c r="F63" i="13"/>
  <c r="E63" i="13"/>
  <c r="D63" i="13"/>
  <c r="C63" i="13"/>
  <c r="BE62" i="13"/>
  <c r="BD62" i="13"/>
  <c r="BC62" i="13"/>
  <c r="BB62" i="13"/>
  <c r="BA62" i="13"/>
  <c r="AZ62" i="13"/>
  <c r="AY62" i="13"/>
  <c r="AX62" i="13"/>
  <c r="AW62" i="13"/>
  <c r="AV62" i="13"/>
  <c r="AU62" i="13"/>
  <c r="AT62" i="13"/>
  <c r="AS62" i="13"/>
  <c r="AL62" i="13"/>
  <c r="AK62" i="13"/>
  <c r="AJ62" i="13"/>
  <c r="AI62" i="13"/>
  <c r="AH62" i="13"/>
  <c r="AG62" i="13"/>
  <c r="AF62" i="13"/>
  <c r="AD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I62" i="13"/>
  <c r="H62" i="13"/>
  <c r="G62" i="13"/>
  <c r="F62" i="13"/>
  <c r="E62" i="13"/>
  <c r="D62" i="13"/>
  <c r="C62" i="13"/>
  <c r="BE61" i="13"/>
  <c r="BD61" i="13"/>
  <c r="BC61" i="13"/>
  <c r="BB61" i="13"/>
  <c r="BA61" i="13"/>
  <c r="AZ61" i="13"/>
  <c r="AY61" i="13"/>
  <c r="AX61" i="13"/>
  <c r="AW61" i="13"/>
  <c r="AV61" i="13"/>
  <c r="AU61" i="13"/>
  <c r="AT61" i="13"/>
  <c r="AS61" i="13"/>
  <c r="AL61" i="13"/>
  <c r="AK61" i="13"/>
  <c r="AJ61" i="13"/>
  <c r="AI61" i="13"/>
  <c r="AH61" i="13"/>
  <c r="AG61" i="13"/>
  <c r="AF61" i="13"/>
  <c r="AD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I61" i="13"/>
  <c r="H61" i="13"/>
  <c r="G61" i="13"/>
  <c r="F61" i="13"/>
  <c r="E61" i="13"/>
  <c r="D61" i="13"/>
  <c r="C61" i="13"/>
  <c r="BE60" i="13"/>
  <c r="BD60" i="13"/>
  <c r="BC60" i="13"/>
  <c r="BB60" i="13"/>
  <c r="BA60" i="13"/>
  <c r="AZ60" i="13"/>
  <c r="AY60" i="13"/>
  <c r="AX60" i="13"/>
  <c r="AW60" i="13"/>
  <c r="AV60" i="13"/>
  <c r="AU60" i="13"/>
  <c r="AT60" i="13"/>
  <c r="AS60" i="13"/>
  <c r="AL60" i="13"/>
  <c r="AK60" i="13"/>
  <c r="AJ60" i="13"/>
  <c r="AI60" i="13"/>
  <c r="AH60" i="13"/>
  <c r="AG60" i="13"/>
  <c r="AF60" i="13"/>
  <c r="AD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I60" i="13"/>
  <c r="H60" i="13"/>
  <c r="G60" i="13"/>
  <c r="F60" i="13"/>
  <c r="E60" i="13"/>
  <c r="D60" i="13"/>
  <c r="C60" i="13"/>
  <c r="BE59" i="13"/>
  <c r="BD59" i="13"/>
  <c r="BC59" i="13"/>
  <c r="BB59" i="13"/>
  <c r="BA59" i="13"/>
  <c r="AZ59" i="13"/>
  <c r="AY59" i="13"/>
  <c r="AW59" i="13"/>
  <c r="AV59" i="13"/>
  <c r="AU59" i="13"/>
  <c r="AT59" i="13"/>
  <c r="AS59" i="13"/>
  <c r="AL59" i="13"/>
  <c r="AK59" i="13"/>
  <c r="AJ59" i="13"/>
  <c r="AI59" i="13"/>
  <c r="AH59" i="13"/>
  <c r="AG59" i="13"/>
  <c r="AF59" i="13"/>
  <c r="AD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I59" i="13"/>
  <c r="H59" i="13"/>
  <c r="G59" i="13"/>
  <c r="F59" i="13"/>
  <c r="E59" i="13"/>
  <c r="D59" i="13"/>
  <c r="C59" i="13"/>
  <c r="BE58" i="13"/>
  <c r="BD58" i="13"/>
  <c r="BC58" i="13"/>
  <c r="BB58" i="13"/>
  <c r="BA58" i="13"/>
  <c r="AZ58" i="13"/>
  <c r="AY58" i="13"/>
  <c r="AX58" i="13"/>
  <c r="AW58" i="13"/>
  <c r="AV58" i="13"/>
  <c r="AU58" i="13"/>
  <c r="AT58" i="13"/>
  <c r="AS58" i="13"/>
  <c r="AL58" i="13"/>
  <c r="AK58" i="13"/>
  <c r="AJ58" i="13"/>
  <c r="AI58" i="13"/>
  <c r="AH58" i="13"/>
  <c r="AG58" i="13"/>
  <c r="AF58" i="13"/>
  <c r="AD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I58" i="13"/>
  <c r="H58" i="13"/>
  <c r="G58" i="13"/>
  <c r="F58" i="13"/>
  <c r="E58" i="13"/>
  <c r="D58" i="13"/>
  <c r="C58" i="13"/>
  <c r="BD57" i="13"/>
  <c r="BC57" i="13"/>
  <c r="BB57" i="13"/>
  <c r="BA57" i="13"/>
  <c r="AZ57" i="13"/>
  <c r="AY57" i="13"/>
  <c r="AX57" i="13"/>
  <c r="AW57" i="13"/>
  <c r="AV57" i="13"/>
  <c r="AU57" i="13"/>
  <c r="AT57" i="13"/>
  <c r="AS57" i="13"/>
  <c r="AL57" i="13"/>
  <c r="AK57" i="13"/>
  <c r="AJ57" i="13"/>
  <c r="AI57" i="13"/>
  <c r="AH57" i="13"/>
  <c r="AG57" i="13"/>
  <c r="AF57" i="13"/>
  <c r="AD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I57" i="13"/>
  <c r="H57" i="13"/>
  <c r="G57" i="13"/>
  <c r="F57" i="13"/>
  <c r="E57" i="13"/>
  <c r="D57" i="13"/>
  <c r="C57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L53" i="13"/>
  <c r="AK53" i="13"/>
  <c r="AJ53" i="13"/>
  <c r="AI53" i="13"/>
  <c r="AH53" i="13"/>
  <c r="AG53" i="13"/>
  <c r="AF53" i="13"/>
  <c r="AD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I53" i="13"/>
  <c r="H53" i="13"/>
  <c r="G53" i="13"/>
  <c r="F53" i="13"/>
  <c r="E53" i="13"/>
  <c r="D53" i="13"/>
  <c r="C53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L52" i="13"/>
  <c r="AK52" i="13"/>
  <c r="AJ52" i="13"/>
  <c r="AI52" i="13"/>
  <c r="AH52" i="13"/>
  <c r="AG52" i="13"/>
  <c r="AF52" i="13"/>
  <c r="AD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I52" i="13"/>
  <c r="H52" i="13"/>
  <c r="G52" i="13"/>
  <c r="F52" i="13"/>
  <c r="E52" i="13"/>
  <c r="D52" i="13"/>
  <c r="C52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L51" i="13"/>
  <c r="AK51" i="13"/>
  <c r="AJ51" i="13"/>
  <c r="AI51" i="13"/>
  <c r="AH51" i="13"/>
  <c r="AG51" i="13"/>
  <c r="AF51" i="13"/>
  <c r="AD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I51" i="13"/>
  <c r="H51" i="13"/>
  <c r="G51" i="13"/>
  <c r="F51" i="13"/>
  <c r="E51" i="13"/>
  <c r="D51" i="13"/>
  <c r="C51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L50" i="13"/>
  <c r="AK50" i="13"/>
  <c r="AJ50" i="13"/>
  <c r="AI50" i="13"/>
  <c r="AH50" i="13"/>
  <c r="AG50" i="13"/>
  <c r="AF50" i="13"/>
  <c r="AD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I50" i="13"/>
  <c r="H50" i="13"/>
  <c r="G50" i="13"/>
  <c r="F50" i="13"/>
  <c r="E50" i="13"/>
  <c r="D50" i="13"/>
  <c r="C50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L49" i="13"/>
  <c r="AK49" i="13"/>
  <c r="AJ49" i="13"/>
  <c r="AI49" i="13"/>
  <c r="AH49" i="13"/>
  <c r="AG49" i="13"/>
  <c r="AF49" i="13"/>
  <c r="AD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I49" i="13"/>
  <c r="H49" i="13"/>
  <c r="G49" i="13"/>
  <c r="F49" i="13"/>
  <c r="E49" i="13"/>
  <c r="D49" i="13"/>
  <c r="C49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L48" i="13"/>
  <c r="AK48" i="13"/>
  <c r="AJ48" i="13"/>
  <c r="AI48" i="13"/>
  <c r="AH48" i="13"/>
  <c r="AG48" i="13"/>
  <c r="AF48" i="13"/>
  <c r="AD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I48" i="13"/>
  <c r="H48" i="13"/>
  <c r="G48" i="13"/>
  <c r="F48" i="13"/>
  <c r="E48" i="13"/>
  <c r="D48" i="13"/>
  <c r="C48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L47" i="13"/>
  <c r="AK47" i="13"/>
  <c r="AJ47" i="13"/>
  <c r="AI47" i="13"/>
  <c r="AH47" i="13"/>
  <c r="AG47" i="13"/>
  <c r="AF47" i="13"/>
  <c r="AD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I47" i="13"/>
  <c r="H47" i="13"/>
  <c r="G47" i="13"/>
  <c r="F47" i="13"/>
  <c r="E47" i="13"/>
  <c r="D47" i="13"/>
  <c r="C47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L46" i="13"/>
  <c r="AK46" i="13"/>
  <c r="AJ46" i="13"/>
  <c r="AI46" i="13"/>
  <c r="AH46" i="13"/>
  <c r="AG46" i="13"/>
  <c r="AF46" i="13"/>
  <c r="AD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I46" i="13"/>
  <c r="H46" i="13"/>
  <c r="G46" i="13"/>
  <c r="F46" i="13"/>
  <c r="E46" i="13"/>
  <c r="D46" i="13"/>
  <c r="C46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L45" i="13"/>
  <c r="AK45" i="13"/>
  <c r="AJ45" i="13"/>
  <c r="AI45" i="13"/>
  <c r="AH45" i="13"/>
  <c r="AG45" i="13"/>
  <c r="AF45" i="13"/>
  <c r="AD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I45" i="13"/>
  <c r="H45" i="13"/>
  <c r="G45" i="13"/>
  <c r="F45" i="13"/>
  <c r="E45" i="13"/>
  <c r="D45" i="13"/>
  <c r="C45" i="13"/>
  <c r="BE44" i="13"/>
  <c r="BD44" i="13"/>
  <c r="BC44" i="13"/>
  <c r="BB44" i="13"/>
  <c r="BA44" i="13"/>
  <c r="AZ44" i="13"/>
  <c r="AY44" i="13"/>
  <c r="AX44" i="13"/>
  <c r="AW44" i="13"/>
  <c r="AV44" i="13"/>
  <c r="AU44" i="13"/>
  <c r="AT44" i="13"/>
  <c r="AS44" i="13"/>
  <c r="AL44" i="13"/>
  <c r="AK44" i="13"/>
  <c r="AJ44" i="13"/>
  <c r="AI44" i="13"/>
  <c r="AH44" i="13"/>
  <c r="AG44" i="13"/>
  <c r="AF44" i="13"/>
  <c r="AD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I44" i="13"/>
  <c r="H44" i="13"/>
  <c r="G44" i="13"/>
  <c r="F44" i="13"/>
  <c r="E44" i="13"/>
  <c r="D44" i="13"/>
  <c r="C44" i="13"/>
  <c r="BD43" i="13"/>
  <c r="BC43" i="13"/>
  <c r="BB43" i="13"/>
  <c r="BA43" i="13"/>
  <c r="AZ43" i="13"/>
  <c r="AY43" i="13"/>
  <c r="AX43" i="13"/>
  <c r="AW43" i="13"/>
  <c r="AV43" i="13"/>
  <c r="AU43" i="13"/>
  <c r="AT43" i="13"/>
  <c r="AS43" i="13"/>
  <c r="AL43" i="13"/>
  <c r="AK43" i="13"/>
  <c r="AJ43" i="13"/>
  <c r="AI43" i="13"/>
  <c r="AH43" i="13"/>
  <c r="AG43" i="13"/>
  <c r="AF43" i="13"/>
  <c r="AD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I43" i="13"/>
  <c r="H43" i="13"/>
  <c r="G43" i="13"/>
  <c r="F43" i="13"/>
  <c r="E43" i="13"/>
  <c r="D43" i="13"/>
  <c r="C43" i="13"/>
  <c r="BE37" i="13"/>
  <c r="BD37" i="13"/>
  <c r="BC37" i="13"/>
  <c r="BB37" i="13"/>
  <c r="BA37" i="13"/>
  <c r="AZ37" i="13"/>
  <c r="AY37" i="13"/>
  <c r="AX37" i="13"/>
  <c r="AW37" i="13"/>
  <c r="AV37" i="13"/>
  <c r="AU37" i="13"/>
  <c r="AT37" i="13"/>
  <c r="AS37" i="13"/>
  <c r="AL37" i="13"/>
  <c r="AK37" i="13"/>
  <c r="AJ37" i="13"/>
  <c r="AI37" i="13"/>
  <c r="AH37" i="13"/>
  <c r="AG37" i="13"/>
  <c r="AF37" i="13"/>
  <c r="AD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I37" i="13"/>
  <c r="H37" i="13"/>
  <c r="G37" i="13"/>
  <c r="F37" i="13"/>
  <c r="E37" i="13"/>
  <c r="D37" i="13"/>
  <c r="C37" i="13"/>
  <c r="BE36" i="13"/>
  <c r="BD36" i="13"/>
  <c r="BC36" i="13"/>
  <c r="BB36" i="13"/>
  <c r="BA36" i="13"/>
  <c r="AZ36" i="13"/>
  <c r="AY36" i="13"/>
  <c r="AX36" i="13"/>
  <c r="AW36" i="13"/>
  <c r="AV36" i="13"/>
  <c r="AU36" i="13"/>
  <c r="AT36" i="13"/>
  <c r="AS36" i="13"/>
  <c r="AL36" i="13"/>
  <c r="AK36" i="13"/>
  <c r="AJ36" i="13"/>
  <c r="AI36" i="13"/>
  <c r="AH36" i="13"/>
  <c r="AG36" i="13"/>
  <c r="AF36" i="13"/>
  <c r="AD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I36" i="13"/>
  <c r="H36" i="13"/>
  <c r="G36" i="13"/>
  <c r="F36" i="13"/>
  <c r="E36" i="13"/>
  <c r="D36" i="13"/>
  <c r="C36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L35" i="13"/>
  <c r="AK35" i="13"/>
  <c r="AJ35" i="13"/>
  <c r="AI35" i="13"/>
  <c r="AH35" i="13"/>
  <c r="AG35" i="13"/>
  <c r="AF35" i="13"/>
  <c r="AD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I35" i="13"/>
  <c r="H35" i="13"/>
  <c r="G35" i="13"/>
  <c r="F35" i="13"/>
  <c r="E35" i="13"/>
  <c r="D35" i="13"/>
  <c r="C35" i="13"/>
  <c r="BE34" i="13"/>
  <c r="BD34" i="13"/>
  <c r="BC34" i="13"/>
  <c r="BB34" i="13"/>
  <c r="BA34" i="13"/>
  <c r="AZ34" i="13"/>
  <c r="AY34" i="13"/>
  <c r="AX34" i="13"/>
  <c r="AW34" i="13"/>
  <c r="AV34" i="13"/>
  <c r="AU34" i="13"/>
  <c r="AT34" i="13"/>
  <c r="AS34" i="13"/>
  <c r="AL34" i="13"/>
  <c r="AK34" i="13"/>
  <c r="AJ34" i="13"/>
  <c r="AI34" i="13"/>
  <c r="AH34" i="13"/>
  <c r="AG34" i="13"/>
  <c r="AF34" i="13"/>
  <c r="AD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I34" i="13"/>
  <c r="H34" i="13"/>
  <c r="G34" i="13"/>
  <c r="F34" i="13"/>
  <c r="E34" i="13"/>
  <c r="D34" i="13"/>
  <c r="C34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L32" i="13"/>
  <c r="AK32" i="13"/>
  <c r="AJ32" i="13"/>
  <c r="AI32" i="13"/>
  <c r="AH32" i="13"/>
  <c r="AG32" i="13"/>
  <c r="AF32" i="13"/>
  <c r="AD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I32" i="13"/>
  <c r="H32" i="13"/>
  <c r="G32" i="13"/>
  <c r="F32" i="13"/>
  <c r="E32" i="13"/>
  <c r="D32" i="13"/>
  <c r="C32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L31" i="13"/>
  <c r="AK31" i="13"/>
  <c r="AJ31" i="13"/>
  <c r="AI31" i="13"/>
  <c r="AH31" i="13"/>
  <c r="AG31" i="13"/>
  <c r="AF31" i="13"/>
  <c r="AD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I31" i="13"/>
  <c r="H31" i="13"/>
  <c r="G31" i="13"/>
  <c r="F31" i="13"/>
  <c r="E31" i="13"/>
  <c r="D31" i="13"/>
  <c r="C31" i="13"/>
  <c r="BD30" i="13"/>
  <c r="BC30" i="13"/>
  <c r="BB30" i="13"/>
  <c r="BA30" i="13"/>
  <c r="AZ30" i="13"/>
  <c r="AY30" i="13"/>
  <c r="AX30" i="13"/>
  <c r="AW30" i="13"/>
  <c r="AV30" i="13"/>
  <c r="AU30" i="13"/>
  <c r="AT30" i="13"/>
  <c r="AS30" i="13"/>
  <c r="AL30" i="13"/>
  <c r="AK30" i="13"/>
  <c r="AJ30" i="13"/>
  <c r="AI30" i="13"/>
  <c r="AH30" i="13"/>
  <c r="AG30" i="13"/>
  <c r="AF30" i="13"/>
  <c r="AD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I30" i="13"/>
  <c r="H30" i="13"/>
  <c r="G30" i="13"/>
  <c r="F30" i="13"/>
  <c r="E30" i="13"/>
  <c r="D30" i="13"/>
  <c r="C30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L28" i="13"/>
  <c r="AK28" i="13"/>
  <c r="AJ28" i="13"/>
  <c r="AI28" i="13"/>
  <c r="AH28" i="13"/>
  <c r="AG28" i="13"/>
  <c r="AF28" i="13"/>
  <c r="AD28" i="13"/>
  <c r="X28" i="13"/>
  <c r="W28" i="13"/>
  <c r="V28" i="13"/>
  <c r="U28" i="13"/>
  <c r="T28" i="13"/>
  <c r="S28" i="13"/>
  <c r="Q28" i="13"/>
  <c r="P28" i="13"/>
  <c r="O28" i="13"/>
  <c r="N28" i="13"/>
  <c r="M28" i="13"/>
  <c r="L28" i="13"/>
  <c r="I28" i="13"/>
  <c r="H28" i="13"/>
  <c r="G28" i="13"/>
  <c r="F28" i="13"/>
  <c r="E28" i="13"/>
  <c r="D28" i="13"/>
  <c r="C28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L27" i="13"/>
  <c r="AK27" i="13"/>
  <c r="AJ27" i="13"/>
  <c r="AI27" i="13"/>
  <c r="AH27" i="13"/>
  <c r="AG27" i="13"/>
  <c r="AF27" i="13"/>
  <c r="AD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I27" i="13"/>
  <c r="H27" i="13"/>
  <c r="G27" i="13"/>
  <c r="F27" i="13"/>
  <c r="E27" i="13"/>
  <c r="D27" i="13"/>
  <c r="C27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L26" i="13"/>
  <c r="AK26" i="13"/>
  <c r="AJ26" i="13"/>
  <c r="AI26" i="13"/>
  <c r="AH26" i="13"/>
  <c r="AG26" i="13"/>
  <c r="AF26" i="13"/>
  <c r="AD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I26" i="13"/>
  <c r="H26" i="13"/>
  <c r="G26" i="13"/>
  <c r="F26" i="13"/>
  <c r="E26" i="13"/>
  <c r="D26" i="13"/>
  <c r="C26" i="13"/>
  <c r="BE25" i="13"/>
  <c r="BC25" i="13"/>
  <c r="BB25" i="13"/>
  <c r="BA25" i="13"/>
  <c r="AZ25" i="13"/>
  <c r="AY25" i="13"/>
  <c r="AX25" i="13"/>
  <c r="AW25" i="13"/>
  <c r="AV25" i="13"/>
  <c r="AU25" i="13"/>
  <c r="AT25" i="13"/>
  <c r="AS25" i="13"/>
  <c r="AL25" i="13"/>
  <c r="AK25" i="13"/>
  <c r="AJ25" i="13"/>
  <c r="AI25" i="13"/>
  <c r="AH25" i="13"/>
  <c r="AG25" i="13"/>
  <c r="AF25" i="13"/>
  <c r="AD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I25" i="13"/>
  <c r="H25" i="13"/>
  <c r="G25" i="13"/>
  <c r="F25" i="13"/>
  <c r="E25" i="13"/>
  <c r="D25" i="13"/>
  <c r="C25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L24" i="13"/>
  <c r="AK24" i="13"/>
  <c r="AJ24" i="13"/>
  <c r="AI24" i="13"/>
  <c r="AH24" i="13"/>
  <c r="AG24" i="13"/>
  <c r="AF24" i="13"/>
  <c r="AD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I24" i="13"/>
  <c r="H24" i="13"/>
  <c r="G24" i="13"/>
  <c r="F24" i="13"/>
  <c r="E24" i="13"/>
  <c r="D24" i="13"/>
  <c r="C24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L23" i="13"/>
  <c r="AK23" i="13"/>
  <c r="AJ23" i="13"/>
  <c r="AI23" i="13"/>
  <c r="AH23" i="13"/>
  <c r="AG23" i="13"/>
  <c r="AF23" i="13"/>
  <c r="AD23" i="13"/>
  <c r="X23" i="13"/>
  <c r="W23" i="13"/>
  <c r="V23" i="13"/>
  <c r="U23" i="13"/>
  <c r="T23" i="13"/>
  <c r="S23" i="13"/>
  <c r="Q23" i="13"/>
  <c r="P23" i="13"/>
  <c r="O23" i="13"/>
  <c r="N23" i="13"/>
  <c r="M23" i="13"/>
  <c r="L23" i="13"/>
  <c r="I23" i="13"/>
  <c r="H23" i="13"/>
  <c r="G23" i="13"/>
  <c r="F23" i="13"/>
  <c r="E23" i="13"/>
  <c r="D23" i="13"/>
  <c r="C23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L22" i="13"/>
  <c r="AK22" i="13"/>
  <c r="AJ22" i="13"/>
  <c r="AI22" i="13"/>
  <c r="AH22" i="13"/>
  <c r="AG22" i="13"/>
  <c r="AF22" i="13"/>
  <c r="AD22" i="13"/>
  <c r="X22" i="13"/>
  <c r="W22" i="13"/>
  <c r="V22" i="13"/>
  <c r="U22" i="13"/>
  <c r="T22" i="13"/>
  <c r="S22" i="13"/>
  <c r="Q22" i="13"/>
  <c r="P22" i="13"/>
  <c r="O22" i="13"/>
  <c r="N22" i="13"/>
  <c r="M22" i="13"/>
  <c r="L22" i="13"/>
  <c r="I22" i="13"/>
  <c r="H22" i="13"/>
  <c r="G22" i="13"/>
  <c r="F22" i="13"/>
  <c r="E22" i="13"/>
  <c r="D22" i="13"/>
  <c r="C22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L21" i="13"/>
  <c r="AK21" i="13"/>
  <c r="AJ21" i="13"/>
  <c r="AI21" i="13"/>
  <c r="AH21" i="13"/>
  <c r="AG21" i="13"/>
  <c r="AF21" i="13"/>
  <c r="AD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I21" i="13"/>
  <c r="H21" i="13"/>
  <c r="G21" i="13"/>
  <c r="F21" i="13"/>
  <c r="E21" i="13"/>
  <c r="D21" i="13"/>
  <c r="C21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L20" i="13"/>
  <c r="AK20" i="13"/>
  <c r="AJ20" i="13"/>
  <c r="AI20" i="13"/>
  <c r="AH20" i="13"/>
  <c r="AG20" i="13"/>
  <c r="AF20" i="13"/>
  <c r="AD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I20" i="13"/>
  <c r="H20" i="13"/>
  <c r="G20" i="13"/>
  <c r="F20" i="13"/>
  <c r="E20" i="13"/>
  <c r="D20" i="13"/>
  <c r="C20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L19" i="13"/>
  <c r="AK19" i="13"/>
  <c r="AJ19" i="13"/>
  <c r="AI19" i="13"/>
  <c r="AH19" i="13"/>
  <c r="AG19" i="13"/>
  <c r="AF19" i="13"/>
  <c r="AD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I19" i="13"/>
  <c r="H19" i="13"/>
  <c r="G19" i="13"/>
  <c r="F19" i="13"/>
  <c r="E19" i="13"/>
  <c r="D19" i="13"/>
  <c r="C19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L15" i="13"/>
  <c r="AK15" i="13"/>
  <c r="AJ15" i="13"/>
  <c r="AI15" i="13"/>
  <c r="AH15" i="13"/>
  <c r="AG15" i="13"/>
  <c r="AF15" i="13"/>
  <c r="AD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I15" i="13"/>
  <c r="H15" i="13"/>
  <c r="G15" i="13"/>
  <c r="F15" i="13"/>
  <c r="E15" i="13"/>
  <c r="D15" i="13"/>
  <c r="C15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L14" i="13"/>
  <c r="AK14" i="13"/>
  <c r="AJ14" i="13"/>
  <c r="AI14" i="13"/>
  <c r="AH14" i="13"/>
  <c r="AG14" i="13"/>
  <c r="AF14" i="13"/>
  <c r="AD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I14" i="13"/>
  <c r="H14" i="13"/>
  <c r="G14" i="13"/>
  <c r="F14" i="13"/>
  <c r="E14" i="13"/>
  <c r="D14" i="13"/>
  <c r="C14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L13" i="13"/>
  <c r="AK13" i="13"/>
  <c r="AJ13" i="13"/>
  <c r="AI13" i="13"/>
  <c r="AH13" i="13"/>
  <c r="AG13" i="13"/>
  <c r="AF13" i="13"/>
  <c r="AD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I13" i="13"/>
  <c r="H13" i="13"/>
  <c r="G13" i="13"/>
  <c r="F13" i="13"/>
  <c r="E13" i="13"/>
  <c r="D13" i="13"/>
  <c r="C13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L12" i="13"/>
  <c r="AK12" i="13"/>
  <c r="AJ12" i="13"/>
  <c r="AI12" i="13"/>
  <c r="AH12" i="13"/>
  <c r="AG12" i="13"/>
  <c r="AF12" i="13"/>
  <c r="AD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I12" i="13"/>
  <c r="H12" i="13"/>
  <c r="G12" i="13"/>
  <c r="F12" i="13"/>
  <c r="E12" i="13"/>
  <c r="D12" i="13"/>
  <c r="B44" i="13" l="1"/>
  <c r="B48" i="13"/>
  <c r="B52" i="13"/>
  <c r="B60" i="13"/>
  <c r="B64" i="13"/>
  <c r="B25" i="13"/>
  <c r="B26" i="13"/>
  <c r="B31" i="13"/>
  <c r="B36" i="13"/>
  <c r="B45" i="13"/>
  <c r="B49" i="13"/>
  <c r="B53" i="13"/>
  <c r="B61" i="13"/>
  <c r="B75" i="13"/>
  <c r="B27" i="13"/>
  <c r="B32" i="13"/>
  <c r="B37" i="13"/>
  <c r="B46" i="13"/>
  <c r="B50" i="13"/>
  <c r="B62" i="13"/>
  <c r="B76" i="13"/>
  <c r="B13" i="13"/>
  <c r="B20" i="13"/>
  <c r="B34" i="13"/>
  <c r="B47" i="13"/>
  <c r="B51" i="13"/>
  <c r="B58" i="13"/>
  <c r="B63" i="13"/>
  <c r="B24" i="13"/>
  <c r="C12" i="13"/>
  <c r="B12" i="13" s="1"/>
  <c r="D78" i="13"/>
  <c r="H73" i="4"/>
  <c r="BU65" i="17"/>
  <c r="BT65" i="17"/>
  <c r="BS65" i="17"/>
  <c r="BR65" i="17"/>
  <c r="BQ65" i="17"/>
  <c r="BP65" i="17"/>
  <c r="BO65" i="17"/>
  <c r="BN65" i="17"/>
  <c r="BM65" i="17"/>
  <c r="BL65" i="17"/>
  <c r="BK65" i="17"/>
  <c r="BJ65" i="17"/>
  <c r="BI65" i="17"/>
  <c r="BH65" i="17"/>
  <c r="BG65" i="17"/>
  <c r="BD65" i="17"/>
  <c r="BC65" i="17"/>
  <c r="BB65" i="17"/>
  <c r="BA65" i="17"/>
  <c r="AZ65" i="17"/>
  <c r="AY65" i="17"/>
  <c r="AX65" i="17"/>
  <c r="AW65" i="17"/>
  <c r="AV65" i="17"/>
  <c r="AU65" i="17"/>
  <c r="AT65" i="17"/>
  <c r="AS65" i="17"/>
  <c r="AL65" i="17"/>
  <c r="AK65" i="17"/>
  <c r="AJ65" i="17"/>
  <c r="AI65" i="17"/>
  <c r="AH65" i="17"/>
  <c r="AG65" i="17"/>
  <c r="AF65" i="17"/>
  <c r="AE65" i="17"/>
  <c r="AD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I65" i="17"/>
  <c r="H65" i="17"/>
  <c r="G65" i="17"/>
  <c r="F65" i="17"/>
  <c r="E65" i="17"/>
  <c r="D65" i="17"/>
  <c r="C65" i="17"/>
  <c r="H60" i="4"/>
  <c r="H59" i="4"/>
  <c r="H58" i="4"/>
  <c r="H57" i="4"/>
  <c r="H55" i="4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L54" i="17"/>
  <c r="AK54" i="17"/>
  <c r="AJ54" i="17"/>
  <c r="AI54" i="17"/>
  <c r="AH54" i="17"/>
  <c r="AG54" i="17"/>
  <c r="AF54" i="17"/>
  <c r="AE54" i="17"/>
  <c r="AD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I54" i="17"/>
  <c r="H54" i="17"/>
  <c r="G54" i="17"/>
  <c r="F54" i="17"/>
  <c r="E54" i="17"/>
  <c r="D54" i="17"/>
  <c r="C54" i="17"/>
  <c r="H50" i="4"/>
  <c r="H49" i="4"/>
  <c r="H48" i="4"/>
  <c r="H47" i="4"/>
  <c r="H46" i="4"/>
  <c r="H45" i="4"/>
  <c r="H44" i="4"/>
  <c r="H43" i="4"/>
  <c r="H42" i="4"/>
  <c r="H41" i="4"/>
  <c r="H34" i="4"/>
  <c r="H33" i="4"/>
  <c r="H29" i="4"/>
  <c r="N29" i="5" s="1"/>
  <c r="H28" i="4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L29" i="17"/>
  <c r="AK29" i="17"/>
  <c r="AJ29" i="17"/>
  <c r="AI29" i="17"/>
  <c r="AH29" i="17"/>
  <c r="AG29" i="17"/>
  <c r="AF29" i="17"/>
  <c r="AE29" i="17"/>
  <c r="AD29" i="17"/>
  <c r="X29" i="17"/>
  <c r="W29" i="17"/>
  <c r="V29" i="17"/>
  <c r="U29" i="17"/>
  <c r="T29" i="17"/>
  <c r="S29" i="17"/>
  <c r="Q29" i="17"/>
  <c r="P29" i="17"/>
  <c r="O29" i="17"/>
  <c r="N29" i="17"/>
  <c r="M29" i="17"/>
  <c r="L29" i="17"/>
  <c r="I29" i="17"/>
  <c r="H29" i="17"/>
  <c r="G29" i="17"/>
  <c r="F29" i="17"/>
  <c r="E29" i="17"/>
  <c r="D29" i="17"/>
  <c r="C29" i="17"/>
  <c r="H24" i="4"/>
  <c r="H23" i="4"/>
  <c r="H22" i="4"/>
  <c r="H21" i="4"/>
  <c r="H17" i="4"/>
  <c r="BU16" i="17"/>
  <c r="BT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G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L16" i="17"/>
  <c r="AK16" i="17"/>
  <c r="AJ16" i="17"/>
  <c r="AI16" i="17"/>
  <c r="AH16" i="17"/>
  <c r="AG16" i="17"/>
  <c r="AF16" i="17"/>
  <c r="AE16" i="17"/>
  <c r="AD16" i="17"/>
  <c r="X16" i="17"/>
  <c r="W16" i="17"/>
  <c r="W74" i="17" s="1"/>
  <c r="W80" i="17" s="1"/>
  <c r="W83" i="17" s="1"/>
  <c r="W85" i="17" s="1"/>
  <c r="W87" i="17" s="1"/>
  <c r="W33" i="17" s="1"/>
  <c r="V16" i="17"/>
  <c r="U16" i="17"/>
  <c r="T16" i="17"/>
  <c r="S16" i="17"/>
  <c r="S74" i="17" s="1"/>
  <c r="S80" i="17" s="1"/>
  <c r="S83" i="17" s="1"/>
  <c r="S85" i="17" s="1"/>
  <c r="S87" i="17" s="1"/>
  <c r="S33" i="17" s="1"/>
  <c r="R16" i="17"/>
  <c r="Q16" i="17"/>
  <c r="P16" i="17"/>
  <c r="O16" i="17"/>
  <c r="O74" i="17" s="1"/>
  <c r="O80" i="17" s="1"/>
  <c r="O83" i="17" s="1"/>
  <c r="O85" i="17" s="1"/>
  <c r="O87" i="17" s="1"/>
  <c r="O33" i="17" s="1"/>
  <c r="N16" i="17"/>
  <c r="M16" i="17"/>
  <c r="L16" i="17"/>
  <c r="I16" i="17"/>
  <c r="I74" i="17" s="1"/>
  <c r="I80" i="17" s="1"/>
  <c r="I83" i="17" s="1"/>
  <c r="I85" i="17" s="1"/>
  <c r="I87" i="17" s="1"/>
  <c r="I33" i="17" s="1"/>
  <c r="H16" i="17"/>
  <c r="G16" i="17"/>
  <c r="F16" i="17"/>
  <c r="E16" i="17"/>
  <c r="E74" i="17" s="1"/>
  <c r="E80" i="17" s="1"/>
  <c r="E83" i="17" s="1"/>
  <c r="E85" i="17" s="1"/>
  <c r="E87" i="17" s="1"/>
  <c r="E33" i="17" s="1"/>
  <c r="D16" i="17"/>
  <c r="C16" i="17"/>
  <c r="H10" i="4"/>
  <c r="H9" i="4"/>
  <c r="BD65" i="13"/>
  <c r="BC65" i="13"/>
  <c r="BB65" i="13"/>
  <c r="BA65" i="13"/>
  <c r="AZ65" i="13"/>
  <c r="AY65" i="13"/>
  <c r="AW65" i="13"/>
  <c r="AV65" i="13"/>
  <c r="AU65" i="13"/>
  <c r="AT65" i="13"/>
  <c r="AS65" i="13"/>
  <c r="AL65" i="13"/>
  <c r="AK65" i="13"/>
  <c r="AJ65" i="13"/>
  <c r="AI65" i="13"/>
  <c r="AH65" i="13"/>
  <c r="AG65" i="13"/>
  <c r="AF65" i="13"/>
  <c r="AD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I65" i="13"/>
  <c r="H65" i="13"/>
  <c r="G65" i="13"/>
  <c r="F65" i="13"/>
  <c r="E65" i="13"/>
  <c r="D65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L54" i="13"/>
  <c r="AK54" i="13"/>
  <c r="AJ54" i="13"/>
  <c r="AI54" i="13"/>
  <c r="AH54" i="13"/>
  <c r="AG54" i="13"/>
  <c r="AF54" i="13"/>
  <c r="AD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I54" i="13"/>
  <c r="H54" i="13"/>
  <c r="G54" i="13"/>
  <c r="F54" i="13"/>
  <c r="E54" i="13"/>
  <c r="D54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L29" i="13"/>
  <c r="AK29" i="13"/>
  <c r="AJ29" i="13"/>
  <c r="AI29" i="13"/>
  <c r="AH29" i="13"/>
  <c r="AG29" i="13"/>
  <c r="AF29" i="13"/>
  <c r="AD29" i="13"/>
  <c r="X29" i="13"/>
  <c r="W29" i="13"/>
  <c r="V29" i="13"/>
  <c r="U29" i="13"/>
  <c r="T29" i="13"/>
  <c r="S29" i="13"/>
  <c r="Q29" i="13"/>
  <c r="P29" i="13"/>
  <c r="O29" i="13"/>
  <c r="N29" i="13"/>
  <c r="M29" i="13"/>
  <c r="L29" i="13"/>
  <c r="I29" i="13"/>
  <c r="H29" i="13"/>
  <c r="G29" i="13"/>
  <c r="F29" i="13"/>
  <c r="E29" i="13"/>
  <c r="D29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L16" i="13"/>
  <c r="AK16" i="13"/>
  <c r="AJ16" i="13"/>
  <c r="AI16" i="13"/>
  <c r="AH16" i="13"/>
  <c r="AG16" i="13"/>
  <c r="AF16" i="13"/>
  <c r="AD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I16" i="13"/>
  <c r="H16" i="13"/>
  <c r="G16" i="13"/>
  <c r="F16" i="13"/>
  <c r="E16" i="13"/>
  <c r="D16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L9" i="13"/>
  <c r="C47" i="16" s="1"/>
  <c r="AK9" i="13"/>
  <c r="AJ9" i="13"/>
  <c r="AI9" i="13"/>
  <c r="C46" i="16" s="1"/>
  <c r="AH9" i="13"/>
  <c r="AG9" i="13"/>
  <c r="AF9" i="13"/>
  <c r="AD9" i="13"/>
  <c r="X9" i="13"/>
  <c r="C35" i="16" s="1"/>
  <c r="W9" i="13"/>
  <c r="V9" i="13"/>
  <c r="U9" i="13"/>
  <c r="T9" i="13"/>
  <c r="S9" i="13"/>
  <c r="R9" i="13"/>
  <c r="Q9" i="13"/>
  <c r="P9" i="13"/>
  <c r="O9" i="13"/>
  <c r="N9" i="13"/>
  <c r="M9" i="13"/>
  <c r="L9" i="13"/>
  <c r="I9" i="13"/>
  <c r="H9" i="13"/>
  <c r="G9" i="13"/>
  <c r="F9" i="13"/>
  <c r="E9" i="13"/>
  <c r="D9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L8" i="13"/>
  <c r="AK8" i="13"/>
  <c r="AJ8" i="13"/>
  <c r="AI8" i="13"/>
  <c r="AH8" i="13"/>
  <c r="AG8" i="13"/>
  <c r="AF8" i="13"/>
  <c r="AD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I8" i="13"/>
  <c r="H8" i="13"/>
  <c r="G8" i="13"/>
  <c r="F8" i="13"/>
  <c r="E8" i="13"/>
  <c r="D8" i="13"/>
  <c r="C9" i="13"/>
  <c r="C8" i="13"/>
  <c r="BQ65" i="1"/>
  <c r="BQ54" i="1"/>
  <c r="BQ29" i="1"/>
  <c r="BQ16" i="1"/>
  <c r="BR65" i="1"/>
  <c r="BR54" i="1"/>
  <c r="BR29" i="1"/>
  <c r="BR16" i="1"/>
  <c r="BS65" i="1"/>
  <c r="BS54" i="1"/>
  <c r="BS29" i="1"/>
  <c r="BS16" i="1"/>
  <c r="BP65" i="1"/>
  <c r="BP54" i="1"/>
  <c r="BP29" i="1"/>
  <c r="BP16" i="1"/>
  <c r="BO65" i="1"/>
  <c r="BO54" i="1"/>
  <c r="BO29" i="1"/>
  <c r="BO16" i="1"/>
  <c r="BT65" i="1"/>
  <c r="BT54" i="1"/>
  <c r="BT29" i="1"/>
  <c r="BT16" i="1"/>
  <c r="BU65" i="1"/>
  <c r="BU54" i="1"/>
  <c r="BU29" i="1"/>
  <c r="BU16" i="1"/>
  <c r="BK65" i="1"/>
  <c r="BK54" i="1"/>
  <c r="BK29" i="1"/>
  <c r="BK16" i="1"/>
  <c r="BL65" i="1"/>
  <c r="BL54" i="1"/>
  <c r="BL29" i="1"/>
  <c r="BL16" i="1"/>
  <c r="BM65" i="1"/>
  <c r="BM54" i="1"/>
  <c r="BM29" i="1"/>
  <c r="BM16" i="1"/>
  <c r="BN65" i="1"/>
  <c r="BN54" i="1"/>
  <c r="BN29" i="1"/>
  <c r="BN16" i="1"/>
  <c r="AZ65" i="1"/>
  <c r="AZ54" i="1"/>
  <c r="AZ29" i="1"/>
  <c r="AZ16" i="1"/>
  <c r="BA65" i="1"/>
  <c r="BA54" i="1"/>
  <c r="BA29" i="1"/>
  <c r="BA16" i="1"/>
  <c r="AV65" i="1"/>
  <c r="AV54" i="1"/>
  <c r="AV29" i="1"/>
  <c r="AV16" i="1"/>
  <c r="AT65" i="1"/>
  <c r="AT54" i="1"/>
  <c r="AT29" i="1"/>
  <c r="AT16" i="1"/>
  <c r="AH65" i="1"/>
  <c r="AH54" i="1"/>
  <c r="AH29" i="1"/>
  <c r="AH16" i="1"/>
  <c r="AI65" i="1"/>
  <c r="AI54" i="1"/>
  <c r="AI29" i="1"/>
  <c r="AI16" i="1"/>
  <c r="AJ65" i="1"/>
  <c r="AJ54" i="1"/>
  <c r="AJ29" i="1"/>
  <c r="AJ16" i="1"/>
  <c r="AK65" i="1"/>
  <c r="AK54" i="1"/>
  <c r="AK29" i="1"/>
  <c r="AK16" i="1"/>
  <c r="AF65" i="1"/>
  <c r="AF54" i="1"/>
  <c r="AF29" i="1"/>
  <c r="AF16" i="1"/>
  <c r="AE65" i="1"/>
  <c r="AE54" i="1"/>
  <c r="AE29" i="1"/>
  <c r="AE16" i="1"/>
  <c r="W65" i="1"/>
  <c r="W54" i="1"/>
  <c r="W29" i="1"/>
  <c r="W16" i="1"/>
  <c r="O65" i="1"/>
  <c r="O54" i="1"/>
  <c r="O29" i="1"/>
  <c r="O16" i="1"/>
  <c r="N65" i="1"/>
  <c r="N54" i="1"/>
  <c r="N29" i="1"/>
  <c r="N16" i="1"/>
  <c r="I65" i="1"/>
  <c r="I54" i="1"/>
  <c r="I29" i="1"/>
  <c r="I16" i="1"/>
  <c r="C58" i="16" l="1" a="1"/>
  <c r="C58" i="16" s="1"/>
  <c r="C24" i="16" a="1"/>
  <c r="C24" i="16" s="1"/>
  <c r="C13" i="16" a="1"/>
  <c r="C39" i="16" a="1"/>
  <c r="C52" i="16" a="1"/>
  <c r="BD74" i="17"/>
  <c r="BD80" i="17" s="1"/>
  <c r="BD83" i="17" s="1"/>
  <c r="BD85" i="17" s="1"/>
  <c r="BD87" i="17" s="1"/>
  <c r="BD33" i="17" s="1"/>
  <c r="BD38" i="17" s="1"/>
  <c r="BD40" i="17" s="1"/>
  <c r="BM74" i="17"/>
  <c r="BM80" i="17" s="1"/>
  <c r="BM83" i="17" s="1"/>
  <c r="BM85" i="17" s="1"/>
  <c r="BM87" i="17" s="1"/>
  <c r="BM33" i="17" s="1"/>
  <c r="BQ74" i="17"/>
  <c r="BQ80" i="17" s="1"/>
  <c r="BQ83" i="17" s="1"/>
  <c r="BQ85" i="17" s="1"/>
  <c r="BQ87" i="17" s="1"/>
  <c r="BQ33" i="17" s="1"/>
  <c r="BQ38" i="17" s="1"/>
  <c r="BQ40" i="17" s="1"/>
  <c r="BU74" i="17"/>
  <c r="BU80" i="17" s="1"/>
  <c r="BU83" i="17" s="1"/>
  <c r="BU85" i="17" s="1"/>
  <c r="BU87" i="17" s="1"/>
  <c r="BU33" i="17" s="1"/>
  <c r="AE74" i="17"/>
  <c r="AE80" i="17" s="1"/>
  <c r="AE83" i="17" s="1"/>
  <c r="AE85" i="17" s="1"/>
  <c r="AE87" i="17" s="1"/>
  <c r="AE33" i="17" s="1"/>
  <c r="AE38" i="17" s="1"/>
  <c r="AE40" i="17" s="1"/>
  <c r="AI74" i="17"/>
  <c r="AI80" i="17" s="1"/>
  <c r="AI83" i="17" s="1"/>
  <c r="AI85" i="17" s="1"/>
  <c r="AI87" i="17" s="1"/>
  <c r="AI33" i="17" s="1"/>
  <c r="AI38" i="17" s="1"/>
  <c r="AI40" i="17" s="1"/>
  <c r="AS74" i="17"/>
  <c r="AW74" i="17"/>
  <c r="AW80" i="17" s="1"/>
  <c r="AW83" i="17" s="1"/>
  <c r="AW85" i="17" s="1"/>
  <c r="AW87" i="17" s="1"/>
  <c r="AW33" i="17" s="1"/>
  <c r="AW38" i="17" s="1"/>
  <c r="AW40" i="17" s="1"/>
  <c r="BA74" i="17"/>
  <c r="BA80" i="17" s="1"/>
  <c r="BA83" i="17" s="1"/>
  <c r="BA85" i="17" s="1"/>
  <c r="BA87" i="17" s="1"/>
  <c r="BA33" i="17" s="1"/>
  <c r="BA38" i="17" s="1"/>
  <c r="BA40" i="17" s="1"/>
  <c r="E67" i="17"/>
  <c r="I67" i="17"/>
  <c r="O67" i="17"/>
  <c r="S67" i="17"/>
  <c r="W67" i="17"/>
  <c r="AE67" i="17"/>
  <c r="L67" i="17"/>
  <c r="P67" i="17"/>
  <c r="T67" i="17"/>
  <c r="X67" i="17"/>
  <c r="AF67" i="17"/>
  <c r="J68" i="16"/>
  <c r="N68" i="16" s="1"/>
  <c r="F74" i="17"/>
  <c r="F80" i="17" s="1"/>
  <c r="F83" i="17" s="1"/>
  <c r="F85" i="17" s="1"/>
  <c r="F87" i="17" s="1"/>
  <c r="F33" i="17" s="1"/>
  <c r="F38" i="17" s="1"/>
  <c r="F40" i="17" s="1"/>
  <c r="L74" i="17"/>
  <c r="L80" i="17" s="1"/>
  <c r="L83" i="17" s="1"/>
  <c r="L85" i="17" s="1"/>
  <c r="L87" i="17" s="1"/>
  <c r="L33" i="17" s="1"/>
  <c r="P74" i="17"/>
  <c r="P80" i="17" s="1"/>
  <c r="P83" i="17" s="1"/>
  <c r="P85" i="17" s="1"/>
  <c r="P87" i="17" s="1"/>
  <c r="P33" i="17" s="1"/>
  <c r="P38" i="17" s="1"/>
  <c r="P40" i="17" s="1"/>
  <c r="T74" i="17"/>
  <c r="T80" i="17" s="1"/>
  <c r="T83" i="17" s="1"/>
  <c r="T85" i="17" s="1"/>
  <c r="T87" i="17" s="1"/>
  <c r="T33" i="17" s="1"/>
  <c r="X74" i="17"/>
  <c r="X80" i="17" s="1"/>
  <c r="X83" i="17" s="1"/>
  <c r="X85" i="17" s="1"/>
  <c r="X87" i="17" s="1"/>
  <c r="X33" i="17" s="1"/>
  <c r="X38" i="17" s="1"/>
  <c r="X40" i="17" s="1"/>
  <c r="AF74" i="17"/>
  <c r="AF80" i="17" s="1"/>
  <c r="AF83" i="17" s="1"/>
  <c r="AF85" i="17" s="1"/>
  <c r="AF87" i="17" s="1"/>
  <c r="AF33" i="17" s="1"/>
  <c r="AF38" i="17" s="1"/>
  <c r="AF40" i="17" s="1"/>
  <c r="AI67" i="17"/>
  <c r="AS67" i="17"/>
  <c r="AW67" i="17"/>
  <c r="BA67" i="17"/>
  <c r="BD67" i="17"/>
  <c r="AH74" i="17"/>
  <c r="AH80" i="17" s="1"/>
  <c r="AH83" i="17" s="1"/>
  <c r="AH85" i="17" s="1"/>
  <c r="AH87" i="17" s="1"/>
  <c r="AH33" i="17" s="1"/>
  <c r="AL74" i="17"/>
  <c r="AL80" i="17" s="1"/>
  <c r="AL83" i="17" s="1"/>
  <c r="AL85" i="17" s="1"/>
  <c r="AL87" i="17" s="1"/>
  <c r="AL33" i="17" s="1"/>
  <c r="AL38" i="17" s="1"/>
  <c r="AL40" i="17" s="1"/>
  <c r="AV74" i="17"/>
  <c r="AV80" i="17" s="1"/>
  <c r="AV83" i="17" s="1"/>
  <c r="AV85" i="17" s="1"/>
  <c r="AV87" i="17" s="1"/>
  <c r="AV33" i="17" s="1"/>
  <c r="AV38" i="17" s="1"/>
  <c r="AV40" i="17" s="1"/>
  <c r="AZ74" i="17"/>
  <c r="AZ80" i="17" s="1"/>
  <c r="AZ83" i="17" s="1"/>
  <c r="AZ85" i="17" s="1"/>
  <c r="AZ87" i="17" s="1"/>
  <c r="AZ33" i="17" s="1"/>
  <c r="AZ38" i="17" s="1"/>
  <c r="AZ40" i="17" s="1"/>
  <c r="BC74" i="17"/>
  <c r="BC80" i="17" s="1"/>
  <c r="BC83" i="17" s="1"/>
  <c r="BC85" i="17" s="1"/>
  <c r="BC87" i="17" s="1"/>
  <c r="BC33" i="17" s="1"/>
  <c r="BC38" i="17" s="1"/>
  <c r="BC40" i="17" s="1"/>
  <c r="BH74" i="17"/>
  <c r="BH80" i="17" s="1"/>
  <c r="BH83" i="17" s="1"/>
  <c r="BH85" i="17" s="1"/>
  <c r="BH87" i="17" s="1"/>
  <c r="BH33" i="17" s="1"/>
  <c r="BH38" i="17" s="1"/>
  <c r="BH40" i="17" s="1"/>
  <c r="BL74" i="17"/>
  <c r="BL80" i="17" s="1"/>
  <c r="BL83" i="17" s="1"/>
  <c r="BL85" i="17" s="1"/>
  <c r="BL87" i="17" s="1"/>
  <c r="BL33" i="17" s="1"/>
  <c r="BP74" i="17"/>
  <c r="BP80" i="17" s="1"/>
  <c r="BP83" i="17" s="1"/>
  <c r="BP85" i="17" s="1"/>
  <c r="BP87" i="17" s="1"/>
  <c r="BP33" i="17" s="1"/>
  <c r="BP38" i="17" s="1"/>
  <c r="BP40" i="17" s="1"/>
  <c r="BT74" i="17"/>
  <c r="BT80" i="17" s="1"/>
  <c r="BT83" i="17" s="1"/>
  <c r="BT85" i="17" s="1"/>
  <c r="BT87" i="17" s="1"/>
  <c r="BT33" i="17" s="1"/>
  <c r="BT38" i="17" s="1"/>
  <c r="BT40" i="17" s="1"/>
  <c r="AH67" i="17"/>
  <c r="AL67" i="17"/>
  <c r="AV67" i="17"/>
  <c r="AZ67" i="17"/>
  <c r="BC67" i="17"/>
  <c r="BH67" i="17"/>
  <c r="BL67" i="17"/>
  <c r="BP67" i="17"/>
  <c r="BT67" i="17"/>
  <c r="C67" i="17"/>
  <c r="M67" i="17"/>
  <c r="U67" i="17"/>
  <c r="AG67" i="17"/>
  <c r="AT67" i="17"/>
  <c r="BJ67" i="17"/>
  <c r="BR67" i="17"/>
  <c r="D67" i="17"/>
  <c r="H67" i="17"/>
  <c r="N67" i="17"/>
  <c r="R67" i="17"/>
  <c r="V67" i="17"/>
  <c r="AD67" i="17"/>
  <c r="AK67" i="17"/>
  <c r="AU67" i="17"/>
  <c r="AY67" i="17"/>
  <c r="BB67" i="17"/>
  <c r="BG67" i="17"/>
  <c r="BK67" i="17"/>
  <c r="G67" i="17"/>
  <c r="AJ67" i="17"/>
  <c r="AX67" i="17"/>
  <c r="BN67" i="17"/>
  <c r="C74" i="17"/>
  <c r="C80" i="17" s="1"/>
  <c r="C83" i="17" s="1"/>
  <c r="G74" i="17"/>
  <c r="G80" i="17" s="1"/>
  <c r="G83" i="17" s="1"/>
  <c r="G85" i="17" s="1"/>
  <c r="G87" i="17" s="1"/>
  <c r="G33" i="17" s="1"/>
  <c r="G38" i="17" s="1"/>
  <c r="G40" i="17" s="1"/>
  <c r="M74" i="17"/>
  <c r="M80" i="17" s="1"/>
  <c r="M83" i="17" s="1"/>
  <c r="M85" i="17" s="1"/>
  <c r="M87" i="17" s="1"/>
  <c r="M33" i="17" s="1"/>
  <c r="M38" i="17" s="1"/>
  <c r="M40" i="17" s="1"/>
  <c r="Q74" i="17"/>
  <c r="Q80" i="17" s="1"/>
  <c r="Q83" i="17" s="1"/>
  <c r="Q85" i="17" s="1"/>
  <c r="U74" i="17"/>
  <c r="U80" i="17" s="1"/>
  <c r="U83" i="17" s="1"/>
  <c r="U85" i="17" s="1"/>
  <c r="U87" i="17" s="1"/>
  <c r="U33" i="17" s="1"/>
  <c r="U38" i="17" s="1"/>
  <c r="U40" i="17" s="1"/>
  <c r="AG74" i="17"/>
  <c r="AG80" i="17" s="1"/>
  <c r="AG83" i="17" s="1"/>
  <c r="AG85" i="17" s="1"/>
  <c r="AG87" i="17" s="1"/>
  <c r="AG33" i="17" s="1"/>
  <c r="AG38" i="17" s="1"/>
  <c r="AG40" i="17" s="1"/>
  <c r="AJ74" i="17"/>
  <c r="AJ80" i="17" s="1"/>
  <c r="AJ83" i="17" s="1"/>
  <c r="AJ85" i="17" s="1"/>
  <c r="AJ87" i="17" s="1"/>
  <c r="AJ33" i="17" s="1"/>
  <c r="AJ38" i="17" s="1"/>
  <c r="AJ40" i="17" s="1"/>
  <c r="AT74" i="17"/>
  <c r="AT80" i="17" s="1"/>
  <c r="AT83" i="17" s="1"/>
  <c r="AT85" i="17" s="1"/>
  <c r="AT87" i="17" s="1"/>
  <c r="AT33" i="17" s="1"/>
  <c r="AT38" i="17" s="1"/>
  <c r="AT40" i="17" s="1"/>
  <c r="AX74" i="17"/>
  <c r="AX80" i="17" s="1"/>
  <c r="AX83" i="17" s="1"/>
  <c r="AX85" i="17" s="1"/>
  <c r="AX87" i="17" s="1"/>
  <c r="AX33" i="17" s="1"/>
  <c r="AX38" i="17" s="1"/>
  <c r="AX40" i="17" s="1"/>
  <c r="BJ74" i="17"/>
  <c r="BJ80" i="17" s="1"/>
  <c r="BJ83" i="17" s="1"/>
  <c r="BJ85" i="17" s="1"/>
  <c r="BJ87" i="17" s="1"/>
  <c r="BJ33" i="17" s="1"/>
  <c r="BN74" i="17"/>
  <c r="BN80" i="17" s="1"/>
  <c r="BN83" i="17" s="1"/>
  <c r="BN85" i="17" s="1"/>
  <c r="BN87" i="17" s="1"/>
  <c r="BN33" i="17" s="1"/>
  <c r="BN38" i="17" s="1"/>
  <c r="BN40" i="17" s="1"/>
  <c r="BR74" i="17"/>
  <c r="BR80" i="17" s="1"/>
  <c r="BR83" i="17" s="1"/>
  <c r="BR85" i="17" s="1"/>
  <c r="BR87" i="17" s="1"/>
  <c r="BR33" i="17" s="1"/>
  <c r="BR38" i="17" s="1"/>
  <c r="BR40" i="17" s="1"/>
  <c r="D74" i="17"/>
  <c r="D80" i="17" s="1"/>
  <c r="D83" i="17" s="1"/>
  <c r="D85" i="17" s="1"/>
  <c r="D87" i="17" s="1"/>
  <c r="D33" i="17" s="1"/>
  <c r="D38" i="17" s="1"/>
  <c r="D40" i="17" s="1"/>
  <c r="AD74" i="17"/>
  <c r="AD80" i="17" s="1"/>
  <c r="AD83" i="17" s="1"/>
  <c r="AD85" i="17" s="1"/>
  <c r="AD87" i="17" s="1"/>
  <c r="AD33" i="17" s="1"/>
  <c r="AD38" i="17" s="1"/>
  <c r="AD40" i="17" s="1"/>
  <c r="AK74" i="17"/>
  <c r="AK80" i="17" s="1"/>
  <c r="AK83" i="17" s="1"/>
  <c r="AK85" i="17" s="1"/>
  <c r="AK87" i="17" s="1"/>
  <c r="AK33" i="17" s="1"/>
  <c r="AK38" i="17" s="1"/>
  <c r="AK40" i="17" s="1"/>
  <c r="AU74" i="17"/>
  <c r="AU80" i="17" s="1"/>
  <c r="AU83" i="17" s="1"/>
  <c r="AU85" i="17" s="1"/>
  <c r="AU87" i="17" s="1"/>
  <c r="AU33" i="17" s="1"/>
  <c r="AU38" i="17" s="1"/>
  <c r="AU40" i="17" s="1"/>
  <c r="AY74" i="17"/>
  <c r="AY80" i="17" s="1"/>
  <c r="AY83" i="17" s="1"/>
  <c r="AY85" i="17" s="1"/>
  <c r="AY87" i="17" s="1"/>
  <c r="AY33" i="17" s="1"/>
  <c r="AY38" i="17" s="1"/>
  <c r="AY40" i="17" s="1"/>
  <c r="BB74" i="17"/>
  <c r="BB80" i="17" s="1"/>
  <c r="BB83" i="17" s="1"/>
  <c r="BB85" i="17" s="1"/>
  <c r="BB87" i="17" s="1"/>
  <c r="BB33" i="17" s="1"/>
  <c r="BB38" i="17" s="1"/>
  <c r="BB40" i="17" s="1"/>
  <c r="BG74" i="17"/>
  <c r="BG80" i="17" s="1"/>
  <c r="BG83" i="17" s="1"/>
  <c r="BG85" i="17" s="1"/>
  <c r="BG87" i="17" s="1"/>
  <c r="BG33" i="17" s="1"/>
  <c r="BG33" i="13" s="1"/>
  <c r="BG38" i="13" s="1"/>
  <c r="BG40" i="13" s="1"/>
  <c r="BK74" i="17"/>
  <c r="BK80" i="17" s="1"/>
  <c r="BK83" i="17" s="1"/>
  <c r="BK85" i="17" s="1"/>
  <c r="BK87" i="17" s="1"/>
  <c r="BK33" i="17" s="1"/>
  <c r="BO74" i="17"/>
  <c r="BO80" i="17" s="1"/>
  <c r="BO83" i="17" s="1"/>
  <c r="BO85" i="17" s="1"/>
  <c r="BO87" i="17" s="1"/>
  <c r="BO33" i="17" s="1"/>
  <c r="BO38" i="17" s="1"/>
  <c r="BO40" i="17" s="1"/>
  <c r="BS74" i="17"/>
  <c r="BS80" i="17" s="1"/>
  <c r="BS83" i="17" s="1"/>
  <c r="BS85" i="17" s="1"/>
  <c r="BS87" i="17" s="1"/>
  <c r="BS33" i="17" s="1"/>
  <c r="BS38" i="17" s="1"/>
  <c r="BS40" i="17" s="1"/>
  <c r="AZ67" i="13"/>
  <c r="J58" i="16" s="1"/>
  <c r="N58" i="16" s="1"/>
  <c r="E74" i="13"/>
  <c r="E80" i="13" s="1"/>
  <c r="E83" i="13" s="1"/>
  <c r="E85" i="13" s="1"/>
  <c r="E87" i="13" s="1"/>
  <c r="G74" i="13"/>
  <c r="G80" i="13" s="1"/>
  <c r="G83" i="13" s="1"/>
  <c r="G85" i="13" s="1"/>
  <c r="G87" i="13" s="1"/>
  <c r="I74" i="13"/>
  <c r="I80" i="13" s="1"/>
  <c r="I83" i="13" s="1"/>
  <c r="I85" i="13" s="1"/>
  <c r="I87" i="13" s="1"/>
  <c r="M74" i="13"/>
  <c r="M80" i="13" s="1"/>
  <c r="M83" i="13" s="1"/>
  <c r="M85" i="13" s="1"/>
  <c r="M87" i="13" s="1"/>
  <c r="O74" i="13"/>
  <c r="O80" i="13" s="1"/>
  <c r="O83" i="13" s="1"/>
  <c r="O85" i="13" s="1"/>
  <c r="O87" i="13" s="1"/>
  <c r="Q74" i="13"/>
  <c r="Q80" i="13" s="1"/>
  <c r="Q83" i="13" s="1"/>
  <c r="Q85" i="13" s="1"/>
  <c r="Q87" i="13" s="1"/>
  <c r="S74" i="13"/>
  <c r="S80" i="13" s="1"/>
  <c r="S83" i="13" s="1"/>
  <c r="S85" i="13" s="1"/>
  <c r="S87" i="13" s="1"/>
  <c r="U74" i="13"/>
  <c r="U80" i="13" s="1"/>
  <c r="U83" i="13" s="1"/>
  <c r="U85" i="13" s="1"/>
  <c r="U87" i="13" s="1"/>
  <c r="W74" i="13"/>
  <c r="W80" i="13" s="1"/>
  <c r="W83" i="13" s="1"/>
  <c r="W85" i="13" s="1"/>
  <c r="W87" i="13" s="1"/>
  <c r="AG74" i="13"/>
  <c r="AG80" i="13" s="1"/>
  <c r="AG83" i="13" s="1"/>
  <c r="AG85" i="13" s="1"/>
  <c r="AG87" i="13" s="1"/>
  <c r="AH74" i="13"/>
  <c r="AH80" i="13" s="1"/>
  <c r="AH83" i="13" s="1"/>
  <c r="AH85" i="13" s="1"/>
  <c r="AH87" i="13" s="1"/>
  <c r="AJ74" i="13"/>
  <c r="AJ80" i="13" s="1"/>
  <c r="AJ83" i="13" s="1"/>
  <c r="AJ85" i="13" s="1"/>
  <c r="AJ87" i="13" s="1"/>
  <c r="AL74" i="13"/>
  <c r="AL80" i="13" s="1"/>
  <c r="AL83" i="13" s="1"/>
  <c r="AL85" i="13" s="1"/>
  <c r="AL87" i="13" s="1"/>
  <c r="AT74" i="13"/>
  <c r="AT80" i="13" s="1"/>
  <c r="AT83" i="13" s="1"/>
  <c r="AT85" i="13" s="1"/>
  <c r="AT87" i="13" s="1"/>
  <c r="AV74" i="13"/>
  <c r="AV80" i="13" s="1"/>
  <c r="AV83" i="13" s="1"/>
  <c r="AV85" i="13" s="1"/>
  <c r="AV87" i="13" s="1"/>
  <c r="AX74" i="13"/>
  <c r="AX80" i="13" s="1"/>
  <c r="AX83" i="13" s="1"/>
  <c r="AX85" i="13" s="1"/>
  <c r="AX87" i="13" s="1"/>
  <c r="AZ74" i="13"/>
  <c r="AZ80" i="13" s="1"/>
  <c r="AZ83" i="13" s="1"/>
  <c r="AZ85" i="13" s="1"/>
  <c r="AZ87" i="13" s="1"/>
  <c r="BC74" i="13"/>
  <c r="BC80" i="13" s="1"/>
  <c r="BC83" i="13" s="1"/>
  <c r="BC85" i="13" s="1"/>
  <c r="BC87" i="13" s="1"/>
  <c r="E67" i="13"/>
  <c r="J15" i="16" s="1"/>
  <c r="N15" i="16" s="1"/>
  <c r="G67" i="13"/>
  <c r="J17" i="16" s="1"/>
  <c r="N17" i="16" s="1"/>
  <c r="I67" i="13"/>
  <c r="J19" i="16" s="1"/>
  <c r="N19" i="16" s="1"/>
  <c r="M67" i="13"/>
  <c r="J25" i="16" s="1"/>
  <c r="N25" i="16" s="1"/>
  <c r="O67" i="13"/>
  <c r="J27" i="16" s="1"/>
  <c r="N27" i="16" s="1"/>
  <c r="Q67" i="13"/>
  <c r="J29" i="16" s="1"/>
  <c r="N29" i="16" s="1"/>
  <c r="S67" i="13"/>
  <c r="J31" i="16" s="1"/>
  <c r="N31" i="16" s="1"/>
  <c r="U67" i="13"/>
  <c r="J33" i="16" s="1"/>
  <c r="N33" i="16" s="1"/>
  <c r="W67" i="13"/>
  <c r="J35" i="16" s="1"/>
  <c r="N35" i="16" s="1"/>
  <c r="J40" i="16"/>
  <c r="N40" i="16" s="1"/>
  <c r="AG67" i="13"/>
  <c r="J42" i="16" s="1"/>
  <c r="N42" i="16" s="1"/>
  <c r="AH67" i="13"/>
  <c r="J45" i="16" s="1"/>
  <c r="N45" i="16" s="1"/>
  <c r="AJ67" i="13"/>
  <c r="AL67" i="13"/>
  <c r="J47" i="16" s="1"/>
  <c r="N47" i="16" s="1"/>
  <c r="AT67" i="13"/>
  <c r="J53" i="16" s="1"/>
  <c r="N53" i="16" s="1"/>
  <c r="BO67" i="17"/>
  <c r="BQ67" i="17"/>
  <c r="BS67" i="17"/>
  <c r="AI74" i="1"/>
  <c r="AI80" i="1" s="1"/>
  <c r="AI83" i="1" s="1"/>
  <c r="AI85" i="1" s="1"/>
  <c r="AI87" i="1" s="1"/>
  <c r="AI33" i="1" s="1"/>
  <c r="AI67" i="1"/>
  <c r="AH67" i="1"/>
  <c r="AT74" i="1"/>
  <c r="AT80" i="1" s="1"/>
  <c r="AT83" i="1" s="1"/>
  <c r="AT85" i="1" s="1"/>
  <c r="AT87" i="1" s="1"/>
  <c r="AT33" i="1" s="1"/>
  <c r="AT38" i="1" s="1"/>
  <c r="AT40" i="1" s="1"/>
  <c r="AT67" i="1"/>
  <c r="AV74" i="1"/>
  <c r="AV80" i="1" s="1"/>
  <c r="AV83" i="1" s="1"/>
  <c r="AV85" i="1" s="1"/>
  <c r="AV87" i="1" s="1"/>
  <c r="AV33" i="1" s="1"/>
  <c r="AV38" i="1" s="1"/>
  <c r="AV40" i="1" s="1"/>
  <c r="BA74" i="1"/>
  <c r="BA80" i="1" s="1"/>
  <c r="BA83" i="1" s="1"/>
  <c r="BA85" i="1" s="1"/>
  <c r="BA87" i="1" s="1"/>
  <c r="BA33" i="1" s="1"/>
  <c r="BA67" i="1"/>
  <c r="AZ74" i="1"/>
  <c r="AZ80" i="1" s="1"/>
  <c r="AZ83" i="1" s="1"/>
  <c r="AZ85" i="1" s="1"/>
  <c r="AZ87" i="1" s="1"/>
  <c r="AZ33" i="1" s="1"/>
  <c r="BM74" i="1"/>
  <c r="BM80" i="1" s="1"/>
  <c r="BM83" i="1" s="1"/>
  <c r="BM85" i="1" s="1"/>
  <c r="BM87" i="1" s="1"/>
  <c r="BM33" i="1" s="1"/>
  <c r="BM67" i="1"/>
  <c r="BK74" i="1"/>
  <c r="BK80" i="1" s="1"/>
  <c r="BK83" i="1" s="1"/>
  <c r="BK85" i="1" s="1"/>
  <c r="BK87" i="1" s="1"/>
  <c r="BK33" i="1" s="1"/>
  <c r="BK67" i="1"/>
  <c r="BU74" i="1"/>
  <c r="BU80" i="1" s="1"/>
  <c r="BU83" i="1" s="1"/>
  <c r="BU85" i="1" s="1"/>
  <c r="BU87" i="1" s="1"/>
  <c r="BU33" i="1" s="1"/>
  <c r="BU33" i="13" s="1"/>
  <c r="BU38" i="13" s="1"/>
  <c r="BU40" i="13" s="1"/>
  <c r="BU67" i="1"/>
  <c r="BT74" i="1"/>
  <c r="BT80" i="1" s="1"/>
  <c r="BT83" i="1" s="1"/>
  <c r="BT85" i="1" s="1"/>
  <c r="BT87" i="1" s="1"/>
  <c r="BT33" i="1" s="1"/>
  <c r="BT33" i="13" s="1"/>
  <c r="BT38" i="13" s="1"/>
  <c r="BT40" i="13" s="1"/>
  <c r="BT67" i="1"/>
  <c r="BO74" i="1"/>
  <c r="BO80" i="1" s="1"/>
  <c r="BO83" i="1" s="1"/>
  <c r="BO85" i="1" s="1"/>
  <c r="BO87" i="1" s="1"/>
  <c r="BO33" i="1" s="1"/>
  <c r="BO38" i="1" s="1"/>
  <c r="BO40" i="1" s="1"/>
  <c r="BO67" i="1"/>
  <c r="BP74" i="1"/>
  <c r="BP80" i="1" s="1"/>
  <c r="BP83" i="1" s="1"/>
  <c r="BP85" i="1" s="1"/>
  <c r="BP87" i="1" s="1"/>
  <c r="BP33" i="1" s="1"/>
  <c r="BP33" i="13" s="1"/>
  <c r="BP38" i="13" s="1"/>
  <c r="BP40" i="13" s="1"/>
  <c r="BP67" i="1"/>
  <c r="BS74" i="1"/>
  <c r="BS80" i="1" s="1"/>
  <c r="BS83" i="1" s="1"/>
  <c r="BS85" i="1" s="1"/>
  <c r="BS87" i="1" s="1"/>
  <c r="BS33" i="1" s="1"/>
  <c r="BS67" i="1"/>
  <c r="BR74" i="1"/>
  <c r="BR80" i="1" s="1"/>
  <c r="BR83" i="1" s="1"/>
  <c r="BR85" i="1" s="1"/>
  <c r="BR87" i="1" s="1"/>
  <c r="BR33" i="1" s="1"/>
  <c r="BR67" i="1"/>
  <c r="AZ67" i="1"/>
  <c r="BI67" i="17"/>
  <c r="BM67" i="17"/>
  <c r="D74" i="13"/>
  <c r="D80" i="13" s="1"/>
  <c r="D83" i="13" s="1"/>
  <c r="D85" i="13" s="1"/>
  <c r="D87" i="13" s="1"/>
  <c r="F74" i="13"/>
  <c r="F80" i="13" s="1"/>
  <c r="F83" i="13" s="1"/>
  <c r="F85" i="13" s="1"/>
  <c r="F87" i="13" s="1"/>
  <c r="H74" i="13"/>
  <c r="H80" i="13" s="1"/>
  <c r="H83" i="13" s="1"/>
  <c r="H85" i="13" s="1"/>
  <c r="H87" i="13" s="1"/>
  <c r="L74" i="13"/>
  <c r="L80" i="13" s="1"/>
  <c r="L83" i="13" s="1"/>
  <c r="L85" i="13" s="1"/>
  <c r="L87" i="13" s="1"/>
  <c r="P74" i="13"/>
  <c r="P80" i="13" s="1"/>
  <c r="P83" i="13" s="1"/>
  <c r="P85" i="13" s="1"/>
  <c r="P87" i="13" s="1"/>
  <c r="T74" i="13"/>
  <c r="T80" i="13" s="1"/>
  <c r="T83" i="13" s="1"/>
  <c r="T85" i="13" s="1"/>
  <c r="T87" i="13" s="1"/>
  <c r="V74" i="13"/>
  <c r="V80" i="13" s="1"/>
  <c r="V83" i="13" s="1"/>
  <c r="V85" i="13" s="1"/>
  <c r="V87" i="13" s="1"/>
  <c r="X74" i="13"/>
  <c r="X80" i="13" s="1"/>
  <c r="X83" i="13" s="1"/>
  <c r="X85" i="13" s="1"/>
  <c r="X87" i="13" s="1"/>
  <c r="AD74" i="13"/>
  <c r="AD80" i="13" s="1"/>
  <c r="AD83" i="13" s="1"/>
  <c r="AD85" i="13" s="1"/>
  <c r="AD87" i="13" s="1"/>
  <c r="AF74" i="13"/>
  <c r="AF80" i="13" s="1"/>
  <c r="AF83" i="13" s="1"/>
  <c r="AF85" i="13" s="1"/>
  <c r="AF87" i="13" s="1"/>
  <c r="AI74" i="13"/>
  <c r="AI80" i="13" s="1"/>
  <c r="AI83" i="13" s="1"/>
  <c r="AI85" i="13" s="1"/>
  <c r="AI87" i="13" s="1"/>
  <c r="AK74" i="13"/>
  <c r="AK80" i="13" s="1"/>
  <c r="AK83" i="13" s="1"/>
  <c r="AK85" i="13" s="1"/>
  <c r="AK87" i="13" s="1"/>
  <c r="AS74" i="13"/>
  <c r="AU74" i="13"/>
  <c r="AU80" i="13" s="1"/>
  <c r="AU83" i="13" s="1"/>
  <c r="AU85" i="13" s="1"/>
  <c r="AU87" i="13" s="1"/>
  <c r="AW74" i="13"/>
  <c r="AW80" i="13" s="1"/>
  <c r="AW83" i="13" s="1"/>
  <c r="AW85" i="13" s="1"/>
  <c r="AW87" i="13" s="1"/>
  <c r="AY74" i="13"/>
  <c r="AY80" i="13" s="1"/>
  <c r="AY83" i="13" s="1"/>
  <c r="AY85" i="13" s="1"/>
  <c r="AY87" i="13" s="1"/>
  <c r="BA74" i="13"/>
  <c r="BA80" i="13" s="1"/>
  <c r="BA83" i="13" s="1"/>
  <c r="BB74" i="13"/>
  <c r="BB80" i="13" s="1"/>
  <c r="BB83" i="13" s="1"/>
  <c r="BB85" i="13" s="1"/>
  <c r="BB87" i="13" s="1"/>
  <c r="BD74" i="13"/>
  <c r="BD80" i="13" s="1"/>
  <c r="BD83" i="13" s="1"/>
  <c r="BD85" i="13" s="1"/>
  <c r="BD87" i="13" s="1"/>
  <c r="H74" i="17"/>
  <c r="H80" i="17" s="1"/>
  <c r="H83" i="17" s="1"/>
  <c r="H85" i="17" s="1"/>
  <c r="H87" i="17" s="1"/>
  <c r="H33" i="17" s="1"/>
  <c r="H38" i="17" s="1"/>
  <c r="H40" i="17" s="1"/>
  <c r="BQ74" i="1"/>
  <c r="BQ80" i="1" s="1"/>
  <c r="BQ83" i="1" s="1"/>
  <c r="BQ85" i="1" s="1"/>
  <c r="BQ87" i="1" s="1"/>
  <c r="BQ33" i="1" s="1"/>
  <c r="BQ67" i="1"/>
  <c r="E38" i="17"/>
  <c r="E40" i="17" s="1"/>
  <c r="I38" i="17"/>
  <c r="I40" i="17" s="1"/>
  <c r="O38" i="17"/>
  <c r="O40" i="17" s="1"/>
  <c r="S38" i="17"/>
  <c r="S40" i="17" s="1"/>
  <c r="W38" i="17"/>
  <c r="W40" i="17" s="1"/>
  <c r="BN74" i="1"/>
  <c r="BN80" i="1" s="1"/>
  <c r="BN83" i="1" s="1"/>
  <c r="BN85" i="1" s="1"/>
  <c r="BN87" i="1" s="1"/>
  <c r="BN33" i="1" s="1"/>
  <c r="BN33" i="13" s="1"/>
  <c r="BN38" i="13" s="1"/>
  <c r="BN40" i="13" s="1"/>
  <c r="J72" i="16"/>
  <c r="N72" i="16" s="1"/>
  <c r="BN67" i="1"/>
  <c r="J70" i="16"/>
  <c r="N70" i="16" s="1"/>
  <c r="BI74" i="17"/>
  <c r="BI80" i="17" s="1"/>
  <c r="BI83" i="17" s="1"/>
  <c r="BI85" i="17" s="1"/>
  <c r="BI87" i="17" s="1"/>
  <c r="BI33" i="17" s="1"/>
  <c r="BC67" i="13"/>
  <c r="J63" i="16" s="1"/>
  <c r="N63" i="16" s="1"/>
  <c r="AV67" i="13"/>
  <c r="J55" i="16" s="1"/>
  <c r="N55" i="16" s="1"/>
  <c r="AV67" i="1"/>
  <c r="V74" i="17"/>
  <c r="V80" i="17" s="1"/>
  <c r="V83" i="17" s="1"/>
  <c r="V85" i="17" s="1"/>
  <c r="V87" i="17" s="1"/>
  <c r="V33" i="17" s="1"/>
  <c r="V38" i="17" s="1"/>
  <c r="V40" i="17" s="1"/>
  <c r="Q67" i="17"/>
  <c r="N74" i="17"/>
  <c r="N80" i="17" s="1"/>
  <c r="N83" i="17" s="1"/>
  <c r="N85" i="17" s="1"/>
  <c r="N87" i="17" s="1"/>
  <c r="N33" i="17" s="1"/>
  <c r="N38" i="17" s="1"/>
  <c r="N40" i="17" s="1"/>
  <c r="N74" i="13"/>
  <c r="N80" i="13" s="1"/>
  <c r="N83" i="13" s="1"/>
  <c r="N85" i="13" s="1"/>
  <c r="N87" i="13" s="1"/>
  <c r="N93" i="13" s="1"/>
  <c r="F67" i="17"/>
  <c r="D67" i="13"/>
  <c r="J14" i="16" s="1"/>
  <c r="N14" i="16" s="1"/>
  <c r="F67" i="13"/>
  <c r="J16" i="16" s="1"/>
  <c r="N16" i="16" s="1"/>
  <c r="H67" i="13"/>
  <c r="J18" i="16" s="1"/>
  <c r="N18" i="16" s="1"/>
  <c r="L67" i="13"/>
  <c r="J24" i="16" s="1"/>
  <c r="N24" i="16" s="1"/>
  <c r="N67" i="13"/>
  <c r="J26" i="16" s="1"/>
  <c r="N26" i="16" s="1"/>
  <c r="P67" i="13"/>
  <c r="J28" i="16" s="1"/>
  <c r="N28" i="16" s="1"/>
  <c r="R67" i="13"/>
  <c r="J30" i="16" s="1"/>
  <c r="N30" i="16" s="1"/>
  <c r="T67" i="13"/>
  <c r="J32" i="16" s="1"/>
  <c r="N32" i="16" s="1"/>
  <c r="V67" i="13"/>
  <c r="J34" i="16" s="1"/>
  <c r="N34" i="16" s="1"/>
  <c r="X67" i="13"/>
  <c r="J36" i="16" s="1"/>
  <c r="N36" i="16" s="1"/>
  <c r="AD67" i="13"/>
  <c r="J39" i="16" s="1"/>
  <c r="N39" i="16" s="1"/>
  <c r="AF67" i="13"/>
  <c r="J41" i="16" s="1"/>
  <c r="N41" i="16" s="1"/>
  <c r="AI67" i="13"/>
  <c r="AK67" i="13"/>
  <c r="AS67" i="13"/>
  <c r="J52" i="16" s="1"/>
  <c r="N52" i="16" s="1"/>
  <c r="AU67" i="13"/>
  <c r="J54" i="16" s="1"/>
  <c r="N54" i="16" s="1"/>
  <c r="AW67" i="13"/>
  <c r="J56" i="16" s="1"/>
  <c r="N56" i="16" s="1"/>
  <c r="AY67" i="13"/>
  <c r="BA67" i="13"/>
  <c r="J59" i="16" s="1"/>
  <c r="N59" i="16" s="1"/>
  <c r="BB67" i="13"/>
  <c r="J62" i="16" s="1"/>
  <c r="N62" i="16" s="1"/>
  <c r="BD67" i="13"/>
  <c r="J64" i="16" s="1"/>
  <c r="N64" i="16" s="1"/>
  <c r="J67" i="16"/>
  <c r="N67" i="16" s="1"/>
  <c r="J69" i="16"/>
  <c r="N69" i="16" s="1"/>
  <c r="J71" i="16"/>
  <c r="N71" i="16" s="1"/>
  <c r="L38" i="17"/>
  <c r="L40" i="17" s="1"/>
  <c r="T38" i="17"/>
  <c r="T40" i="17" s="1"/>
  <c r="BM38" i="17"/>
  <c r="BM40" i="17" s="1"/>
  <c r="BU38" i="17"/>
  <c r="BU40" i="17" s="1"/>
  <c r="BU67" i="17"/>
  <c r="BL74" i="1"/>
  <c r="BL80" i="1" s="1"/>
  <c r="BL83" i="1" s="1"/>
  <c r="BL85" i="1" s="1"/>
  <c r="BL87" i="1" s="1"/>
  <c r="BL33" i="1" s="1"/>
  <c r="BL67" i="1"/>
  <c r="AH74" i="1"/>
  <c r="AH80" i="1" s="1"/>
  <c r="AH83" i="1" s="1"/>
  <c r="AH85" i="1" s="1"/>
  <c r="AH87" i="1" s="1"/>
  <c r="AH33" i="1" s="1"/>
  <c r="I74" i="1"/>
  <c r="I80" i="1" s="1"/>
  <c r="I83" i="1" s="1"/>
  <c r="I85" i="1" s="1"/>
  <c r="I87" i="1" s="1"/>
  <c r="I33" i="1" s="1"/>
  <c r="I33" i="13" s="1"/>
  <c r="I38" i="13" s="1"/>
  <c r="I40" i="13" s="1"/>
  <c r="I19" i="16" s="1"/>
  <c r="M19" i="16" s="1"/>
  <c r="I67" i="1"/>
  <c r="W74" i="1"/>
  <c r="W80" i="1" s="1"/>
  <c r="W83" i="1" s="1"/>
  <c r="W85" i="1" s="1"/>
  <c r="W87" i="1" s="1"/>
  <c r="W33" i="1" s="1"/>
  <c r="W33" i="13" s="1"/>
  <c r="W38" i="13" s="1"/>
  <c r="W40" i="13" s="1"/>
  <c r="W67" i="1"/>
  <c r="AE74" i="1"/>
  <c r="AE80" i="1" s="1"/>
  <c r="AE83" i="1" s="1"/>
  <c r="AE85" i="1" s="1"/>
  <c r="AE87" i="1" s="1"/>
  <c r="AE33" i="1" s="1"/>
  <c r="AE67" i="1"/>
  <c r="AF74" i="1"/>
  <c r="AF80" i="1" s="1"/>
  <c r="AF83" i="1" s="1"/>
  <c r="AF85" i="1" s="1"/>
  <c r="AF87" i="1" s="1"/>
  <c r="AF33" i="1" s="1"/>
  <c r="AF38" i="1" s="1"/>
  <c r="AF40" i="1" s="1"/>
  <c r="AF67" i="1"/>
  <c r="AK74" i="1"/>
  <c r="AK80" i="1" s="1"/>
  <c r="AK83" i="1" s="1"/>
  <c r="AK85" i="1" s="1"/>
  <c r="AK87" i="1" s="1"/>
  <c r="AK33" i="1" s="1"/>
  <c r="AK67" i="1"/>
  <c r="AJ74" i="1"/>
  <c r="AJ80" i="1" s="1"/>
  <c r="AJ83" i="1" s="1"/>
  <c r="AJ85" i="1" s="1"/>
  <c r="AJ87" i="1" s="1"/>
  <c r="AJ33" i="1" s="1"/>
  <c r="AJ67" i="1"/>
  <c r="N74" i="1"/>
  <c r="N80" i="1" s="1"/>
  <c r="N83" i="1" s="1"/>
  <c r="N85" i="1" s="1"/>
  <c r="N87" i="1" s="1"/>
  <c r="N33" i="1" s="1"/>
  <c r="N38" i="1" s="1"/>
  <c r="N40" i="1" s="1"/>
  <c r="N67" i="1"/>
  <c r="O74" i="1"/>
  <c r="O80" i="1" s="1"/>
  <c r="O83" i="1" s="1"/>
  <c r="O85" i="1" s="1"/>
  <c r="O87" i="1" s="1"/>
  <c r="O33" i="1" s="1"/>
  <c r="O67" i="1"/>
  <c r="E65" i="1"/>
  <c r="E54" i="1"/>
  <c r="E29" i="1"/>
  <c r="E16" i="1"/>
  <c r="AH38" i="17" l="1"/>
  <c r="AH40" i="17" s="1"/>
  <c r="G27" i="11"/>
  <c r="BQ33" i="13"/>
  <c r="BQ38" i="13" s="1"/>
  <c r="BQ40" i="13" s="1"/>
  <c r="BR33" i="13"/>
  <c r="BR38" i="13" s="1"/>
  <c r="BR40" i="13" s="1"/>
  <c r="C27" i="16"/>
  <c r="C59" i="16"/>
  <c r="X33" i="13"/>
  <c r="X38" i="13" s="1"/>
  <c r="X40" i="13" s="1"/>
  <c r="I35" i="16" s="1"/>
  <c r="M35" i="16" s="1"/>
  <c r="C26" i="16"/>
  <c r="C29" i="16"/>
  <c r="C30" i="16"/>
  <c r="C33" i="16"/>
  <c r="AI33" i="13"/>
  <c r="AI38" i="13" s="1"/>
  <c r="AI40" i="13" s="1"/>
  <c r="C28" i="16"/>
  <c r="C32" i="16"/>
  <c r="C25" i="16"/>
  <c r="J46" i="16"/>
  <c r="AE33" i="13"/>
  <c r="AE38" i="13" s="1"/>
  <c r="AE40" i="13" s="1"/>
  <c r="I40" i="16" s="1"/>
  <c r="M40" i="16" s="1"/>
  <c r="C34" i="16"/>
  <c r="C31" i="16"/>
  <c r="BS38" i="1"/>
  <c r="BS40" i="1" s="1"/>
  <c r="BS33" i="13"/>
  <c r="BS38" i="13" s="1"/>
  <c r="BS40" i="13" s="1"/>
  <c r="BO33" i="13"/>
  <c r="BO38" i="13" s="1"/>
  <c r="BO40" i="13" s="1"/>
  <c r="BM33" i="13"/>
  <c r="BM38" i="13" s="1"/>
  <c r="BM40" i="13" s="1"/>
  <c r="I71" i="16" s="1"/>
  <c r="M71" i="16" s="1"/>
  <c r="C52" i="16"/>
  <c r="C55" i="16"/>
  <c r="C56" i="16"/>
  <c r="C57" i="16"/>
  <c r="C53" i="16"/>
  <c r="C54" i="16"/>
  <c r="C41" i="16"/>
  <c r="C42" i="16"/>
  <c r="C40" i="16"/>
  <c r="C39" i="16"/>
  <c r="C13" i="16"/>
  <c r="C16" i="16"/>
  <c r="C14" i="16"/>
  <c r="C20" i="16"/>
  <c r="C19" i="16"/>
  <c r="C21" i="16"/>
  <c r="C15" i="16"/>
  <c r="C17" i="16"/>
  <c r="C18" i="16"/>
  <c r="BA85" i="13"/>
  <c r="BA87" i="13" s="1"/>
  <c r="BI33" i="13"/>
  <c r="BI38" i="13" s="1"/>
  <c r="BI40" i="13" s="1"/>
  <c r="I67" i="16" s="1"/>
  <c r="M67" i="16" s="1"/>
  <c r="BJ38" i="17"/>
  <c r="BJ40" i="17" s="1"/>
  <c r="BL38" i="17"/>
  <c r="BL40" i="17" s="1"/>
  <c r="BL33" i="13"/>
  <c r="BL38" i="13" s="1"/>
  <c r="BL40" i="13" s="1"/>
  <c r="I70" i="16" s="1"/>
  <c r="M70" i="16" s="1"/>
  <c r="BK38" i="17"/>
  <c r="BK40" i="17" s="1"/>
  <c r="BK33" i="13"/>
  <c r="BK38" i="13" s="1"/>
  <c r="BK40" i="13" s="1"/>
  <c r="I69" i="16" s="1"/>
  <c r="M69" i="16" s="1"/>
  <c r="AZ33" i="13"/>
  <c r="AZ38" i="13" s="1"/>
  <c r="AZ40" i="13" s="1"/>
  <c r="I58" i="16" s="1"/>
  <c r="M58" i="16" s="1"/>
  <c r="BA33" i="13"/>
  <c r="Q87" i="17"/>
  <c r="Q33" i="17" s="1"/>
  <c r="Q38" i="17" s="1"/>
  <c r="Q40" i="17" s="1"/>
  <c r="AV33" i="13"/>
  <c r="AV38" i="13" s="1"/>
  <c r="AV40" i="13" s="1"/>
  <c r="I55" i="16" s="1"/>
  <c r="M55" i="16" s="1"/>
  <c r="BU38" i="1"/>
  <c r="BU40" i="1" s="1"/>
  <c r="BP38" i="1"/>
  <c r="BP40" i="1" s="1"/>
  <c r="BA38" i="1"/>
  <c r="BA40" i="1" s="1"/>
  <c r="BQ38" i="1"/>
  <c r="BQ40" i="1" s="1"/>
  <c r="I38" i="1"/>
  <c r="I40" i="1" s="1"/>
  <c r="I72" i="16"/>
  <c r="M72" i="16" s="1"/>
  <c r="J66" i="16"/>
  <c r="N66" i="16" s="1"/>
  <c r="AJ33" i="13"/>
  <c r="AJ38" i="13" s="1"/>
  <c r="AJ40" i="13" s="1"/>
  <c r="BG38" i="17"/>
  <c r="BG40" i="17" s="1"/>
  <c r="BK38" i="1"/>
  <c r="BK40" i="1" s="1"/>
  <c r="AT33" i="13"/>
  <c r="AT38" i="13" s="1"/>
  <c r="AT40" i="13" s="1"/>
  <c r="I53" i="16" s="1"/>
  <c r="M53" i="16" s="1"/>
  <c r="AZ38" i="1"/>
  <c r="AZ40" i="1" s="1"/>
  <c r="BR38" i="1"/>
  <c r="BR40" i="1" s="1"/>
  <c r="BT38" i="1"/>
  <c r="BT40" i="1" s="1"/>
  <c r="AI38" i="1"/>
  <c r="AI40" i="1" s="1"/>
  <c r="AJ38" i="1"/>
  <c r="AJ40" i="1" s="1"/>
  <c r="BM38" i="1"/>
  <c r="BM40" i="1" s="1"/>
  <c r="BN38" i="1"/>
  <c r="BN40" i="1" s="1"/>
  <c r="J37" i="16"/>
  <c r="N37" i="16" s="1"/>
  <c r="AE38" i="1"/>
  <c r="AE40" i="1" s="1"/>
  <c r="W38" i="1"/>
  <c r="W40" i="1" s="1"/>
  <c r="BI38" i="17"/>
  <c r="BI40" i="17" s="1"/>
  <c r="AK38" i="1"/>
  <c r="AK40" i="1" s="1"/>
  <c r="AK33" i="13"/>
  <c r="AK38" i="13" s="1"/>
  <c r="AK40" i="13" s="1"/>
  <c r="N33" i="13"/>
  <c r="N38" i="13" s="1"/>
  <c r="N40" i="13" s="1"/>
  <c r="I26" i="16" s="1"/>
  <c r="M26" i="16" s="1"/>
  <c r="AH38" i="1"/>
  <c r="AH40" i="1" s="1"/>
  <c r="AH33" i="13"/>
  <c r="AH38" i="13" s="1"/>
  <c r="AH40" i="13" s="1"/>
  <c r="I45" i="16" s="1"/>
  <c r="M45" i="16" s="1"/>
  <c r="AF33" i="13"/>
  <c r="AF38" i="13" s="1"/>
  <c r="AF40" i="13" s="1"/>
  <c r="I41" i="16" s="1"/>
  <c r="M41" i="16" s="1"/>
  <c r="J73" i="16"/>
  <c r="N73" i="16" s="1"/>
  <c r="BL38" i="1"/>
  <c r="BL40" i="1" s="1"/>
  <c r="O38" i="1"/>
  <c r="O40" i="1" s="1"/>
  <c r="O33" i="13"/>
  <c r="O38" i="13" s="1"/>
  <c r="O40" i="13" s="1"/>
  <c r="I27" i="16" s="1"/>
  <c r="M27" i="16" s="1"/>
  <c r="C85" i="17"/>
  <c r="E74" i="1"/>
  <c r="E80" i="1" s="1"/>
  <c r="E83" i="1" s="1"/>
  <c r="E85" i="1" s="1"/>
  <c r="E87" i="1" s="1"/>
  <c r="E33" i="1" s="1"/>
  <c r="E67" i="1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J50" i="16" l="1"/>
  <c r="N50" i="16" s="1"/>
  <c r="N46" i="16"/>
  <c r="A49" i="16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I73" i="16"/>
  <c r="M73" i="16" s="1"/>
  <c r="I46" i="16"/>
  <c r="M46" i="16" s="1"/>
  <c r="BA38" i="13"/>
  <c r="BA40" i="13" s="1"/>
  <c r="I59" i="16" s="1"/>
  <c r="M59" i="16" s="1"/>
  <c r="E38" i="1"/>
  <c r="E40" i="1" s="1"/>
  <c r="E33" i="13"/>
  <c r="E38" i="13" s="1"/>
  <c r="E40" i="13" s="1"/>
  <c r="I15" i="16" s="1"/>
  <c r="M15" i="16" s="1"/>
  <c r="C87" i="17"/>
  <c r="C33" i="17" l="1"/>
  <c r="H28" i="10"/>
  <c r="C38" i="17" l="1"/>
  <c r="C40" i="17" l="1"/>
  <c r="Q82" i="15" l="1"/>
  <c r="Q79" i="15"/>
  <c r="Q73" i="15"/>
  <c r="Q65" i="15"/>
  <c r="O63" i="15"/>
  <c r="Q63" i="15" s="1"/>
  <c r="Q55" i="15"/>
  <c r="Q54" i="15"/>
  <c r="Q41" i="15"/>
  <c r="Q40" i="15"/>
  <c r="Q38" i="15"/>
  <c r="Q17" i="15"/>
  <c r="Q16" i="15"/>
  <c r="C73" i="15"/>
  <c r="E14" i="12" l="1"/>
  <c r="F19" i="15" s="1"/>
  <c r="I21" i="12"/>
  <c r="J26" i="15" s="1"/>
  <c r="I20" i="12"/>
  <c r="J25" i="15" s="1"/>
  <c r="I19" i="12"/>
  <c r="J24" i="15" s="1"/>
  <c r="I18" i="12"/>
  <c r="J23" i="15" s="1"/>
  <c r="I17" i="12"/>
  <c r="J22" i="15" s="1"/>
  <c r="I16" i="12"/>
  <c r="J21" i="15" s="1"/>
  <c r="I15" i="12"/>
  <c r="J20" i="15" s="1"/>
  <c r="I14" i="12"/>
  <c r="J19" i="15" s="1"/>
  <c r="I13" i="12"/>
  <c r="J18" i="15" s="1"/>
  <c r="I9" i="12"/>
  <c r="J14" i="15" s="1"/>
  <c r="I8" i="12"/>
  <c r="J13" i="15" s="1"/>
  <c r="I7" i="12"/>
  <c r="J12" i="15" s="1"/>
  <c r="I6" i="12"/>
  <c r="J11" i="15" s="1"/>
  <c r="E21" i="12"/>
  <c r="F26" i="15" s="1"/>
  <c r="E8" i="12"/>
  <c r="F13" i="15" s="1"/>
  <c r="E7" i="12"/>
  <c r="F12" i="15" s="1"/>
  <c r="E6" i="12"/>
  <c r="F11" i="15" s="1"/>
  <c r="F65" i="1" l="1"/>
  <c r="F54" i="1"/>
  <c r="F29" i="1"/>
  <c r="F16" i="1"/>
  <c r="F67" i="1" l="1"/>
  <c r="F74" i="1"/>
  <c r="F80" i="1" s="1"/>
  <c r="F83" i="1" s="1"/>
  <c r="F85" i="1" s="1"/>
  <c r="F87" i="1" s="1"/>
  <c r="F33" i="1" s="1"/>
  <c r="F33" i="13" s="1"/>
  <c r="F38" i="13" s="1"/>
  <c r="F40" i="13" s="1"/>
  <c r="I16" i="16" s="1"/>
  <c r="M16" i="16" s="1"/>
  <c r="F38" i="1" l="1"/>
  <c r="F40" i="1" s="1"/>
  <c r="I22" i="12" l="1"/>
  <c r="J27" i="15" s="1"/>
  <c r="E9" i="12" l="1"/>
  <c r="F14" i="15" s="1"/>
  <c r="E20" i="12" l="1"/>
  <c r="E18" i="12"/>
  <c r="E19" i="12"/>
  <c r="F25" i="15" l="1"/>
  <c r="F24" i="15"/>
  <c r="F23" i="15"/>
  <c r="AD65" i="1"/>
  <c r="AD54" i="1"/>
  <c r="AD29" i="1"/>
  <c r="S65" i="1" l="1"/>
  <c r="T65" i="1"/>
  <c r="U65" i="1"/>
  <c r="V65" i="1"/>
  <c r="S54" i="1"/>
  <c r="T54" i="1"/>
  <c r="U54" i="1"/>
  <c r="V54" i="1"/>
  <c r="S29" i="1"/>
  <c r="T29" i="1"/>
  <c r="U29" i="1"/>
  <c r="S16" i="1"/>
  <c r="T16" i="1"/>
  <c r="U16" i="1"/>
  <c r="V16" i="1"/>
  <c r="S74" i="1" l="1"/>
  <c r="S80" i="1" s="1"/>
  <c r="S83" i="1" s="1"/>
  <c r="S85" i="1" s="1"/>
  <c r="S87" i="1" s="1"/>
  <c r="S33" i="1" s="1"/>
  <c r="S33" i="13" s="1"/>
  <c r="S38" i="13" s="1"/>
  <c r="S40" i="13" s="1"/>
  <c r="I31" i="16" s="1"/>
  <c r="M31" i="16" s="1"/>
  <c r="U74" i="1"/>
  <c r="U80" i="1" s="1"/>
  <c r="U83" i="1" s="1"/>
  <c r="U85" i="1" s="1"/>
  <c r="U87" i="1" s="1"/>
  <c r="U33" i="1" s="1"/>
  <c r="U33" i="13" s="1"/>
  <c r="U38" i="13" s="1"/>
  <c r="U40" i="13" s="1"/>
  <c r="I33" i="16" s="1"/>
  <c r="M33" i="16" s="1"/>
  <c r="V67" i="1"/>
  <c r="T67" i="1"/>
  <c r="U67" i="1"/>
  <c r="S67" i="1"/>
  <c r="T74" i="1"/>
  <c r="T80" i="1" s="1"/>
  <c r="T83" i="1" s="1"/>
  <c r="T85" i="1" s="1"/>
  <c r="T87" i="1" s="1"/>
  <c r="T33" i="1" s="1"/>
  <c r="T33" i="13" s="1"/>
  <c r="T38" i="13" s="1"/>
  <c r="T40" i="13" s="1"/>
  <c r="I32" i="16" s="1"/>
  <c r="M32" i="16" s="1"/>
  <c r="V74" i="1"/>
  <c r="V80" i="1" s="1"/>
  <c r="V83" i="1" s="1"/>
  <c r="V85" i="1" s="1"/>
  <c r="V87" i="1" s="1"/>
  <c r="V33" i="1" s="1"/>
  <c r="V33" i="13" l="1"/>
  <c r="V38" i="13" s="1"/>
  <c r="V40" i="13" s="1"/>
  <c r="I34" i="16" s="1"/>
  <c r="M34" i="16" s="1"/>
  <c r="V38" i="1"/>
  <c r="V40" i="1" s="1"/>
  <c r="U38" i="1"/>
  <c r="U40" i="1" s="1"/>
  <c r="S38" i="1"/>
  <c r="S40" i="1" s="1"/>
  <c r="T38" i="1"/>
  <c r="T40" i="1" s="1"/>
  <c r="C16" i="13" l="1"/>
  <c r="C65" i="13"/>
  <c r="C54" i="13"/>
  <c r="C29" i="13"/>
  <c r="C67" i="13" l="1"/>
  <c r="C74" i="13"/>
  <c r="J13" i="16" l="1"/>
  <c r="J43" i="16"/>
  <c r="N43" i="16" s="1"/>
  <c r="C80" i="13"/>
  <c r="J22" i="16" l="1"/>
  <c r="N22" i="16" s="1"/>
  <c r="N13" i="16"/>
  <c r="C83" i="13"/>
  <c r="C85" i="13" l="1"/>
  <c r="I68" i="12"/>
  <c r="J73" i="15" s="1"/>
  <c r="H68" i="12"/>
  <c r="I73" i="15" s="1"/>
  <c r="G68" i="12"/>
  <c r="H73" i="15" s="1"/>
  <c r="F68" i="12"/>
  <c r="G73" i="15" s="1"/>
  <c r="I75" i="12"/>
  <c r="J80" i="15" s="1"/>
  <c r="H75" i="12"/>
  <c r="I80" i="15" s="1"/>
  <c r="G75" i="12"/>
  <c r="H80" i="15" s="1"/>
  <c r="F75" i="12"/>
  <c r="G80" i="15" s="1"/>
  <c r="E75" i="12"/>
  <c r="F80" i="15" s="1"/>
  <c r="D75" i="12"/>
  <c r="E80" i="15" s="1"/>
  <c r="M80" i="15" s="1"/>
  <c r="O80" i="15" s="1"/>
  <c r="Q80" i="15" s="1"/>
  <c r="I28" i="12"/>
  <c r="J33" i="15" s="1"/>
  <c r="H28" i="12"/>
  <c r="I33" i="15" s="1"/>
  <c r="G28" i="12"/>
  <c r="H33" i="15" s="1"/>
  <c r="F28" i="12"/>
  <c r="G33" i="15" s="1"/>
  <c r="E28" i="12"/>
  <c r="I70" i="12"/>
  <c r="J75" i="15" s="1"/>
  <c r="I52" i="12"/>
  <c r="J57" i="15" s="1"/>
  <c r="I47" i="12"/>
  <c r="J52" i="15" s="1"/>
  <c r="I41" i="12"/>
  <c r="J46" i="15" s="1"/>
  <c r="I38" i="12"/>
  <c r="I26" i="12"/>
  <c r="J31" i="15" s="1"/>
  <c r="H22" i="12"/>
  <c r="I27" i="15" s="1"/>
  <c r="H21" i="12"/>
  <c r="I26" i="15" s="1"/>
  <c r="H20" i="12"/>
  <c r="I25" i="15" s="1"/>
  <c r="H19" i="12"/>
  <c r="I24" i="15" s="1"/>
  <c r="H18" i="12"/>
  <c r="I23" i="15" s="1"/>
  <c r="H17" i="12"/>
  <c r="I22" i="15" s="1"/>
  <c r="H16" i="12"/>
  <c r="I21" i="15" s="1"/>
  <c r="H15" i="12"/>
  <c r="I20" i="15" s="1"/>
  <c r="H14" i="12"/>
  <c r="I19" i="15" s="1"/>
  <c r="H13" i="12"/>
  <c r="I18" i="15" s="1"/>
  <c r="H9" i="12"/>
  <c r="I14" i="15" s="1"/>
  <c r="H8" i="12"/>
  <c r="I13" i="15" s="1"/>
  <c r="H7" i="12"/>
  <c r="I12" i="15" s="1"/>
  <c r="H6" i="12"/>
  <c r="I11" i="15" s="1"/>
  <c r="E69" i="12"/>
  <c r="F74" i="15" s="1"/>
  <c r="E54" i="12"/>
  <c r="F59" i="15" s="1"/>
  <c r="E46" i="12"/>
  <c r="F51" i="15" s="1"/>
  <c r="I75" i="11"/>
  <c r="I28" i="11" s="1"/>
  <c r="H75" i="11"/>
  <c r="H28" i="11" s="1"/>
  <c r="G75" i="11"/>
  <c r="F75" i="11"/>
  <c r="F28" i="11" s="1"/>
  <c r="E75" i="11"/>
  <c r="E28" i="11" s="1"/>
  <c r="D75" i="11"/>
  <c r="D28" i="11" s="1"/>
  <c r="C28" i="11" s="1"/>
  <c r="F59" i="11"/>
  <c r="H48" i="11"/>
  <c r="E10" i="11"/>
  <c r="I79" i="12"/>
  <c r="I54" i="12"/>
  <c r="J59" i="15" s="1"/>
  <c r="I46" i="12"/>
  <c r="J51" i="15" s="1"/>
  <c r="I40" i="12"/>
  <c r="J45" i="15" s="1"/>
  <c r="I30" i="12"/>
  <c r="J35" i="15" s="1"/>
  <c r="H72" i="12"/>
  <c r="I77" i="15" s="1"/>
  <c r="H56" i="12"/>
  <c r="I61" i="15" s="1"/>
  <c r="H54" i="12"/>
  <c r="I59" i="15" s="1"/>
  <c r="H51" i="12"/>
  <c r="I56" i="15" s="1"/>
  <c r="H46" i="12"/>
  <c r="I51" i="15" s="1"/>
  <c r="H44" i="12"/>
  <c r="I49" i="15" s="1"/>
  <c r="H42" i="12"/>
  <c r="I47" i="15" s="1"/>
  <c r="H40" i="12"/>
  <c r="I45" i="15" s="1"/>
  <c r="H38" i="12"/>
  <c r="I43" i="15" s="1"/>
  <c r="H31" i="12"/>
  <c r="I36" i="15" s="1"/>
  <c r="H24" i="12"/>
  <c r="I29" i="15" s="1"/>
  <c r="G22" i="12"/>
  <c r="H27" i="15" s="1"/>
  <c r="G21" i="12"/>
  <c r="H26" i="15" s="1"/>
  <c r="G20" i="12"/>
  <c r="H25" i="15" s="1"/>
  <c r="G19" i="12"/>
  <c r="H24" i="15" s="1"/>
  <c r="G18" i="12"/>
  <c r="H23" i="15" s="1"/>
  <c r="G17" i="12"/>
  <c r="H22" i="15" s="1"/>
  <c r="G16" i="12"/>
  <c r="H21" i="15" s="1"/>
  <c r="G15" i="12"/>
  <c r="H20" i="15" s="1"/>
  <c r="G14" i="12"/>
  <c r="H19" i="15" s="1"/>
  <c r="G13" i="12"/>
  <c r="H18" i="15" s="1"/>
  <c r="G9" i="12"/>
  <c r="H14" i="15" s="1"/>
  <c r="G8" i="12"/>
  <c r="H13" i="15" s="1"/>
  <c r="G7" i="12"/>
  <c r="H12" i="15" s="1"/>
  <c r="G6" i="12"/>
  <c r="H11" i="15" s="1"/>
  <c r="F56" i="12"/>
  <c r="G61" i="15" s="1"/>
  <c r="F55" i="12"/>
  <c r="G60" i="15" s="1"/>
  <c r="F52" i="12"/>
  <c r="G57" i="15" s="1"/>
  <c r="F31" i="12"/>
  <c r="G36" i="15" s="1"/>
  <c r="F30" i="12"/>
  <c r="G35" i="15" s="1"/>
  <c r="F25" i="12"/>
  <c r="G30" i="15" s="1"/>
  <c r="F22" i="12"/>
  <c r="G27" i="15" s="1"/>
  <c r="F21" i="12"/>
  <c r="G26" i="15" s="1"/>
  <c r="F20" i="12"/>
  <c r="G25" i="15" s="1"/>
  <c r="F19" i="12"/>
  <c r="G24" i="15" s="1"/>
  <c r="F18" i="12"/>
  <c r="G23" i="15" s="1"/>
  <c r="F15" i="12"/>
  <c r="G20" i="15" s="1"/>
  <c r="F14" i="12"/>
  <c r="G19" i="15" s="1"/>
  <c r="F7" i="12"/>
  <c r="G12" i="15" s="1"/>
  <c r="F6" i="12"/>
  <c r="G11" i="15" s="1"/>
  <c r="E56" i="12"/>
  <c r="F61" i="15" s="1"/>
  <c r="E51" i="12"/>
  <c r="F56" i="15" s="1"/>
  <c r="E44" i="12"/>
  <c r="F49" i="15" s="1"/>
  <c r="E40" i="12"/>
  <c r="F45" i="15" s="1"/>
  <c r="E38" i="12"/>
  <c r="F43" i="15" s="1"/>
  <c r="E37" i="12"/>
  <c r="F42" i="15" s="1"/>
  <c r="E31" i="12"/>
  <c r="F36" i="15" s="1"/>
  <c r="E30" i="12"/>
  <c r="F35" i="15" s="1"/>
  <c r="E26" i="12"/>
  <c r="F31" i="15" s="1"/>
  <c r="E25" i="12"/>
  <c r="F30" i="15" s="1"/>
  <c r="E24" i="12"/>
  <c r="D75" i="10"/>
  <c r="D52" i="12"/>
  <c r="E57" i="15" s="1"/>
  <c r="D51" i="12"/>
  <c r="E56" i="15" s="1"/>
  <c r="D47" i="12"/>
  <c r="D46" i="12"/>
  <c r="D45" i="12"/>
  <c r="E50" i="15" s="1"/>
  <c r="D44" i="12"/>
  <c r="E49" i="15" s="1"/>
  <c r="D43" i="12"/>
  <c r="E48" i="15" s="1"/>
  <c r="D42" i="12"/>
  <c r="E47" i="15" s="1"/>
  <c r="D41" i="12"/>
  <c r="D40" i="12"/>
  <c r="D39" i="12"/>
  <c r="E44" i="15" s="1"/>
  <c r="D38" i="12"/>
  <c r="E43" i="15" s="1"/>
  <c r="D37" i="12"/>
  <c r="E42" i="15" s="1"/>
  <c r="D31" i="12"/>
  <c r="D30" i="12"/>
  <c r="D22" i="12"/>
  <c r="D21" i="12"/>
  <c r="D20" i="12"/>
  <c r="D19" i="12"/>
  <c r="D18" i="12"/>
  <c r="D16" i="12"/>
  <c r="E21" i="15" s="1"/>
  <c r="D15" i="12"/>
  <c r="D14" i="12"/>
  <c r="D13" i="12"/>
  <c r="E18" i="15" s="1"/>
  <c r="D8" i="12"/>
  <c r="E13" i="15" s="1"/>
  <c r="D7" i="12"/>
  <c r="I75" i="10"/>
  <c r="H75" i="10"/>
  <c r="G75" i="10"/>
  <c r="F75" i="10"/>
  <c r="E75" i="10"/>
  <c r="H48" i="10"/>
  <c r="I28" i="10"/>
  <c r="G28" i="10"/>
  <c r="F28" i="10"/>
  <c r="E28" i="10"/>
  <c r="I56" i="12"/>
  <c r="I57" i="12"/>
  <c r="J62" i="15" s="1"/>
  <c r="I45" i="12"/>
  <c r="I43" i="12"/>
  <c r="F72" i="12"/>
  <c r="G77" i="15" s="1"/>
  <c r="F71" i="12"/>
  <c r="G76" i="15" s="1"/>
  <c r="F51" i="12"/>
  <c r="F29" i="12"/>
  <c r="G34" i="15" s="1"/>
  <c r="F26" i="12"/>
  <c r="F9" i="12"/>
  <c r="G14" i="15" s="1"/>
  <c r="F57" i="12"/>
  <c r="G62" i="15" s="1"/>
  <c r="D17" i="12"/>
  <c r="E22" i="15" s="1"/>
  <c r="D9" i="12"/>
  <c r="D53" i="12"/>
  <c r="D6" i="12"/>
  <c r="F8" i="12"/>
  <c r="F17" i="12"/>
  <c r="F16" i="12"/>
  <c r="F13" i="12"/>
  <c r="C75" i="10" l="1"/>
  <c r="C28" i="10"/>
  <c r="E12" i="15"/>
  <c r="C7" i="12"/>
  <c r="E23" i="15"/>
  <c r="C18" i="12"/>
  <c r="E19" i="15"/>
  <c r="C14" i="12"/>
  <c r="E24" i="15"/>
  <c r="C19" i="12"/>
  <c r="E26" i="15"/>
  <c r="C21" i="12"/>
  <c r="E35" i="15"/>
  <c r="E46" i="15"/>
  <c r="E52" i="15"/>
  <c r="E20" i="15"/>
  <c r="E25" i="15"/>
  <c r="C20" i="12"/>
  <c r="E27" i="15"/>
  <c r="E45" i="15"/>
  <c r="E51" i="15"/>
  <c r="E11" i="15"/>
  <c r="C6" i="12"/>
  <c r="E14" i="15"/>
  <c r="G56" i="15"/>
  <c r="J48" i="15"/>
  <c r="J50" i="15"/>
  <c r="E58" i="15"/>
  <c r="J61" i="15"/>
  <c r="F29" i="15"/>
  <c r="G31" i="15"/>
  <c r="E36" i="15"/>
  <c r="J43" i="15"/>
  <c r="G22" i="15"/>
  <c r="G21" i="15"/>
  <c r="G13" i="15"/>
  <c r="G18" i="15"/>
  <c r="M33" i="15"/>
  <c r="F33" i="15"/>
  <c r="F23" i="11"/>
  <c r="F15" i="15"/>
  <c r="J28" i="15"/>
  <c r="F48" i="11"/>
  <c r="F61" i="11" s="1"/>
  <c r="H10" i="11"/>
  <c r="H23" i="11"/>
  <c r="F24" i="12"/>
  <c r="G29" i="15" s="1"/>
  <c r="H69" i="12"/>
  <c r="I55" i="12"/>
  <c r="D24" i="12"/>
  <c r="E29" i="15" s="1"/>
  <c r="D26" i="12"/>
  <c r="E31" i="15" s="1"/>
  <c r="D54" i="12"/>
  <c r="E59" i="15" s="1"/>
  <c r="D56" i="12"/>
  <c r="E61" i="15" s="1"/>
  <c r="D69" i="12"/>
  <c r="E74" i="15" s="1"/>
  <c r="D79" i="12"/>
  <c r="E42" i="12"/>
  <c r="F47" i="15" s="1"/>
  <c r="F39" i="12"/>
  <c r="G44" i="15" s="1"/>
  <c r="F41" i="12"/>
  <c r="G46" i="15" s="1"/>
  <c r="F43" i="12"/>
  <c r="G48" i="15" s="1"/>
  <c r="F45" i="12"/>
  <c r="G50" i="15" s="1"/>
  <c r="F47" i="12"/>
  <c r="G52" i="15" s="1"/>
  <c r="F69" i="12"/>
  <c r="G74" i="15" s="1"/>
  <c r="F79" i="12"/>
  <c r="G25" i="12"/>
  <c r="H30" i="15" s="1"/>
  <c r="G29" i="12"/>
  <c r="H34" i="15" s="1"/>
  <c r="G31" i="12"/>
  <c r="H36" i="15" s="1"/>
  <c r="G38" i="12"/>
  <c r="H43" i="15" s="1"/>
  <c r="G40" i="12"/>
  <c r="H45" i="15" s="1"/>
  <c r="G42" i="12"/>
  <c r="H47" i="15" s="1"/>
  <c r="G44" i="12"/>
  <c r="H49" i="15" s="1"/>
  <c r="G46" i="12"/>
  <c r="H51" i="15" s="1"/>
  <c r="G52" i="12"/>
  <c r="G54" i="12"/>
  <c r="H59" i="15" s="1"/>
  <c r="G56" i="12"/>
  <c r="H61" i="15" s="1"/>
  <c r="G69" i="12"/>
  <c r="H74" i="15" s="1"/>
  <c r="G71" i="12"/>
  <c r="H76" i="15" s="1"/>
  <c r="G79" i="12"/>
  <c r="H25" i="12"/>
  <c r="I30" i="15" s="1"/>
  <c r="H30" i="12"/>
  <c r="I35" i="15" s="1"/>
  <c r="H37" i="12"/>
  <c r="I42" i="15" s="1"/>
  <c r="H39" i="12"/>
  <c r="I44" i="15" s="1"/>
  <c r="H41" i="12"/>
  <c r="I46" i="15" s="1"/>
  <c r="H43" i="12"/>
  <c r="I48" i="15" s="1"/>
  <c r="H45" i="12"/>
  <c r="I50" i="15" s="1"/>
  <c r="H47" i="12"/>
  <c r="I52" i="15" s="1"/>
  <c r="H52" i="12"/>
  <c r="I57" i="15" s="1"/>
  <c r="E10" i="12"/>
  <c r="G10" i="11"/>
  <c r="G23" i="11"/>
  <c r="G67" i="11" s="1"/>
  <c r="G73" i="11" s="1"/>
  <c r="G76" i="11" s="1"/>
  <c r="G48" i="11"/>
  <c r="H59" i="11"/>
  <c r="H61" i="11" s="1"/>
  <c r="I23" i="11"/>
  <c r="D29" i="12"/>
  <c r="F10" i="11"/>
  <c r="F53" i="12"/>
  <c r="G58" i="15" s="1"/>
  <c r="I10" i="11"/>
  <c r="I44" i="12"/>
  <c r="I42" i="12"/>
  <c r="H23" i="10"/>
  <c r="D48" i="10"/>
  <c r="D25" i="12"/>
  <c r="E30" i="15" s="1"/>
  <c r="D55" i="12"/>
  <c r="E60" i="15" s="1"/>
  <c r="D57" i="12"/>
  <c r="D70" i="12"/>
  <c r="E75" i="15" s="1"/>
  <c r="E41" i="12"/>
  <c r="F46" i="15" s="1"/>
  <c r="E43" i="12"/>
  <c r="F48" i="15" s="1"/>
  <c r="E45" i="12"/>
  <c r="F50" i="15" s="1"/>
  <c r="E47" i="12"/>
  <c r="F52" i="15" s="1"/>
  <c r="E52" i="12"/>
  <c r="F57" i="15" s="1"/>
  <c r="E55" i="12"/>
  <c r="F60" i="15" s="1"/>
  <c r="E57" i="12"/>
  <c r="F62" i="15" s="1"/>
  <c r="E70" i="12"/>
  <c r="F75" i="15" s="1"/>
  <c r="F38" i="12"/>
  <c r="G43" i="15" s="1"/>
  <c r="F40" i="12"/>
  <c r="G45" i="15" s="1"/>
  <c r="F42" i="12"/>
  <c r="G47" i="15" s="1"/>
  <c r="F44" i="12"/>
  <c r="G49" i="15" s="1"/>
  <c r="F46" i="12"/>
  <c r="G51" i="15" s="1"/>
  <c r="F70" i="12"/>
  <c r="G75" i="15" s="1"/>
  <c r="G24" i="12"/>
  <c r="H29" i="15" s="1"/>
  <c r="G26" i="12"/>
  <c r="H31" i="15" s="1"/>
  <c r="G30" i="12"/>
  <c r="H35" i="15" s="1"/>
  <c r="G37" i="12"/>
  <c r="H42" i="15" s="1"/>
  <c r="G39" i="12"/>
  <c r="H44" i="15" s="1"/>
  <c r="G41" i="12"/>
  <c r="H46" i="15" s="1"/>
  <c r="G43" i="12"/>
  <c r="H48" i="15" s="1"/>
  <c r="G45" i="12"/>
  <c r="H50" i="15" s="1"/>
  <c r="G47" i="12"/>
  <c r="H52" i="15" s="1"/>
  <c r="G53" i="12"/>
  <c r="H58" i="15" s="1"/>
  <c r="G55" i="12"/>
  <c r="H60" i="15" s="1"/>
  <c r="G57" i="12"/>
  <c r="H62" i="15" s="1"/>
  <c r="G70" i="12"/>
  <c r="H75" i="15" s="1"/>
  <c r="G72" i="12"/>
  <c r="H77" i="15" s="1"/>
  <c r="H55" i="12"/>
  <c r="I60" i="15" s="1"/>
  <c r="H57" i="12"/>
  <c r="I62" i="15" s="1"/>
  <c r="I69" i="12"/>
  <c r="J74" i="15" s="1"/>
  <c r="D23" i="11"/>
  <c r="D48" i="11"/>
  <c r="C87" i="13"/>
  <c r="E59" i="11"/>
  <c r="G59" i="11"/>
  <c r="D10" i="11"/>
  <c r="E48" i="11"/>
  <c r="E53" i="12"/>
  <c r="F58" i="15" s="1"/>
  <c r="G51" i="12"/>
  <c r="H56" i="15" s="1"/>
  <c r="I25" i="12"/>
  <c r="E39" i="12"/>
  <c r="F44" i="15" s="1"/>
  <c r="H79" i="12"/>
  <c r="E29" i="12"/>
  <c r="F34" i="15" s="1"/>
  <c r="E71" i="12"/>
  <c r="F76" i="15" s="1"/>
  <c r="H29" i="12"/>
  <c r="I34" i="15" s="1"/>
  <c r="D71" i="12"/>
  <c r="F37" i="12"/>
  <c r="G42" i="15" s="1"/>
  <c r="F48" i="10"/>
  <c r="I31" i="12"/>
  <c r="J36" i="15" s="1"/>
  <c r="F23" i="10"/>
  <c r="D72" i="12"/>
  <c r="F54" i="12"/>
  <c r="I23" i="12"/>
  <c r="D48" i="12"/>
  <c r="D23" i="10"/>
  <c r="D59" i="11"/>
  <c r="F10" i="10"/>
  <c r="H10" i="10"/>
  <c r="D59" i="10"/>
  <c r="F59" i="10"/>
  <c r="E10" i="10"/>
  <c r="G10" i="10"/>
  <c r="I10" i="10"/>
  <c r="G23" i="10"/>
  <c r="I23" i="10"/>
  <c r="E48" i="10"/>
  <c r="G48" i="10"/>
  <c r="I48" i="10"/>
  <c r="E59" i="10"/>
  <c r="G59" i="10"/>
  <c r="I59" i="10"/>
  <c r="D10" i="10"/>
  <c r="G61" i="11" l="1"/>
  <c r="D61" i="10"/>
  <c r="E53" i="15"/>
  <c r="C56" i="12"/>
  <c r="C46" i="12"/>
  <c r="C40" i="12"/>
  <c r="C47" i="12"/>
  <c r="C41" i="12"/>
  <c r="C30" i="12"/>
  <c r="C38" i="12"/>
  <c r="C45" i="12"/>
  <c r="C43" i="12"/>
  <c r="G59" i="15"/>
  <c r="G64" i="15" s="1"/>
  <c r="C54" i="12"/>
  <c r="J30" i="15"/>
  <c r="M30" i="15" s="1"/>
  <c r="C25" i="12"/>
  <c r="E62" i="15"/>
  <c r="M62" i="15" s="1"/>
  <c r="C57" i="12"/>
  <c r="J47" i="15"/>
  <c r="M47" i="15" s="1"/>
  <c r="C42" i="12"/>
  <c r="J60" i="15"/>
  <c r="M60" i="15" s="1"/>
  <c r="C55" i="12"/>
  <c r="C31" i="12"/>
  <c r="E77" i="15"/>
  <c r="E76" i="15"/>
  <c r="J49" i="15"/>
  <c r="M49" i="15" s="1"/>
  <c r="C44" i="12"/>
  <c r="E34" i="15"/>
  <c r="H57" i="15"/>
  <c r="H64" i="15" s="1"/>
  <c r="C52" i="12"/>
  <c r="I74" i="15"/>
  <c r="M74" i="15" s="1"/>
  <c r="C69" i="12"/>
  <c r="F67" i="11"/>
  <c r="F59" i="12"/>
  <c r="D61" i="11"/>
  <c r="H67" i="10"/>
  <c r="G28" i="15"/>
  <c r="M36" i="15"/>
  <c r="M12" i="15"/>
  <c r="M35" i="15"/>
  <c r="M45" i="15"/>
  <c r="M19" i="15"/>
  <c r="M50" i="15"/>
  <c r="M46" i="15"/>
  <c r="M52" i="15"/>
  <c r="M48" i="15"/>
  <c r="I28" i="15"/>
  <c r="I15" i="15"/>
  <c r="H28" i="15"/>
  <c r="M51" i="15"/>
  <c r="M43" i="15"/>
  <c r="H53" i="15"/>
  <c r="H15" i="15"/>
  <c r="I53" i="15"/>
  <c r="M61" i="15"/>
  <c r="M26" i="15"/>
  <c r="F10" i="12"/>
  <c r="G15" i="15"/>
  <c r="M23" i="15"/>
  <c r="M25" i="15"/>
  <c r="E48" i="12"/>
  <c r="F53" i="15"/>
  <c r="M24" i="15"/>
  <c r="J15" i="15"/>
  <c r="E28" i="15"/>
  <c r="E15" i="15"/>
  <c r="M11" i="15"/>
  <c r="H67" i="11"/>
  <c r="H10" i="12"/>
  <c r="D59" i="12"/>
  <c r="D61" i="12" s="1"/>
  <c r="H23" i="12"/>
  <c r="G59" i="12"/>
  <c r="H48" i="12"/>
  <c r="F48" i="12"/>
  <c r="I10" i="12"/>
  <c r="G48" i="12"/>
  <c r="G23" i="12"/>
  <c r="G61" i="10"/>
  <c r="E59" i="12"/>
  <c r="G10" i="12"/>
  <c r="D67" i="11"/>
  <c r="D73" i="11" s="1"/>
  <c r="F61" i="10"/>
  <c r="D10" i="12"/>
  <c r="I39" i="12"/>
  <c r="F67" i="10"/>
  <c r="F23" i="12"/>
  <c r="D67" i="10"/>
  <c r="D73" i="10" s="1"/>
  <c r="D76" i="10" s="1"/>
  <c r="D78" i="10" s="1"/>
  <c r="E61" i="11"/>
  <c r="I61" i="10"/>
  <c r="H26" i="12"/>
  <c r="C26" i="12" s="1"/>
  <c r="I67" i="10"/>
  <c r="I73" i="10" s="1"/>
  <c r="I76" i="10" s="1"/>
  <c r="I78" i="10" s="1"/>
  <c r="E61" i="10"/>
  <c r="G67" i="10"/>
  <c r="G73" i="10" s="1"/>
  <c r="G76" i="10" s="1"/>
  <c r="D23" i="12"/>
  <c r="C10" i="10"/>
  <c r="M57" i="15" l="1"/>
  <c r="F61" i="12"/>
  <c r="E64" i="15"/>
  <c r="E66" i="15" s="1"/>
  <c r="J44" i="15"/>
  <c r="C39" i="12"/>
  <c r="F73" i="10"/>
  <c r="F73" i="11"/>
  <c r="E61" i="12"/>
  <c r="F67" i="12"/>
  <c r="F73" i="12" s="1"/>
  <c r="I31" i="15"/>
  <c r="M31" i="15" s="1"/>
  <c r="H66" i="15"/>
  <c r="G67" i="12"/>
  <c r="H72" i="15" s="1"/>
  <c r="G61" i="12"/>
  <c r="M59" i="15"/>
  <c r="F64" i="15"/>
  <c r="F66" i="15" s="1"/>
  <c r="G53" i="15"/>
  <c r="G66" i="15" s="1"/>
  <c r="I80" i="10"/>
  <c r="I27" i="10" s="1"/>
  <c r="I32" i="10" s="1"/>
  <c r="I34" i="10" s="1"/>
  <c r="D80" i="10"/>
  <c r="D67" i="12"/>
  <c r="E72" i="15" s="1"/>
  <c r="H67" i="12"/>
  <c r="I72" i="15" s="1"/>
  <c r="D76" i="11"/>
  <c r="G78" i="15" l="1"/>
  <c r="F76" i="11"/>
  <c r="F76" i="10"/>
  <c r="G72" i="15"/>
  <c r="G73" i="12"/>
  <c r="H78" i="15" s="1"/>
  <c r="F76" i="12"/>
  <c r="M44" i="15"/>
  <c r="D73" i="12"/>
  <c r="D78" i="11"/>
  <c r="D80" i="11" s="1"/>
  <c r="F78" i="10" l="1"/>
  <c r="F78" i="11"/>
  <c r="G81" i="15"/>
  <c r="D76" i="12"/>
  <c r="E81" i="15" s="1"/>
  <c r="E78" i="15"/>
  <c r="G76" i="12"/>
  <c r="H81" i="15" s="1"/>
  <c r="F78" i="12"/>
  <c r="F80" i="11" l="1"/>
  <c r="F80" i="10"/>
  <c r="D78" i="12"/>
  <c r="D80" i="12" s="1"/>
  <c r="E83" i="15" s="1"/>
  <c r="F80" i="12"/>
  <c r="D27" i="11"/>
  <c r="D32" i="11" s="1"/>
  <c r="D34" i="11" s="1"/>
  <c r="G83" i="15" l="1"/>
  <c r="F27" i="10"/>
  <c r="F32" i="10" s="1"/>
  <c r="F34" i="10" s="1"/>
  <c r="F27" i="11"/>
  <c r="F32" i="11" s="1"/>
  <c r="F34" i="11" s="1"/>
  <c r="F27" i="12"/>
  <c r="G32" i="15" s="1"/>
  <c r="D27" i="12"/>
  <c r="E32" i="15" s="1"/>
  <c r="F32" i="12" l="1"/>
  <c r="F34" i="12" s="1"/>
  <c r="G37" i="15"/>
  <c r="G39" i="15" s="1"/>
  <c r="D32" i="12"/>
  <c r="D34" i="12" s="1"/>
  <c r="V82" i="5"/>
  <c r="V78" i="5"/>
  <c r="V75" i="5"/>
  <c r="V74" i="5"/>
  <c r="V73" i="5"/>
  <c r="V72" i="5"/>
  <c r="V71" i="5"/>
  <c r="V61" i="5"/>
  <c r="V60" i="5"/>
  <c r="V59" i="5"/>
  <c r="V58" i="5"/>
  <c r="V57" i="5"/>
  <c r="V56" i="5"/>
  <c r="V55" i="5"/>
  <c r="V54" i="5"/>
  <c r="V50" i="5"/>
  <c r="V49" i="5"/>
  <c r="V48" i="5"/>
  <c r="V47" i="5"/>
  <c r="V46" i="5"/>
  <c r="V45" i="5"/>
  <c r="V44" i="5"/>
  <c r="V43" i="5"/>
  <c r="V42" i="5"/>
  <c r="V41" i="5"/>
  <c r="V40" i="5"/>
  <c r="V34" i="5"/>
  <c r="V33" i="5"/>
  <c r="V32" i="5"/>
  <c r="V28" i="5"/>
  <c r="V27" i="5"/>
  <c r="V25" i="5"/>
  <c r="V24" i="5"/>
  <c r="V23" i="5"/>
  <c r="V21" i="5"/>
  <c r="V20" i="5"/>
  <c r="V19" i="5"/>
  <c r="V18" i="5"/>
  <c r="V17" i="5"/>
  <c r="V16" i="5"/>
  <c r="V12" i="5"/>
  <c r="V11" i="5"/>
  <c r="V10" i="5"/>
  <c r="X78" i="5"/>
  <c r="X75" i="5"/>
  <c r="X74" i="5"/>
  <c r="X73" i="5"/>
  <c r="X72" i="5"/>
  <c r="X71" i="5"/>
  <c r="X61" i="5"/>
  <c r="X60" i="5"/>
  <c r="X59" i="5"/>
  <c r="X58" i="5"/>
  <c r="X57" i="5"/>
  <c r="X56" i="5"/>
  <c r="X55" i="5"/>
  <c r="X54" i="5"/>
  <c r="X50" i="5"/>
  <c r="X49" i="5"/>
  <c r="X48" i="5"/>
  <c r="X47" i="5"/>
  <c r="X46" i="5"/>
  <c r="X45" i="5"/>
  <c r="X44" i="5"/>
  <c r="X43" i="5"/>
  <c r="X42" i="5"/>
  <c r="X41" i="5"/>
  <c r="X40" i="5"/>
  <c r="X34" i="5"/>
  <c r="X33" i="5"/>
  <c r="X32" i="5"/>
  <c r="X28" i="5"/>
  <c r="X27" i="5"/>
  <c r="X25" i="5"/>
  <c r="X24" i="5"/>
  <c r="X23" i="5"/>
  <c r="X21" i="5"/>
  <c r="X20" i="5"/>
  <c r="X19" i="5"/>
  <c r="X18" i="5"/>
  <c r="X17" i="5"/>
  <c r="X16" i="5"/>
  <c r="X12" i="5"/>
  <c r="X11" i="5"/>
  <c r="X10" i="5"/>
  <c r="R78" i="5"/>
  <c r="R71" i="5"/>
  <c r="T71" i="5" s="1"/>
  <c r="R61" i="5"/>
  <c r="T61" i="5" s="1"/>
  <c r="N78" i="5"/>
  <c r="N71" i="5"/>
  <c r="P71" i="5" s="1"/>
  <c r="N61" i="5"/>
  <c r="P61" i="5" s="1"/>
  <c r="J78" i="5"/>
  <c r="J61" i="5"/>
  <c r="L61" i="5" s="1"/>
  <c r="F78" i="5"/>
  <c r="F71" i="5"/>
  <c r="F61" i="5"/>
  <c r="H61" i="5" s="1"/>
  <c r="H71" i="5"/>
  <c r="B78" i="5"/>
  <c r="B61" i="5"/>
  <c r="E37" i="15" l="1"/>
  <c r="E39" i="15" s="1"/>
  <c r="D61" i="5"/>
  <c r="N31" i="4"/>
  <c r="L62" i="4"/>
  <c r="V62" i="5" s="1"/>
  <c r="X62" i="5" s="1"/>
  <c r="L51" i="4"/>
  <c r="N61" i="4"/>
  <c r="L31" i="4"/>
  <c r="V31" i="5" s="1"/>
  <c r="D83" i="4"/>
  <c r="L64" i="4" l="1"/>
  <c r="V64" i="5" s="1"/>
  <c r="X64" i="5" s="1"/>
  <c r="V51" i="5"/>
  <c r="X51" i="5" s="1"/>
  <c r="F82" i="5"/>
  <c r="J31" i="4" l="1"/>
  <c r="R31" i="5" s="1"/>
  <c r="H31" i="4"/>
  <c r="N31" i="5" s="1"/>
  <c r="F31" i="4"/>
  <c r="J31" i="5" s="1"/>
  <c r="D31" i="4"/>
  <c r="B71" i="5"/>
  <c r="F31" i="5" l="1"/>
  <c r="F72" i="4"/>
  <c r="J71" i="5" s="1"/>
  <c r="L71" i="5" s="1"/>
  <c r="D71" i="5"/>
  <c r="D32" i="4" l="1"/>
  <c r="F32" i="5" l="1"/>
  <c r="N72" i="5" l="1"/>
  <c r="N59" i="5" l="1"/>
  <c r="N58" i="5"/>
  <c r="N57" i="5"/>
  <c r="N55" i="5"/>
  <c r="N50" i="5"/>
  <c r="N49" i="5"/>
  <c r="N47" i="5"/>
  <c r="N46" i="5"/>
  <c r="N45" i="5"/>
  <c r="N44" i="5"/>
  <c r="N43" i="5"/>
  <c r="N41" i="5"/>
  <c r="N33" i="5"/>
  <c r="N24" i="5"/>
  <c r="N17" i="5"/>
  <c r="N10" i="5"/>
  <c r="D75" i="4" l="1"/>
  <c r="D73" i="4"/>
  <c r="N21" i="5"/>
  <c r="N42" i="5"/>
  <c r="N34" i="5"/>
  <c r="N9" i="5"/>
  <c r="N23" i="5"/>
  <c r="N22" i="5"/>
  <c r="N28" i="5"/>
  <c r="N60" i="5"/>
  <c r="F72" i="5" l="1"/>
  <c r="F74" i="5"/>
  <c r="BG54" i="1"/>
  <c r="BG29" i="1"/>
  <c r="BG16" i="1"/>
  <c r="AY54" i="1"/>
  <c r="AY29" i="1"/>
  <c r="AY16" i="1"/>
  <c r="BG74" i="1" l="1"/>
  <c r="AY74" i="1"/>
  <c r="AY80" i="1" s="1"/>
  <c r="AY65" i="1"/>
  <c r="AY67" i="1" s="1"/>
  <c r="AG54" i="1"/>
  <c r="AG16" i="1"/>
  <c r="AD16" i="1"/>
  <c r="AD74" i="1" s="1"/>
  <c r="AD80" i="1" s="1"/>
  <c r="AD83" i="1" s="1"/>
  <c r="AD85" i="1" s="1"/>
  <c r="AD87" i="1" s="1"/>
  <c r="AD33" i="1" s="1"/>
  <c r="AD38" i="1" l="1"/>
  <c r="AD40" i="1" s="1"/>
  <c r="AD33" i="13"/>
  <c r="AD38" i="13" s="1"/>
  <c r="AD40" i="13" s="1"/>
  <c r="I39" i="16" s="1"/>
  <c r="M39" i="16" s="1"/>
  <c r="AY83" i="1"/>
  <c r="AY85" i="1" s="1"/>
  <c r="AY87" i="1" s="1"/>
  <c r="AY33" i="1" s="1"/>
  <c r="AY33" i="13" s="1"/>
  <c r="AY38" i="13" s="1"/>
  <c r="AY40" i="13" s="1"/>
  <c r="BG65" i="1"/>
  <c r="BG67" i="1" s="1"/>
  <c r="BG80" i="1"/>
  <c r="AG74" i="1"/>
  <c r="AG80" i="1" s="1"/>
  <c r="AG67" i="1"/>
  <c r="AD67" i="1"/>
  <c r="R65" i="1"/>
  <c r="R54" i="1"/>
  <c r="R16" i="1"/>
  <c r="AY38" i="1" l="1"/>
  <c r="AY40" i="1" s="1"/>
  <c r="AG83" i="1"/>
  <c r="AG85" i="1" s="1"/>
  <c r="AG87" i="1" s="1"/>
  <c r="AG33" i="1" s="1"/>
  <c r="BG83" i="1"/>
  <c r="BG85" i="1" s="1"/>
  <c r="BG87" i="1" s="1"/>
  <c r="BG38" i="1"/>
  <c r="BG40" i="1" s="1"/>
  <c r="R67" i="1"/>
  <c r="D16" i="1"/>
  <c r="BC54" i="1"/>
  <c r="BI29" i="1"/>
  <c r="AL65" i="1"/>
  <c r="D34" i="4"/>
  <c r="M29" i="1"/>
  <c r="M74" i="1" s="1"/>
  <c r="AW65" i="1"/>
  <c r="BJ16" i="1"/>
  <c r="BJ29" i="1"/>
  <c r="BJ54" i="1"/>
  <c r="BJ65" i="1"/>
  <c r="BI16" i="1"/>
  <c r="BI54" i="1"/>
  <c r="BI65" i="1"/>
  <c r="BH65" i="1"/>
  <c r="BH16" i="1"/>
  <c r="BH29" i="1"/>
  <c r="BE54" i="1"/>
  <c r="BE16" i="1"/>
  <c r="BE29" i="1"/>
  <c r="BD29" i="1"/>
  <c r="BD16" i="1"/>
  <c r="BD54" i="1"/>
  <c r="BD65" i="1"/>
  <c r="BC65" i="1"/>
  <c r="BC16" i="1"/>
  <c r="BC29" i="1"/>
  <c r="BB65" i="1"/>
  <c r="BB16" i="1"/>
  <c r="BB29" i="1"/>
  <c r="AX16" i="1"/>
  <c r="AX29" i="1"/>
  <c r="AX54" i="1"/>
  <c r="AW16" i="1"/>
  <c r="AW29" i="1"/>
  <c r="AW54" i="1"/>
  <c r="AU29" i="1"/>
  <c r="AU16" i="1"/>
  <c r="AU54" i="1"/>
  <c r="AS16" i="1"/>
  <c r="AS29" i="1"/>
  <c r="AS54" i="1"/>
  <c r="AS65" i="1"/>
  <c r="AL16" i="1"/>
  <c r="AL29" i="1"/>
  <c r="AL54" i="1"/>
  <c r="Q16" i="1"/>
  <c r="Q54" i="1"/>
  <c r="Q65" i="1"/>
  <c r="P16" i="1"/>
  <c r="P54" i="1"/>
  <c r="P65" i="1"/>
  <c r="M16" i="1"/>
  <c r="M54" i="1"/>
  <c r="M65" i="1"/>
  <c r="L29" i="1"/>
  <c r="L16" i="1"/>
  <c r="L54" i="1"/>
  <c r="L65" i="1"/>
  <c r="H16" i="1"/>
  <c r="H29" i="1"/>
  <c r="H54" i="1"/>
  <c r="H65" i="1"/>
  <c r="G16" i="1"/>
  <c r="G29" i="1"/>
  <c r="G54" i="1"/>
  <c r="G65" i="1"/>
  <c r="D29" i="1"/>
  <c r="D54" i="1"/>
  <c r="D65" i="1"/>
  <c r="C16" i="1"/>
  <c r="C29" i="1"/>
  <c r="C54" i="1"/>
  <c r="C65" i="1"/>
  <c r="D16" i="4"/>
  <c r="D11" i="4"/>
  <c r="D59" i="4"/>
  <c r="D55" i="4"/>
  <c r="D50" i="4"/>
  <c r="D49" i="4"/>
  <c r="D47" i="4"/>
  <c r="D46" i="4"/>
  <c r="D44" i="4"/>
  <c r="D43" i="4"/>
  <c r="D41" i="4"/>
  <c r="D33" i="4"/>
  <c r="D24" i="4"/>
  <c r="D18" i="4"/>
  <c r="D17" i="4"/>
  <c r="D12" i="4"/>
  <c r="D10" i="4"/>
  <c r="B16" i="1" l="1"/>
  <c r="AG33" i="13"/>
  <c r="AG38" i="13" s="1"/>
  <c r="AG40" i="13" s="1"/>
  <c r="I42" i="16" s="1"/>
  <c r="AG38" i="1"/>
  <c r="AG40" i="1" s="1"/>
  <c r="BI74" i="1"/>
  <c r="BI80" i="1" s="1"/>
  <c r="BI83" i="1" s="1"/>
  <c r="BI85" i="1" s="1"/>
  <c r="BI87" i="1" s="1"/>
  <c r="F11" i="5"/>
  <c r="F16" i="5"/>
  <c r="L74" i="1"/>
  <c r="L80" i="1" s="1"/>
  <c r="F10" i="5"/>
  <c r="F33" i="5"/>
  <c r="F44" i="5"/>
  <c r="F24" i="5"/>
  <c r="F43" i="5"/>
  <c r="F46" i="5"/>
  <c r="F49" i="5"/>
  <c r="F55" i="5"/>
  <c r="F17" i="5"/>
  <c r="F41" i="5"/>
  <c r="F47" i="5"/>
  <c r="F59" i="5"/>
  <c r="F12" i="5"/>
  <c r="F18" i="5"/>
  <c r="F34" i="5"/>
  <c r="F50" i="5"/>
  <c r="BB74" i="1"/>
  <c r="BB80" i="1" s="1"/>
  <c r="BB83" i="1" s="1"/>
  <c r="BB85" i="1" s="1"/>
  <c r="BB87" i="1" s="1"/>
  <c r="E10" i="3"/>
  <c r="D9" i="4"/>
  <c r="D22" i="4"/>
  <c r="L67" i="1"/>
  <c r="P67" i="1"/>
  <c r="BH74" i="1"/>
  <c r="BH80" i="1" s="1"/>
  <c r="AS67" i="1"/>
  <c r="BD67" i="1"/>
  <c r="D54" i="4"/>
  <c r="D57" i="4"/>
  <c r="D60" i="4"/>
  <c r="AW67" i="1"/>
  <c r="BJ67" i="1"/>
  <c r="E9" i="3"/>
  <c r="D40" i="4"/>
  <c r="D74" i="1"/>
  <c r="D80" i="1" s="1"/>
  <c r="G67" i="1"/>
  <c r="G74" i="1"/>
  <c r="G80" i="1" s="1"/>
  <c r="H67" i="1"/>
  <c r="Q67" i="1"/>
  <c r="AL67" i="1"/>
  <c r="AU74" i="1"/>
  <c r="AU80" i="1" s="1"/>
  <c r="H74" i="1"/>
  <c r="H80" i="1" s="1"/>
  <c r="C67" i="1"/>
  <c r="D67" i="1"/>
  <c r="M67" i="1"/>
  <c r="AX74" i="1"/>
  <c r="E8" i="3"/>
  <c r="P29" i="1"/>
  <c r="P74" i="1" s="1"/>
  <c r="P80" i="1" s="1"/>
  <c r="Q29" i="1"/>
  <c r="C74" i="1"/>
  <c r="BC67" i="1"/>
  <c r="D21" i="4"/>
  <c r="D23" i="4"/>
  <c r="AS74" i="1"/>
  <c r="AW74" i="1"/>
  <c r="BC74" i="1"/>
  <c r="BC80" i="1" s="1"/>
  <c r="BD74" i="1"/>
  <c r="BD80" i="1" s="1"/>
  <c r="BE74" i="1"/>
  <c r="BE80" i="1" s="1"/>
  <c r="BI67" i="1"/>
  <c r="BJ80" i="1"/>
  <c r="BI38" i="1"/>
  <c r="BI40" i="1" s="1"/>
  <c r="I43" i="16" l="1"/>
  <c r="M43" i="16" s="1"/>
  <c r="M42" i="16"/>
  <c r="M80" i="1"/>
  <c r="M83" i="1" s="1"/>
  <c r="M85" i="1" s="1"/>
  <c r="M87" i="1" s="1"/>
  <c r="M33" i="1" s="1"/>
  <c r="M33" i="13" s="1"/>
  <c r="M38" i="13" s="1"/>
  <c r="M40" i="13" s="1"/>
  <c r="I25" i="16" s="1"/>
  <c r="M25" i="16" s="1"/>
  <c r="C80" i="1"/>
  <c r="C83" i="1" s="1"/>
  <c r="C85" i="1" s="1"/>
  <c r="C87" i="1" s="1"/>
  <c r="F40" i="5"/>
  <c r="F60" i="5"/>
  <c r="F54" i="5"/>
  <c r="F22" i="5"/>
  <c r="F21" i="5"/>
  <c r="F57" i="5"/>
  <c r="F9" i="5"/>
  <c r="F23" i="5"/>
  <c r="E11" i="3"/>
  <c r="C21" i="7"/>
  <c r="C11" i="7"/>
  <c r="D13" i="4"/>
  <c r="BB33" i="1"/>
  <c r="BB33" i="13" s="1"/>
  <c r="BB38" i="13" s="1"/>
  <c r="BB40" i="13" s="1"/>
  <c r="I62" i="16" s="1"/>
  <c r="M62" i="16" s="1"/>
  <c r="BD83" i="1"/>
  <c r="BD85" i="1" s="1"/>
  <c r="BD87" i="1" s="1"/>
  <c r="BD33" i="1" s="1"/>
  <c r="BD33" i="13" s="1"/>
  <c r="BD38" i="13" s="1"/>
  <c r="BD40" i="13" s="1"/>
  <c r="I64" i="16" s="1"/>
  <c r="M64" i="16" s="1"/>
  <c r="BJ83" i="1"/>
  <c r="BJ85" i="1" s="1"/>
  <c r="BJ87" i="1" s="1"/>
  <c r="BJ33" i="1" s="1"/>
  <c r="BE83" i="1"/>
  <c r="BE85" i="1" s="1"/>
  <c r="BE87" i="1" s="1"/>
  <c r="BE33" i="1" s="1"/>
  <c r="BC83" i="1"/>
  <c r="BC85" i="1" s="1"/>
  <c r="BC87" i="1" s="1"/>
  <c r="BC33" i="1" s="1"/>
  <c r="BC33" i="13" s="1"/>
  <c r="BC38" i="13" s="1"/>
  <c r="BC40" i="13" s="1"/>
  <c r="I63" i="16" s="1"/>
  <c r="M63" i="16" s="1"/>
  <c r="P83" i="1"/>
  <c r="P85" i="1" s="1"/>
  <c r="P87" i="1" s="1"/>
  <c r="P33" i="1" s="1"/>
  <c r="P33" i="13" s="1"/>
  <c r="P38" i="13" s="1"/>
  <c r="P40" i="13" s="1"/>
  <c r="I28" i="16" s="1"/>
  <c r="M28" i="16" s="1"/>
  <c r="H83" i="1"/>
  <c r="H85" i="1" s="1"/>
  <c r="H87" i="1" s="1"/>
  <c r="H33" i="1" s="1"/>
  <c r="H33" i="13" s="1"/>
  <c r="H38" i="13" s="1"/>
  <c r="H40" i="13" s="1"/>
  <c r="I18" i="16" s="1"/>
  <c r="M18" i="16" s="1"/>
  <c r="AU83" i="1"/>
  <c r="AU85" i="1" s="1"/>
  <c r="AU87" i="1" s="1"/>
  <c r="AU33" i="1" s="1"/>
  <c r="AU33" i="13" s="1"/>
  <c r="AU38" i="13" s="1"/>
  <c r="AU40" i="13" s="1"/>
  <c r="I54" i="16" s="1"/>
  <c r="M54" i="16" s="1"/>
  <c r="G83" i="1"/>
  <c r="G85" i="1" s="1"/>
  <c r="G87" i="1" s="1"/>
  <c r="G33" i="1" s="1"/>
  <c r="G33" i="13" s="1"/>
  <c r="G38" i="13" s="1"/>
  <c r="G40" i="13" s="1"/>
  <c r="I17" i="16" s="1"/>
  <c r="M17" i="16" s="1"/>
  <c r="D83" i="1"/>
  <c r="D85" i="1" s="1"/>
  <c r="D87" i="1" s="1"/>
  <c r="D33" i="1" s="1"/>
  <c r="D33" i="13" s="1"/>
  <c r="D38" i="13" s="1"/>
  <c r="D40" i="13" s="1"/>
  <c r="I14" i="16" s="1"/>
  <c r="M14" i="16" s="1"/>
  <c r="BH83" i="1"/>
  <c r="BH85" i="1" s="1"/>
  <c r="BH87" i="1" s="1"/>
  <c r="BH33" i="1" s="1"/>
  <c r="L83" i="1"/>
  <c r="D27" i="4"/>
  <c r="AW80" i="1"/>
  <c r="D28" i="4"/>
  <c r="AL74" i="1"/>
  <c r="AL80" i="1" s="1"/>
  <c r="D29" i="4"/>
  <c r="Q74" i="1"/>
  <c r="Q80" i="1" s="1"/>
  <c r="D45" i="4"/>
  <c r="AX80" i="1"/>
  <c r="BE65" i="1"/>
  <c r="BE67" i="1" s="1"/>
  <c r="D58" i="4"/>
  <c r="BJ33" i="13" l="1"/>
  <c r="BJ38" i="13" s="1"/>
  <c r="BJ40" i="13" s="1"/>
  <c r="I68" i="16" s="1"/>
  <c r="M68" i="16" s="1"/>
  <c r="BH33" i="13"/>
  <c r="BH38" i="13" s="1"/>
  <c r="BH40" i="13" s="1"/>
  <c r="I66" i="16" s="1"/>
  <c r="M66" i="16" s="1"/>
  <c r="E68" i="12"/>
  <c r="F73" i="15" s="1"/>
  <c r="BH38" i="1"/>
  <c r="BH40" i="1" s="1"/>
  <c r="G38" i="1"/>
  <c r="G40" i="1" s="1"/>
  <c r="H38" i="1"/>
  <c r="H40" i="1" s="1"/>
  <c r="BC38" i="1"/>
  <c r="BC40" i="1" s="1"/>
  <c r="BJ38" i="1"/>
  <c r="BJ40" i="1" s="1"/>
  <c r="M38" i="1"/>
  <c r="M40" i="1" s="1"/>
  <c r="BD38" i="1"/>
  <c r="BD40" i="1" s="1"/>
  <c r="BB38" i="1"/>
  <c r="BB40" i="1" s="1"/>
  <c r="D38" i="1"/>
  <c r="D40" i="1" s="1"/>
  <c r="AU38" i="1"/>
  <c r="AU40" i="1" s="1"/>
  <c r="BE38" i="1"/>
  <c r="BE40" i="1" s="1"/>
  <c r="P38" i="1"/>
  <c r="P40" i="1" s="1"/>
  <c r="F13" i="5"/>
  <c r="L85" i="1"/>
  <c r="F45" i="5"/>
  <c r="F29" i="5"/>
  <c r="F27" i="5"/>
  <c r="F58" i="5"/>
  <c r="F28" i="5"/>
  <c r="C33" i="1"/>
  <c r="D27" i="10" s="1"/>
  <c r="D32" i="10" s="1"/>
  <c r="D34" i="10" s="1"/>
  <c r="AW83" i="1"/>
  <c r="AW85" i="1" s="1"/>
  <c r="AW87" i="1" s="1"/>
  <c r="AW33" i="1" s="1"/>
  <c r="AW33" i="13" s="1"/>
  <c r="AW38" i="13" s="1"/>
  <c r="AW40" i="13" s="1"/>
  <c r="I56" i="16" s="1"/>
  <c r="M56" i="16" s="1"/>
  <c r="AX83" i="1"/>
  <c r="AX85" i="1" s="1"/>
  <c r="AX87" i="1" s="1"/>
  <c r="AX33" i="1" s="1"/>
  <c r="AX33" i="13" s="1"/>
  <c r="AX38" i="13" s="1"/>
  <c r="AX40" i="13" s="1"/>
  <c r="I57" i="16" s="1"/>
  <c r="M57" i="16" s="1"/>
  <c r="Q83" i="1"/>
  <c r="Q85" i="1" s="1"/>
  <c r="Q87" i="1" s="1"/>
  <c r="Q33" i="1" s="1"/>
  <c r="Q33" i="13" s="1"/>
  <c r="Q38" i="13" s="1"/>
  <c r="Q40" i="13" s="1"/>
  <c r="I29" i="16" s="1"/>
  <c r="M29" i="16" s="1"/>
  <c r="AL83" i="1"/>
  <c r="D42" i="4"/>
  <c r="AU65" i="1"/>
  <c r="BH54" i="1"/>
  <c r="BH67" i="1" s="1"/>
  <c r="C33" i="13" l="1"/>
  <c r="C38" i="13" s="1"/>
  <c r="C40" i="13" s="1"/>
  <c r="I13" i="16" s="1"/>
  <c r="D68" i="12"/>
  <c r="E73" i="15" s="1"/>
  <c r="E79" i="12"/>
  <c r="Q38" i="1"/>
  <c r="Q40" i="1" s="1"/>
  <c r="AX38" i="1"/>
  <c r="AX40" i="1" s="1"/>
  <c r="AW38" i="1"/>
  <c r="AW40" i="1" s="1"/>
  <c r="AL85" i="1"/>
  <c r="AL87" i="1" s="1"/>
  <c r="AL33" i="1" s="1"/>
  <c r="AL33" i="13" s="1"/>
  <c r="AL38" i="13" s="1"/>
  <c r="AL40" i="13" s="1"/>
  <c r="I47" i="16" s="1"/>
  <c r="G78" i="12"/>
  <c r="G78" i="11"/>
  <c r="G78" i="10"/>
  <c r="L87" i="1"/>
  <c r="F42" i="5"/>
  <c r="AU67" i="1"/>
  <c r="I22" i="16" l="1"/>
  <c r="M22" i="16" s="1"/>
  <c r="M13" i="16"/>
  <c r="I50" i="16"/>
  <c r="M50" i="16" s="1"/>
  <c r="M47" i="16"/>
  <c r="G80" i="10"/>
  <c r="G27" i="10" s="1"/>
  <c r="G32" i="10" s="1"/>
  <c r="G34" i="10" s="1"/>
  <c r="G80" i="12"/>
  <c r="H83" i="15" s="1"/>
  <c r="G80" i="11"/>
  <c r="G32" i="11" s="1"/>
  <c r="G34" i="11" s="1"/>
  <c r="AL38" i="1"/>
  <c r="AL40" i="1" s="1"/>
  <c r="C48" i="10"/>
  <c r="L33" i="1"/>
  <c r="C38" i="1"/>
  <c r="L33" i="13" l="1"/>
  <c r="L38" i="13" s="1"/>
  <c r="L40" i="13" s="1"/>
  <c r="I24" i="16" s="1"/>
  <c r="M24" i="16" s="1"/>
  <c r="G27" i="12"/>
  <c r="H32" i="15" s="1"/>
  <c r="L38" i="1"/>
  <c r="N48" i="5"/>
  <c r="C40" i="1"/>
  <c r="H37" i="15" l="1"/>
  <c r="H39" i="15" s="1"/>
  <c r="G32" i="12"/>
  <c r="G34" i="12" s="1"/>
  <c r="L40" i="1"/>
  <c r="D48" i="4" l="1"/>
  <c r="BB54" i="1"/>
  <c r="B54" i="1" s="1"/>
  <c r="BB67" i="1" l="1"/>
  <c r="F48" i="5"/>
  <c r="D51" i="4"/>
  <c r="F51" i="5" l="1"/>
  <c r="H71" i="12" l="1"/>
  <c r="I76" i="15" l="1"/>
  <c r="H53" i="10" l="1"/>
  <c r="C53" i="10" s="1"/>
  <c r="AX59" i="13"/>
  <c r="D56" i="4"/>
  <c r="AX65" i="1"/>
  <c r="B65" i="1" s="1"/>
  <c r="D62" i="4" l="1"/>
  <c r="F56" i="5"/>
  <c r="H53" i="12"/>
  <c r="C59" i="10"/>
  <c r="C61" i="10" s="1"/>
  <c r="H59" i="10"/>
  <c r="H61" i="10" s="1"/>
  <c r="AX67" i="1"/>
  <c r="B67" i="1" s="1"/>
  <c r="AX65" i="13"/>
  <c r="AX67" i="13" l="1"/>
  <c r="I58" i="15"/>
  <c r="H59" i="12"/>
  <c r="H61" i="12" s="1"/>
  <c r="F62" i="5"/>
  <c r="D64" i="4"/>
  <c r="F64" i="5" s="1"/>
  <c r="I64" i="15" l="1"/>
  <c r="I66" i="15" s="1"/>
  <c r="J57" i="16"/>
  <c r="J60" i="16" l="1"/>
  <c r="N60" i="16" s="1"/>
  <c r="N57" i="16"/>
  <c r="Y21" i="13"/>
  <c r="B21" i="13" s="1"/>
  <c r="E15" i="11"/>
  <c r="B21" i="17"/>
  <c r="H18" i="4" s="1"/>
  <c r="Y29" i="17"/>
  <c r="Y19" i="13"/>
  <c r="E13" i="11"/>
  <c r="Y74" i="17" l="1"/>
  <c r="N18" i="5"/>
  <c r="E13" i="12"/>
  <c r="C15" i="11"/>
  <c r="E15" i="12"/>
  <c r="Y29" i="13"/>
  <c r="Y74" i="13" l="1"/>
  <c r="F18" i="15"/>
  <c r="F20" i="15"/>
  <c r="M20" i="15" s="1"/>
  <c r="C15" i="12"/>
  <c r="Y80" i="17"/>
  <c r="Y83" i="17" l="1"/>
  <c r="Y80" i="13"/>
  <c r="Y85" i="17" l="1"/>
  <c r="Y83" i="13"/>
  <c r="Y85" i="13" l="1"/>
  <c r="Y87" i="17"/>
  <c r="Y33" i="17" l="1"/>
  <c r="Y87" i="13"/>
  <c r="Y33" i="13" l="1"/>
  <c r="Y38" i="17"/>
  <c r="Y40" i="17" l="1"/>
  <c r="Y38" i="13"/>
  <c r="Y40" i="13" l="1"/>
  <c r="I36" i="16" s="1"/>
  <c r="M36" i="16" l="1"/>
  <c r="H18" i="5" l="1"/>
  <c r="H48" i="5"/>
  <c r="H11" i="5"/>
  <c r="H9" i="5"/>
  <c r="H16" i="5"/>
  <c r="H17" i="5"/>
  <c r="H21" i="5"/>
  <c r="H22" i="5"/>
  <c r="H23" i="5"/>
  <c r="H24" i="5"/>
  <c r="H10" i="5"/>
  <c r="H12" i="5"/>
  <c r="H27" i="5"/>
  <c r="H28" i="5"/>
  <c r="H29" i="5"/>
  <c r="H32" i="5"/>
  <c r="H33" i="5"/>
  <c r="H34" i="5"/>
  <c r="H40" i="5"/>
  <c r="H41" i="5"/>
  <c r="H42" i="5"/>
  <c r="H43" i="5"/>
  <c r="H44" i="5"/>
  <c r="H45" i="5"/>
  <c r="H46" i="5"/>
  <c r="H47" i="5"/>
  <c r="H49" i="5"/>
  <c r="H50" i="5"/>
  <c r="H54" i="5"/>
  <c r="H55" i="5"/>
  <c r="H56" i="5"/>
  <c r="H57" i="5"/>
  <c r="H58" i="5"/>
  <c r="H59" i="5"/>
  <c r="H60" i="5"/>
  <c r="H72" i="5"/>
  <c r="H74" i="5"/>
  <c r="H78" i="5"/>
  <c r="H62" i="5"/>
  <c r="H51" i="5"/>
  <c r="H64" i="5"/>
  <c r="H13" i="5"/>
  <c r="D78" i="5"/>
  <c r="L78" i="5"/>
  <c r="G81" i="5" l="1"/>
  <c r="G82" i="5" s="1"/>
  <c r="H31" i="5"/>
  <c r="C81" i="5" l="1"/>
  <c r="L31" i="5"/>
  <c r="K81" i="5" l="1"/>
  <c r="K82" i="5" l="1"/>
  <c r="C82" i="5" l="1"/>
  <c r="P18" i="5" l="1"/>
  <c r="P33" i="5"/>
  <c r="P57" i="5"/>
  <c r="C74" i="15" l="1"/>
  <c r="O74" i="15" s="1"/>
  <c r="Q74" i="15" s="1"/>
  <c r="F73" i="4"/>
  <c r="B72" i="5"/>
  <c r="D72" i="5" s="1"/>
  <c r="B62" i="4"/>
  <c r="B62" i="5" s="1"/>
  <c r="D62" i="5" s="1"/>
  <c r="B58" i="5"/>
  <c r="D58" i="5" s="1"/>
  <c r="F58" i="4"/>
  <c r="C60" i="15"/>
  <c r="O60" i="15" s="1"/>
  <c r="Q60" i="15" s="1"/>
  <c r="C59" i="15"/>
  <c r="O59" i="15" s="1"/>
  <c r="Q59" i="15" s="1"/>
  <c r="B57" i="5"/>
  <c r="D57" i="5" s="1"/>
  <c r="F57" i="4"/>
  <c r="C58" i="15"/>
  <c r="F56" i="4"/>
  <c r="B56" i="5"/>
  <c r="D56" i="5" s="1"/>
  <c r="C50" i="15"/>
  <c r="O50" i="15" s="1"/>
  <c r="Q50" i="15" s="1"/>
  <c r="B48" i="5"/>
  <c r="D48" i="5" s="1"/>
  <c r="F48" i="4"/>
  <c r="B30" i="5"/>
  <c r="D30" i="5" s="1"/>
  <c r="C32" i="15"/>
  <c r="B28" i="5"/>
  <c r="D28" i="5" s="1"/>
  <c r="C30" i="15"/>
  <c r="O30" i="15" s="1"/>
  <c r="Q30" i="15" s="1"/>
  <c r="F28" i="4"/>
  <c r="B27" i="5"/>
  <c r="D27" i="5" s="1"/>
  <c r="C29" i="15"/>
  <c r="F27" i="4"/>
  <c r="F12" i="4"/>
  <c r="B12" i="5"/>
  <c r="D12" i="5" s="1"/>
  <c r="C14" i="15"/>
  <c r="B17" i="5"/>
  <c r="D17" i="5" s="1"/>
  <c r="F17" i="4"/>
  <c r="C19" i="15"/>
  <c r="O19" i="15" s="1"/>
  <c r="Q19" i="15" s="1"/>
  <c r="F16" i="4"/>
  <c r="B16" i="5"/>
  <c r="D16" i="5" s="1"/>
  <c r="C18" i="15"/>
  <c r="B54" i="5"/>
  <c r="D54" i="5" s="1"/>
  <c r="C56" i="15"/>
  <c r="F54" i="4"/>
  <c r="B50" i="5"/>
  <c r="D50" i="5" s="1"/>
  <c r="C52" i="15"/>
  <c r="O52" i="15" s="1"/>
  <c r="Q52" i="15" s="1"/>
  <c r="F50" i="4"/>
  <c r="F47" i="4"/>
  <c r="B47" i="5"/>
  <c r="D47" i="5" s="1"/>
  <c r="C49" i="15"/>
  <c r="O49" i="15" s="1"/>
  <c r="Q49" i="15" s="1"/>
  <c r="B46" i="5"/>
  <c r="D46" i="5" s="1"/>
  <c r="C48" i="15"/>
  <c r="O48" i="15" s="1"/>
  <c r="Q48" i="15" s="1"/>
  <c r="F46" i="4"/>
  <c r="B31" i="5"/>
  <c r="D31" i="5" s="1"/>
  <c r="C33" i="15"/>
  <c r="O33" i="15" s="1"/>
  <c r="Q33" i="15" s="1"/>
  <c r="C34" i="15"/>
  <c r="F32" i="4"/>
  <c r="B32" i="5"/>
  <c r="D32" i="5" s="1"/>
  <c r="B75" i="5"/>
  <c r="D75" i="5" s="1"/>
  <c r="C77" i="15"/>
  <c r="C46" i="15"/>
  <c r="O46" i="15" s="1"/>
  <c r="Q46" i="15" s="1"/>
  <c r="F44" i="4"/>
  <c r="B44" i="5"/>
  <c r="D44" i="5" s="1"/>
  <c r="F43" i="4"/>
  <c r="B43" i="5"/>
  <c r="D43" i="5" s="1"/>
  <c r="C45" i="15"/>
  <c r="O45" i="15" s="1"/>
  <c r="Q45" i="15" s="1"/>
  <c r="F42" i="4"/>
  <c r="B42" i="5"/>
  <c r="D42" i="5" s="1"/>
  <c r="C44" i="15"/>
  <c r="O44" i="15" s="1"/>
  <c r="Q44" i="15" s="1"/>
  <c r="C43" i="15"/>
  <c r="O43" i="15" s="1"/>
  <c r="Q43" i="15" s="1"/>
  <c r="F41" i="4"/>
  <c r="B41" i="5"/>
  <c r="D41" i="5" s="1"/>
  <c r="F40" i="4"/>
  <c r="C42" i="15"/>
  <c r="B40" i="5"/>
  <c r="D40" i="5" s="1"/>
  <c r="F34" i="4"/>
  <c r="B34" i="5"/>
  <c r="D34" i="5" s="1"/>
  <c r="C36" i="15"/>
  <c r="O36" i="15" s="1"/>
  <c r="Q36" i="15" s="1"/>
  <c r="B33" i="5"/>
  <c r="D33" i="5" s="1"/>
  <c r="F33" i="4"/>
  <c r="C35" i="15"/>
  <c r="O35" i="15" s="1"/>
  <c r="Q35" i="15" s="1"/>
  <c r="F11" i="4"/>
  <c r="C13" i="15"/>
  <c r="B11" i="5"/>
  <c r="D11" i="5" s="1"/>
  <c r="C27" i="15"/>
  <c r="B25" i="5"/>
  <c r="D25" i="5" s="1"/>
  <c r="F23" i="4"/>
  <c r="B23" i="5"/>
  <c r="D23" i="5" s="1"/>
  <c r="C25" i="15"/>
  <c r="O25" i="15" s="1"/>
  <c r="Q25" i="15" s="1"/>
  <c r="C24" i="15"/>
  <c r="O24" i="15" s="1"/>
  <c r="Q24" i="15" s="1"/>
  <c r="B22" i="5"/>
  <c r="D22" i="5" s="1"/>
  <c r="F22" i="4"/>
  <c r="F21" i="4"/>
  <c r="C23" i="15"/>
  <c r="O23" i="15" s="1"/>
  <c r="Q23" i="15" s="1"/>
  <c r="B21" i="5"/>
  <c r="D21" i="5" s="1"/>
  <c r="B74" i="5"/>
  <c r="D74" i="5" s="1"/>
  <c r="F75" i="4"/>
  <c r="C76" i="15"/>
  <c r="F29" i="4"/>
  <c r="B29" i="5"/>
  <c r="D29" i="5" s="1"/>
  <c r="C31" i="15"/>
  <c r="O31" i="15" s="1"/>
  <c r="Q31" i="15" s="1"/>
  <c r="P72" i="5"/>
  <c r="P78" i="5"/>
  <c r="P47" i="5"/>
  <c r="P9" i="5"/>
  <c r="P60" i="5"/>
  <c r="P59" i="5"/>
  <c r="P58" i="5"/>
  <c r="P10" i="5"/>
  <c r="P55" i="5"/>
  <c r="P45" i="5"/>
  <c r="P17" i="5"/>
  <c r="P49" i="5"/>
  <c r="P44" i="5"/>
  <c r="P43" i="5"/>
  <c r="P42" i="5"/>
  <c r="P41" i="5"/>
  <c r="P34" i="5"/>
  <c r="P24" i="5"/>
  <c r="P23" i="5"/>
  <c r="P22" i="5"/>
  <c r="P21" i="5"/>
  <c r="P50" i="5"/>
  <c r="P46" i="5"/>
  <c r="P29" i="5"/>
  <c r="P28" i="5"/>
  <c r="P48" i="5"/>
  <c r="P31" i="5"/>
  <c r="T78" i="5"/>
  <c r="B26" i="4" l="1"/>
  <c r="B51" i="4"/>
  <c r="B64" i="4" s="1"/>
  <c r="B26" i="5"/>
  <c r="D26" i="5" s="1"/>
  <c r="B35" i="4"/>
  <c r="B35" i="5" s="1"/>
  <c r="D35" i="5" s="1"/>
  <c r="J22" i="5"/>
  <c r="L22" i="5" s="1"/>
  <c r="J22" i="4"/>
  <c r="J33" i="4"/>
  <c r="J33" i="5"/>
  <c r="L33" i="5" s="1"/>
  <c r="J34" i="5"/>
  <c r="L34" i="5" s="1"/>
  <c r="J34" i="4"/>
  <c r="J32" i="5"/>
  <c r="L32" i="5" s="1"/>
  <c r="J17" i="5"/>
  <c r="L17" i="5" s="1"/>
  <c r="J17" i="4"/>
  <c r="B9" i="5"/>
  <c r="D9" i="5" s="1"/>
  <c r="C11" i="15"/>
  <c r="F9" i="4"/>
  <c r="B13" i="4"/>
  <c r="J12" i="5"/>
  <c r="L12" i="5" s="1"/>
  <c r="J28" i="4"/>
  <c r="J28" i="5"/>
  <c r="L28" i="5" s="1"/>
  <c r="J72" i="5"/>
  <c r="L72" i="5" s="1"/>
  <c r="J73" i="4"/>
  <c r="J23" i="5"/>
  <c r="L23" i="5" s="1"/>
  <c r="J23" i="4"/>
  <c r="J43" i="5"/>
  <c r="L43" i="5" s="1"/>
  <c r="J43" i="4"/>
  <c r="F49" i="4"/>
  <c r="C51" i="15"/>
  <c r="O51" i="15" s="1"/>
  <c r="Q51" i="15" s="1"/>
  <c r="B49" i="5"/>
  <c r="D49" i="5" s="1"/>
  <c r="J46" i="5"/>
  <c r="L46" i="5" s="1"/>
  <c r="J46" i="4"/>
  <c r="J27" i="5"/>
  <c r="L27" i="5" s="1"/>
  <c r="J48" i="4"/>
  <c r="J48" i="5"/>
  <c r="L48" i="5" s="1"/>
  <c r="J56" i="5"/>
  <c r="L56" i="5" s="1"/>
  <c r="B59" i="5"/>
  <c r="D59" i="5" s="1"/>
  <c r="F59" i="4"/>
  <c r="C61" i="15"/>
  <c r="O61" i="15" s="1"/>
  <c r="Q61" i="15" s="1"/>
  <c r="C26" i="15"/>
  <c r="O26" i="15" s="1"/>
  <c r="Q26" i="15" s="1"/>
  <c r="F24" i="4"/>
  <c r="B24" i="5"/>
  <c r="D24" i="5" s="1"/>
  <c r="J11" i="5"/>
  <c r="L11" i="5" s="1"/>
  <c r="J41" i="4"/>
  <c r="J41" i="5"/>
  <c r="L41" i="5" s="1"/>
  <c r="J42" i="5"/>
  <c r="L42" i="5" s="1"/>
  <c r="J42" i="4"/>
  <c r="B19" i="5"/>
  <c r="D19" i="5" s="1"/>
  <c r="C21" i="15"/>
  <c r="J47" i="5"/>
  <c r="L47" i="5" s="1"/>
  <c r="J47" i="4"/>
  <c r="C57" i="15"/>
  <c r="O57" i="15" s="1"/>
  <c r="Q57" i="15" s="1"/>
  <c r="F55" i="4"/>
  <c r="B55" i="5"/>
  <c r="D55" i="5" s="1"/>
  <c r="J16" i="5"/>
  <c r="L16" i="5" s="1"/>
  <c r="B18" i="5"/>
  <c r="D18" i="5" s="1"/>
  <c r="C20" i="15"/>
  <c r="O20" i="15" s="1"/>
  <c r="Q20" i="15" s="1"/>
  <c r="F18" i="4"/>
  <c r="C6" i="7"/>
  <c r="B73" i="5"/>
  <c r="D73" i="5" s="1"/>
  <c r="C75" i="15"/>
  <c r="C14" i="7"/>
  <c r="B83" i="5"/>
  <c r="D83" i="5" s="1"/>
  <c r="C83" i="15"/>
  <c r="J29" i="5"/>
  <c r="L29" i="5" s="1"/>
  <c r="J29" i="4"/>
  <c r="J74" i="5"/>
  <c r="L74" i="5" s="1"/>
  <c r="C22" i="15"/>
  <c r="B20" i="5"/>
  <c r="D20" i="5" s="1"/>
  <c r="J21" i="5"/>
  <c r="L21" i="5" s="1"/>
  <c r="J21" i="4"/>
  <c r="J40" i="5"/>
  <c r="L40" i="5" s="1"/>
  <c r="J44" i="4"/>
  <c r="J44" i="5"/>
  <c r="L44" i="5" s="1"/>
  <c r="B10" i="5"/>
  <c r="D10" i="5" s="1"/>
  <c r="F10" i="4"/>
  <c r="C12" i="15"/>
  <c r="O12" i="15" s="1"/>
  <c r="Q12" i="15" s="1"/>
  <c r="C47" i="15"/>
  <c r="O47" i="15" s="1"/>
  <c r="Q47" i="15" s="1"/>
  <c r="B45" i="5"/>
  <c r="D45" i="5" s="1"/>
  <c r="F45" i="4"/>
  <c r="J50" i="5"/>
  <c r="L50" i="5" s="1"/>
  <c r="J50" i="4"/>
  <c r="J54" i="5"/>
  <c r="L54" i="5" s="1"/>
  <c r="J57" i="5"/>
  <c r="L57" i="5" s="1"/>
  <c r="J57" i="4"/>
  <c r="J58" i="5"/>
  <c r="L58" i="5" s="1"/>
  <c r="J58" i="4"/>
  <c r="B60" i="5"/>
  <c r="D60" i="5" s="1"/>
  <c r="F60" i="4"/>
  <c r="C62" i="15"/>
  <c r="O62" i="15" s="1"/>
  <c r="Q62" i="15" s="1"/>
  <c r="F83" i="16" l="1"/>
  <c r="B51" i="5"/>
  <c r="D51" i="5" s="1"/>
  <c r="J60" i="4"/>
  <c r="J60" i="5"/>
  <c r="L60" i="5" s="1"/>
  <c r="N57" i="4"/>
  <c r="R57" i="5"/>
  <c r="T57" i="5" s="1"/>
  <c r="N50" i="4"/>
  <c r="R50" i="5"/>
  <c r="T50" i="5" s="1"/>
  <c r="R29" i="5"/>
  <c r="T29" i="5" s="1"/>
  <c r="R23" i="5"/>
  <c r="T23" i="5" s="1"/>
  <c r="N23" i="4"/>
  <c r="R33" i="5"/>
  <c r="T33" i="5" s="1"/>
  <c r="N33" i="4"/>
  <c r="R44" i="5"/>
  <c r="T44" i="5" s="1"/>
  <c r="N44" i="4"/>
  <c r="N21" i="4"/>
  <c r="R21" i="5"/>
  <c r="T21" i="5" s="1"/>
  <c r="J55" i="5"/>
  <c r="L55" i="5" s="1"/>
  <c r="J55" i="4"/>
  <c r="N41" i="4"/>
  <c r="R41" i="5"/>
  <c r="T41" i="5" s="1"/>
  <c r="J59" i="5"/>
  <c r="L59" i="5" s="1"/>
  <c r="J59" i="4"/>
  <c r="N46" i="4"/>
  <c r="R46" i="5"/>
  <c r="T46" i="5" s="1"/>
  <c r="J49" i="5"/>
  <c r="L49" i="5" s="1"/>
  <c r="J49" i="4"/>
  <c r="B13" i="5"/>
  <c r="D13" i="5" s="1"/>
  <c r="B71" i="4"/>
  <c r="B37" i="4"/>
  <c r="R17" i="5"/>
  <c r="T17" i="5" s="1"/>
  <c r="N17" i="4"/>
  <c r="R34" i="5"/>
  <c r="T34" i="5" s="1"/>
  <c r="N34" i="4"/>
  <c r="J10" i="16"/>
  <c r="N10" i="16" s="1"/>
  <c r="B64" i="5"/>
  <c r="D64" i="5" s="1"/>
  <c r="R58" i="5"/>
  <c r="T58" i="5" s="1"/>
  <c r="N58" i="4"/>
  <c r="J45" i="5"/>
  <c r="L45" i="5" s="1"/>
  <c r="J45" i="4"/>
  <c r="J10" i="4"/>
  <c r="J10" i="5"/>
  <c r="L10" i="5" s="1"/>
  <c r="F51" i="4"/>
  <c r="J18" i="5"/>
  <c r="L18" i="5" s="1"/>
  <c r="J18" i="4"/>
  <c r="N42" i="4"/>
  <c r="R42" i="5"/>
  <c r="T42" i="5" s="1"/>
  <c r="C53" i="15"/>
  <c r="N48" i="4"/>
  <c r="R48" i="5"/>
  <c r="T48" i="5" s="1"/>
  <c r="N43" i="4"/>
  <c r="R43" i="5"/>
  <c r="T43" i="5" s="1"/>
  <c r="R28" i="5"/>
  <c r="T28" i="5" s="1"/>
  <c r="N28" i="4"/>
  <c r="J9" i="5"/>
  <c r="L9" i="5" s="1"/>
  <c r="F13" i="4"/>
  <c r="J9" i="4"/>
  <c r="C28" i="15"/>
  <c r="C37" i="15" s="1"/>
  <c r="F62" i="4"/>
  <c r="J62" i="5" s="1"/>
  <c r="L62" i="5" s="1"/>
  <c r="N47" i="4"/>
  <c r="R47" i="5"/>
  <c r="T47" i="5" s="1"/>
  <c r="J24" i="5"/>
  <c r="L24" i="5" s="1"/>
  <c r="J24" i="4"/>
  <c r="R72" i="5"/>
  <c r="T72" i="5" s="1"/>
  <c r="N73" i="4"/>
  <c r="C15" i="15"/>
  <c r="O11" i="15"/>
  <c r="C64" i="15"/>
  <c r="R22" i="5"/>
  <c r="T22" i="5" s="1"/>
  <c r="O81" i="5"/>
  <c r="T31" i="5"/>
  <c r="E83" i="16" l="1"/>
  <c r="C39" i="15"/>
  <c r="N24" i="4"/>
  <c r="R24" i="5"/>
  <c r="T24" i="5" s="1"/>
  <c r="R18" i="5"/>
  <c r="T18" i="5" s="1"/>
  <c r="N18" i="4"/>
  <c r="N10" i="4"/>
  <c r="R10" i="5"/>
  <c r="T10" i="5" s="1"/>
  <c r="C72" i="15"/>
  <c r="B70" i="5"/>
  <c r="D70" i="5" s="1"/>
  <c r="B77" i="4"/>
  <c r="N45" i="4"/>
  <c r="R45" i="5"/>
  <c r="T45" i="5" s="1"/>
  <c r="Q11" i="15"/>
  <c r="R9" i="5"/>
  <c r="T9" i="5" s="1"/>
  <c r="F64" i="4"/>
  <c r="J51" i="5"/>
  <c r="L51" i="5" s="1"/>
  <c r="N49" i="4"/>
  <c r="R49" i="5"/>
  <c r="T49" i="5" s="1"/>
  <c r="N59" i="4"/>
  <c r="R59" i="5"/>
  <c r="T59" i="5" s="1"/>
  <c r="R55" i="5"/>
  <c r="T55" i="5" s="1"/>
  <c r="N55" i="4"/>
  <c r="R60" i="5"/>
  <c r="T60" i="5" s="1"/>
  <c r="N60" i="4"/>
  <c r="J13" i="5"/>
  <c r="L13" i="5" s="1"/>
  <c r="C66" i="15"/>
  <c r="B66" i="4"/>
  <c r="B67" i="4" s="1"/>
  <c r="P70" i="13" s="1"/>
  <c r="I10" i="16"/>
  <c r="M10" i="16" s="1"/>
  <c r="B37" i="5"/>
  <c r="D37" i="5" s="1"/>
  <c r="AQ70" i="13"/>
  <c r="BK70" i="17"/>
  <c r="X70" i="13"/>
  <c r="AD70" i="17"/>
  <c r="Z70" i="1"/>
  <c r="AN70" i="1"/>
  <c r="AO70" i="17"/>
  <c r="J70" i="17"/>
  <c r="K70" i="1"/>
  <c r="AY70" i="17"/>
  <c r="AO70" i="1"/>
  <c r="BI70" i="17"/>
  <c r="AL70" i="1"/>
  <c r="AR70" i="1"/>
  <c r="AD70" i="13"/>
  <c r="G70" i="17"/>
  <c r="AX70" i="17"/>
  <c r="C70" i="17"/>
  <c r="BI70" i="1"/>
  <c r="BR70" i="17"/>
  <c r="H70" i="17"/>
  <c r="AU70" i="17"/>
  <c r="BT70" i="17"/>
  <c r="O82" i="5"/>
  <c r="Y70" i="1" l="1"/>
  <c r="AV70" i="17"/>
  <c r="AX70" i="13"/>
  <c r="AJ70" i="1"/>
  <c r="BQ70" i="13"/>
  <c r="AN70" i="17"/>
  <c r="AN70" i="13"/>
  <c r="F70" i="17"/>
  <c r="E70" i="1"/>
  <c r="G70" i="1"/>
  <c r="BK70" i="1"/>
  <c r="K70" i="17"/>
  <c r="AW70" i="17"/>
  <c r="BG70" i="13"/>
  <c r="BS70" i="17"/>
  <c r="AM70" i="1"/>
  <c r="AV70" i="13"/>
  <c r="D63" i="10"/>
  <c r="AC70" i="13"/>
  <c r="AE70" i="17"/>
  <c r="AJ70" i="17"/>
  <c r="BV70" i="17"/>
  <c r="BL70" i="13"/>
  <c r="BJ70" i="1"/>
  <c r="K70" i="13"/>
  <c r="AI70" i="17"/>
  <c r="G63" i="12"/>
  <c r="H68" i="15" s="1"/>
  <c r="AB70" i="13"/>
  <c r="AT70" i="17"/>
  <c r="Y70" i="17"/>
  <c r="E70" i="13"/>
  <c r="BS70" i="13"/>
  <c r="Z70" i="17"/>
  <c r="C70" i="1"/>
  <c r="Q70" i="17"/>
  <c r="AZ70" i="17"/>
  <c r="Q70" i="1"/>
  <c r="T70" i="13"/>
  <c r="AM70" i="17"/>
  <c r="F70" i="13"/>
  <c r="AP70" i="17"/>
  <c r="Q70" i="13"/>
  <c r="AW70" i="13"/>
  <c r="BS70" i="1"/>
  <c r="BU70" i="13"/>
  <c r="AC70" i="17"/>
  <c r="M70" i="17"/>
  <c r="BC70" i="1"/>
  <c r="AE70" i="1"/>
  <c r="S70" i="1"/>
  <c r="N70" i="1"/>
  <c r="AT70" i="1"/>
  <c r="AM70" i="13"/>
  <c r="BD70" i="17"/>
  <c r="BF70" i="1"/>
  <c r="BG70" i="17"/>
  <c r="J70" i="1"/>
  <c r="AZ70" i="1"/>
  <c r="BT70" i="13"/>
  <c r="D70" i="17"/>
  <c r="BG70" i="1"/>
  <c r="AZ70" i="13"/>
  <c r="AQ70" i="1"/>
  <c r="I70" i="13"/>
  <c r="AL70" i="13"/>
  <c r="AB70" i="17"/>
  <c r="BI70" i="13"/>
  <c r="Z70" i="13"/>
  <c r="F63" i="12"/>
  <c r="G68" i="15" s="1"/>
  <c r="AY70" i="1"/>
  <c r="Y70" i="13"/>
  <c r="X70" i="17"/>
  <c r="X70" i="1"/>
  <c r="AU70" i="1"/>
  <c r="M70" i="1"/>
  <c r="H70" i="13"/>
  <c r="W70" i="13"/>
  <c r="BQ70" i="1"/>
  <c r="BD70" i="1"/>
  <c r="BQ70" i="17"/>
  <c r="U70" i="13"/>
  <c r="L70" i="17"/>
  <c r="BN70" i="13"/>
  <c r="AA70" i="13"/>
  <c r="BM70" i="13"/>
  <c r="U70" i="17"/>
  <c r="S70" i="13"/>
  <c r="D63" i="12"/>
  <c r="E68" i="15" s="1"/>
  <c r="AA70" i="17"/>
  <c r="BV70" i="1"/>
  <c r="AG70" i="13"/>
  <c r="AH70" i="17"/>
  <c r="J70" i="13"/>
  <c r="L70" i="1"/>
  <c r="BH70" i="1"/>
  <c r="I63" i="10"/>
  <c r="AT70" i="13"/>
  <c r="AF70" i="1"/>
  <c r="AA70" i="1"/>
  <c r="P70" i="17"/>
  <c r="AY70" i="13"/>
  <c r="V70" i="17"/>
  <c r="W70" i="17"/>
  <c r="BP70" i="13"/>
  <c r="F70" i="1"/>
  <c r="BL70" i="1"/>
  <c r="BJ70" i="13"/>
  <c r="AR70" i="13"/>
  <c r="AH70" i="1"/>
  <c r="I70" i="17"/>
  <c r="C70" i="13"/>
  <c r="J63" i="10"/>
  <c r="AK70" i="13"/>
  <c r="G63" i="10"/>
  <c r="BU70" i="17"/>
  <c r="BA70" i="17"/>
  <c r="BO70" i="17"/>
  <c r="BL70" i="17"/>
  <c r="AH70" i="13"/>
  <c r="BW70" i="1"/>
  <c r="U70" i="1"/>
  <c r="P70" i="1"/>
  <c r="L70" i="13"/>
  <c r="BC70" i="13"/>
  <c r="AF70" i="13"/>
  <c r="AQ70" i="17"/>
  <c r="BV70" i="13"/>
  <c r="F63" i="10"/>
  <c r="BE70" i="1"/>
  <c r="BB70" i="13"/>
  <c r="W70" i="1"/>
  <c r="AF70" i="17"/>
  <c r="BT70" i="1"/>
  <c r="BR70" i="1"/>
  <c r="T70" i="17"/>
  <c r="AP70" i="1"/>
  <c r="T70" i="1"/>
  <c r="BH70" i="17"/>
  <c r="O70" i="1"/>
  <c r="BP70" i="1"/>
  <c r="AB70" i="1"/>
  <c r="AK70" i="17"/>
  <c r="BD70" i="13"/>
  <c r="BA70" i="1"/>
  <c r="I70" i="1"/>
  <c r="BJ70" i="17"/>
  <c r="BN70" i="1"/>
  <c r="AI70" i="1"/>
  <c r="E70" i="17"/>
  <c r="AD70" i="1"/>
  <c r="BC70" i="17"/>
  <c r="AR70" i="17"/>
  <c r="BO70" i="13"/>
  <c r="D70" i="1"/>
  <c r="AG70" i="17"/>
  <c r="AC70" i="1"/>
  <c r="M70" i="13"/>
  <c r="BO70" i="1"/>
  <c r="BX70" i="1"/>
  <c r="BH70" i="13"/>
  <c r="AI70" i="13"/>
  <c r="BK70" i="13"/>
  <c r="AL70" i="17"/>
  <c r="N70" i="17"/>
  <c r="BA70" i="13"/>
  <c r="AP70" i="13"/>
  <c r="V70" i="1"/>
  <c r="G70" i="13"/>
  <c r="BM70" i="1"/>
  <c r="O70" i="13"/>
  <c r="BR70" i="13"/>
  <c r="BM70" i="17"/>
  <c r="BN70" i="17"/>
  <c r="BU70" i="1"/>
  <c r="BP70" i="17"/>
  <c r="H70" i="1"/>
  <c r="AV70" i="1"/>
  <c r="BB70" i="1"/>
  <c r="D70" i="13"/>
  <c r="AK70" i="1"/>
  <c r="V70" i="13"/>
  <c r="AG70" i="1"/>
  <c r="AW70" i="1"/>
  <c r="N70" i="13"/>
  <c r="BB70" i="17"/>
  <c r="AU70" i="13"/>
  <c r="AX70" i="1"/>
  <c r="S70" i="17"/>
  <c r="AJ70" i="13"/>
  <c r="AO70" i="13"/>
  <c r="O70" i="17"/>
  <c r="B76" i="5"/>
  <c r="D76" i="5" s="1"/>
  <c r="C78" i="15"/>
  <c r="B80" i="4"/>
  <c r="AE70" i="13"/>
  <c r="B67" i="5"/>
  <c r="D67" i="5" s="1"/>
  <c r="C68" i="15"/>
  <c r="O68" i="15" s="1"/>
  <c r="Q68" i="15" s="1"/>
  <c r="J64" i="5"/>
  <c r="L64" i="5" s="1"/>
  <c r="C10" i="7"/>
  <c r="C12" i="7" s="1"/>
  <c r="C16" i="7" l="1"/>
  <c r="AS77" i="1" s="1"/>
  <c r="C24" i="7"/>
  <c r="C81" i="15"/>
  <c r="B82" i="4"/>
  <c r="B79" i="5"/>
  <c r="D79" i="5" s="1"/>
  <c r="X31" i="5"/>
  <c r="H70" i="10" l="1"/>
  <c r="AS80" i="1"/>
  <c r="B77" i="1"/>
  <c r="D74" i="4" s="1"/>
  <c r="B81" i="5"/>
  <c r="B83" i="4"/>
  <c r="F83" i="4" l="1"/>
  <c r="B82" i="5"/>
  <c r="F73" i="5"/>
  <c r="H73" i="5" s="1"/>
  <c r="F74" i="4"/>
  <c r="AS83" i="1"/>
  <c r="C70" i="10"/>
  <c r="H73" i="10"/>
  <c r="H76" i="10" l="1"/>
  <c r="AS85" i="1"/>
  <c r="J73" i="5"/>
  <c r="L73" i="5" s="1"/>
  <c r="J82" i="5"/>
  <c r="L82" i="5" s="1"/>
  <c r="W81" i="5"/>
  <c r="H78" i="10" l="1"/>
  <c r="AS87" i="1"/>
  <c r="W82" i="5"/>
  <c r="X82" i="5" s="1"/>
  <c r="H80" i="10" l="1"/>
  <c r="AS33" i="1"/>
  <c r="AS38" i="1" l="1"/>
  <c r="H27" i="10"/>
  <c r="H32" i="10" s="1"/>
  <c r="H34" i="10" s="1"/>
  <c r="AS40" i="1" l="1"/>
  <c r="H63" i="10"/>
  <c r="AS70" i="1" l="1"/>
  <c r="D24" i="3" l="1"/>
  <c r="D22" i="3" l="1"/>
  <c r="D23" i="3"/>
  <c r="D21" i="3"/>
  <c r="D20" i="3" l="1"/>
  <c r="D26" i="3" s="1"/>
  <c r="D30" i="3" s="1"/>
  <c r="D32" i="3" s="1"/>
  <c r="D34" i="3" s="1"/>
  <c r="G59" i="16" l="1"/>
  <c r="G21" i="16"/>
  <c r="G45" i="16"/>
  <c r="G67" i="16"/>
  <c r="G14" i="16"/>
  <c r="G40" i="16"/>
  <c r="G54" i="16"/>
  <c r="G16" i="16"/>
  <c r="G70" i="16"/>
  <c r="G15" i="16"/>
  <c r="G42" i="16"/>
  <c r="G74" i="16"/>
  <c r="G41" i="16"/>
  <c r="G29" i="16"/>
  <c r="G26" i="16"/>
  <c r="G17" i="16"/>
  <c r="G68" i="16"/>
  <c r="G47" i="16"/>
  <c r="G46" i="16"/>
  <c r="G64" i="16"/>
  <c r="Z71" i="1"/>
  <c r="G36" i="16"/>
  <c r="AB71" i="1"/>
  <c r="G65" i="16"/>
  <c r="K20" i="16"/>
  <c r="AN71" i="1"/>
  <c r="AA71" i="13"/>
  <c r="AY71" i="13"/>
  <c r="I71" i="1"/>
  <c r="AV71" i="17"/>
  <c r="AQ71" i="17"/>
  <c r="BA71" i="13"/>
  <c r="BP71" i="1"/>
  <c r="K48" i="16"/>
  <c r="K16" i="16"/>
  <c r="N71" i="17"/>
  <c r="K24" i="16"/>
  <c r="Q71" i="17"/>
  <c r="F64" i="11"/>
  <c r="BS71" i="17"/>
  <c r="C71" i="1"/>
  <c r="H71" i="17"/>
  <c r="V71" i="1"/>
  <c r="BO71" i="17"/>
  <c r="BT71" i="13"/>
  <c r="BK71" i="13"/>
  <c r="BX71" i="1"/>
  <c r="AO71" i="17"/>
  <c r="BT71" i="17"/>
  <c r="M71" i="13"/>
  <c r="BC71" i="17"/>
  <c r="J64" i="10"/>
  <c r="K63" i="16"/>
  <c r="G71" i="13"/>
  <c r="W71" i="13"/>
  <c r="BH71" i="17"/>
  <c r="BU71" i="1"/>
  <c r="BV71" i="1"/>
  <c r="BM71" i="13"/>
  <c r="AB71" i="13"/>
  <c r="K66" i="16"/>
  <c r="I71" i="17"/>
  <c r="K19" i="16"/>
  <c r="AW71" i="1"/>
  <c r="X71" i="17"/>
  <c r="BT71" i="1"/>
  <c r="K14" i="16"/>
  <c r="S71" i="1"/>
  <c r="AF71" i="17"/>
  <c r="AH71" i="17"/>
  <c r="BI71" i="1"/>
  <c r="K27" i="16"/>
  <c r="K70" i="16"/>
  <c r="G64" i="11"/>
  <c r="BS71" i="13"/>
  <c r="AI71" i="1"/>
  <c r="L71" i="17"/>
  <c r="S71" i="17"/>
  <c r="K67" i="16"/>
  <c r="K18" i="16"/>
  <c r="E71" i="13"/>
  <c r="N71" i="1"/>
  <c r="AL71" i="13"/>
  <c r="BM71" i="1"/>
  <c r="BA71" i="1"/>
  <c r="K26" i="16"/>
  <c r="AO71" i="1"/>
  <c r="K25" i="16"/>
  <c r="G34" i="16"/>
  <c r="G63" i="16"/>
  <c r="G53" i="16"/>
  <c r="G33" i="16"/>
  <c r="AR71" i="13"/>
  <c r="G18" i="16"/>
  <c r="G31" i="16"/>
  <c r="G62" i="16"/>
  <c r="G35" i="16"/>
  <c r="G27" i="16"/>
  <c r="G25" i="16"/>
  <c r="G39" i="16"/>
  <c r="G72" i="16"/>
  <c r="G73" i="16"/>
  <c r="Y71" i="1"/>
  <c r="BP71" i="13"/>
  <c r="BO71" i="13"/>
  <c r="K71" i="17"/>
  <c r="AD71" i="13"/>
  <c r="AT71" i="17"/>
  <c r="AL71" i="17"/>
  <c r="AV71" i="1"/>
  <c r="BU71" i="17"/>
  <c r="AY71" i="17"/>
  <c r="AH71" i="13"/>
  <c r="K36" i="16"/>
  <c r="O36" i="16" s="1"/>
  <c r="F71" i="13"/>
  <c r="AJ71" i="17"/>
  <c r="J71" i="1"/>
  <c r="BD71" i="17"/>
  <c r="AG71" i="13"/>
  <c r="K57" i="16"/>
  <c r="O71" i="1"/>
  <c r="G64" i="12"/>
  <c r="H69" i="15" s="1"/>
  <c r="AK71" i="17"/>
  <c r="N71" i="13"/>
  <c r="N90" i="13" s="1"/>
  <c r="K71" i="13"/>
  <c r="AC71" i="1"/>
  <c r="K72" i="16"/>
  <c r="H71" i="13"/>
  <c r="U71" i="1"/>
  <c r="D64" i="10"/>
  <c r="K56" i="16"/>
  <c r="U71" i="13"/>
  <c r="D71" i="13"/>
  <c r="BW71" i="1"/>
  <c r="AZ71" i="13"/>
  <c r="BN71" i="1"/>
  <c r="AP71" i="13"/>
  <c r="BL71" i="13"/>
  <c r="Z71" i="13"/>
  <c r="AI71" i="13"/>
  <c r="AK71" i="1"/>
  <c r="AE71" i="1"/>
  <c r="BQ71" i="17"/>
  <c r="AC71" i="17"/>
  <c r="AZ71" i="1"/>
  <c r="AM71" i="13"/>
  <c r="X71" i="13"/>
  <c r="C71" i="17"/>
  <c r="AF71" i="13"/>
  <c r="T71" i="17"/>
  <c r="AM71" i="17"/>
  <c r="I71" i="13"/>
  <c r="E71" i="17"/>
  <c r="G71" i="17"/>
  <c r="K29" i="16"/>
  <c r="O29" i="16" s="1"/>
  <c r="K71" i="16"/>
  <c r="K69" i="16"/>
  <c r="AX71" i="1"/>
  <c r="BR71" i="17"/>
  <c r="AB71" i="17"/>
  <c r="F71" i="1"/>
  <c r="BV71" i="17"/>
  <c r="BI71" i="17"/>
  <c r="AL71" i="1"/>
  <c r="F64" i="10"/>
  <c r="AZ71" i="17"/>
  <c r="K35" i="16"/>
  <c r="Y71" i="13"/>
  <c r="G13" i="16"/>
  <c r="G66" i="16"/>
  <c r="G69" i="16"/>
  <c r="G48" i="16"/>
  <c r="G56" i="16"/>
  <c r="G30" i="16"/>
  <c r="G52" i="16"/>
  <c r="BH71" i="13"/>
  <c r="J71" i="17"/>
  <c r="V71" i="13"/>
  <c r="BG71" i="1"/>
  <c r="AX71" i="17"/>
  <c r="K45" i="16"/>
  <c r="K32" i="16"/>
  <c r="I64" i="10"/>
  <c r="K68" i="16"/>
  <c r="AW71" i="17"/>
  <c r="BI71" i="13"/>
  <c r="BJ71" i="13"/>
  <c r="BR71" i="1"/>
  <c r="AV71" i="13"/>
  <c r="K34" i="16"/>
  <c r="K15" i="16"/>
  <c r="BC71" i="1"/>
  <c r="AU71" i="13"/>
  <c r="AN71" i="13"/>
  <c r="K55" i="16"/>
  <c r="K73" i="16"/>
  <c r="BL71" i="1"/>
  <c r="O71" i="17"/>
  <c r="W71" i="17"/>
  <c r="AE71" i="17"/>
  <c r="K33" i="16"/>
  <c r="AA71" i="1"/>
  <c r="G20" i="16"/>
  <c r="G28" i="16"/>
  <c r="K49" i="16"/>
  <c r="G19" i="16"/>
  <c r="M71" i="1"/>
  <c r="BN71" i="13"/>
  <c r="L71" i="1"/>
  <c r="AX71" i="13"/>
  <c r="BB71" i="17"/>
  <c r="BP71" i="17"/>
  <c r="P71" i="13"/>
  <c r="AJ71" i="13"/>
  <c r="BJ71" i="1"/>
  <c r="BQ71" i="1"/>
  <c r="AN71" i="17"/>
  <c r="K54" i="16"/>
  <c r="BC71" i="13"/>
  <c r="K17" i="16"/>
  <c r="E71" i="1"/>
  <c r="BQ71" i="13"/>
  <c r="BF71" i="1"/>
  <c r="BG71" i="17"/>
  <c r="G64" i="10"/>
  <c r="AG71" i="17"/>
  <c r="AD71" i="1"/>
  <c r="Q71" i="13"/>
  <c r="BB71" i="13"/>
  <c r="BJ71" i="17"/>
  <c r="BA71" i="17"/>
  <c r="AT71" i="1"/>
  <c r="BD71" i="1"/>
  <c r="D71" i="17"/>
  <c r="BO71" i="1"/>
  <c r="D71" i="1"/>
  <c r="AT71" i="13"/>
  <c r="K31" i="16"/>
  <c r="G32" i="16"/>
  <c r="AR71" i="17"/>
  <c r="G57" i="16"/>
  <c r="G49" i="16"/>
  <c r="G71" i="16"/>
  <c r="BG71" i="13"/>
  <c r="AP71" i="1"/>
  <c r="C71" i="13"/>
  <c r="BH71" i="1"/>
  <c r="AQ71" i="13"/>
  <c r="BD71" i="13"/>
  <c r="AK71" i="13"/>
  <c r="AI71" i="17"/>
  <c r="U71" i="17"/>
  <c r="AQ71" i="1"/>
  <c r="K28" i="16"/>
  <c r="AE71" i="13"/>
  <c r="K71" i="1"/>
  <c r="AG71" i="1"/>
  <c r="K41" i="16"/>
  <c r="D64" i="12"/>
  <c r="E69" i="15" s="1"/>
  <c r="K62" i="16"/>
  <c r="BB71" i="1"/>
  <c r="BV71" i="13"/>
  <c r="Z71" i="17"/>
  <c r="K46" i="16"/>
  <c r="O46" i="16" s="1"/>
  <c r="AC71" i="13"/>
  <c r="K64" i="16"/>
  <c r="F71" i="17"/>
  <c r="AU71" i="17"/>
  <c r="X71" i="1"/>
  <c r="BN71" i="17"/>
  <c r="AY71" i="1"/>
  <c r="AU71" i="1"/>
  <c r="BM71" i="17"/>
  <c r="O71" i="13"/>
  <c r="K13" i="16"/>
  <c r="AH71" i="1"/>
  <c r="G71" i="1"/>
  <c r="AJ71" i="1"/>
  <c r="K59" i="16"/>
  <c r="K40" i="16"/>
  <c r="O40" i="16" s="1"/>
  <c r="G78" i="16"/>
  <c r="G10" i="16"/>
  <c r="BS71" i="1"/>
  <c r="F64" i="12"/>
  <c r="G69" i="15" s="1"/>
  <c r="BR71" i="13"/>
  <c r="S71" i="13"/>
  <c r="AP71" i="17"/>
  <c r="K58" i="16"/>
  <c r="T71" i="1"/>
  <c r="K47" i="16"/>
  <c r="O47" i="16" s="1"/>
  <c r="BE71" i="1"/>
  <c r="K42" i="16"/>
  <c r="Y71" i="17"/>
  <c r="G58" i="16"/>
  <c r="AD71" i="17"/>
  <c r="V71" i="17"/>
  <c r="BK71" i="1"/>
  <c r="AO71" i="13"/>
  <c r="K74" i="16"/>
  <c r="AF71" i="1"/>
  <c r="L71" i="13"/>
  <c r="D64" i="11"/>
  <c r="BL71" i="17"/>
  <c r="Q71" i="1"/>
  <c r="AR71" i="1"/>
  <c r="G24" i="16"/>
  <c r="W71" i="1"/>
  <c r="P71" i="1"/>
  <c r="J71" i="13"/>
  <c r="K21" i="16"/>
  <c r="H71" i="1"/>
  <c r="K39" i="16"/>
  <c r="AA71" i="17"/>
  <c r="BU71" i="13"/>
  <c r="AM71" i="1"/>
  <c r="P71" i="17"/>
  <c r="T71" i="13"/>
  <c r="BK71" i="17"/>
  <c r="G55" i="16"/>
  <c r="K53" i="16"/>
  <c r="M71" i="17"/>
  <c r="AW71" i="13"/>
  <c r="B68" i="4"/>
  <c r="C69" i="15" s="1"/>
  <c r="K10" i="16"/>
  <c r="H64" i="10"/>
  <c r="AS71" i="1"/>
  <c r="O54" i="16" l="1"/>
  <c r="O57" i="16"/>
  <c r="O33" i="16"/>
  <c r="O71" i="16"/>
  <c r="O67" i="16"/>
  <c r="O16" i="16"/>
  <c r="O26" i="16"/>
  <c r="K43" i="16"/>
  <c r="R43" i="16" s="1"/>
  <c r="O68" i="16"/>
  <c r="O53" i="16"/>
  <c r="O59" i="16"/>
  <c r="O31" i="16"/>
  <c r="O70" i="16"/>
  <c r="O14" i="16"/>
  <c r="O73" i="16"/>
  <c r="O74" i="16"/>
  <c r="O64" i="16"/>
  <c r="O49" i="16"/>
  <c r="O17" i="16"/>
  <c r="O42" i="16"/>
  <c r="O69" i="16"/>
  <c r="G37" i="16"/>
  <c r="O34" i="16"/>
  <c r="K50" i="16"/>
  <c r="R50" i="16" s="1"/>
  <c r="G22" i="16"/>
  <c r="O66" i="16"/>
  <c r="O28" i="16"/>
  <c r="O56" i="16"/>
  <c r="O72" i="16"/>
  <c r="O35" i="16"/>
  <c r="O48" i="16"/>
  <c r="G50" i="16"/>
  <c r="O45" i="16"/>
  <c r="O13" i="16"/>
  <c r="K22" i="16"/>
  <c r="R23" i="16" s="1"/>
  <c r="O55" i="16"/>
  <c r="G60" i="16"/>
  <c r="G43" i="16"/>
  <c r="O39" i="16"/>
  <c r="O62" i="16"/>
  <c r="G75" i="16"/>
  <c r="O19" i="16"/>
  <c r="O63" i="16"/>
  <c r="O24" i="16"/>
  <c r="O15" i="16"/>
  <c r="O21" i="16"/>
  <c r="O10" i="16"/>
  <c r="O58" i="16"/>
  <c r="O32" i="16"/>
  <c r="O25" i="16"/>
  <c r="O18" i="16"/>
  <c r="O27" i="16"/>
  <c r="O20" i="16"/>
  <c r="O41" i="16"/>
  <c r="O43" i="16" l="1"/>
  <c r="O50" i="16"/>
  <c r="G81" i="16"/>
  <c r="O22" i="16"/>
  <c r="R23" i="1" l="1"/>
  <c r="R22" i="1"/>
  <c r="BF79" i="17"/>
  <c r="BX79" i="17"/>
  <c r="R28" i="17"/>
  <c r="BX78" i="17"/>
  <c r="BE57" i="17"/>
  <c r="BW14" i="17"/>
  <c r="BW23" i="17"/>
  <c r="BX86" i="17"/>
  <c r="BE43" i="17"/>
  <c r="BW57" i="17"/>
  <c r="BX15" i="17"/>
  <c r="BE30" i="17"/>
  <c r="R28" i="1"/>
  <c r="I24" i="11" l="1"/>
  <c r="BE30" i="13"/>
  <c r="BE74" i="17"/>
  <c r="BE80" i="17" s="1"/>
  <c r="BE83" i="17" s="1"/>
  <c r="BE85" i="17" s="1"/>
  <c r="BE87" i="17" s="1"/>
  <c r="BE33" i="17" s="1"/>
  <c r="BW57" i="13"/>
  <c r="BW65" i="13" s="1"/>
  <c r="J51" i="11"/>
  <c r="BW65" i="17"/>
  <c r="J9" i="11"/>
  <c r="BX15" i="13"/>
  <c r="BX16" i="17"/>
  <c r="BX74" i="17" s="1"/>
  <c r="BX80" i="17" s="1"/>
  <c r="BX83" i="17" s="1"/>
  <c r="BX85" i="17" s="1"/>
  <c r="BX87" i="17" s="1"/>
  <c r="BX33" i="17" s="1"/>
  <c r="B15" i="17"/>
  <c r="H12" i="4" s="1"/>
  <c r="J79" i="11"/>
  <c r="BX86" i="13"/>
  <c r="B86" i="13" s="1"/>
  <c r="B86" i="17"/>
  <c r="H83" i="4" s="1"/>
  <c r="J17" i="11"/>
  <c r="BW23" i="13"/>
  <c r="B23" i="17"/>
  <c r="H20" i="4" s="1"/>
  <c r="N20" i="5" s="1"/>
  <c r="P20" i="5" s="1"/>
  <c r="E22" i="11"/>
  <c r="B28" i="17"/>
  <c r="H25" i="4" s="1"/>
  <c r="N25" i="5" s="1"/>
  <c r="P25" i="5" s="1"/>
  <c r="R29" i="17"/>
  <c r="BW22" i="17"/>
  <c r="BF79" i="13"/>
  <c r="I72" i="11"/>
  <c r="B79" i="17"/>
  <c r="H76" i="4" s="1"/>
  <c r="N75" i="5" s="1"/>
  <c r="P75" i="5" s="1"/>
  <c r="I37" i="11"/>
  <c r="BE43" i="13"/>
  <c r="BE54" i="17"/>
  <c r="R79" i="1"/>
  <c r="I51" i="11"/>
  <c r="B57" i="17"/>
  <c r="H54" i="4" s="1"/>
  <c r="BE57" i="13"/>
  <c r="BE65" i="17"/>
  <c r="BF78" i="17"/>
  <c r="BX35" i="17"/>
  <c r="BF35" i="17"/>
  <c r="J8" i="11"/>
  <c r="BW14" i="13"/>
  <c r="BW16" i="17"/>
  <c r="B14" i="17"/>
  <c r="H11" i="4" s="1"/>
  <c r="BX78" i="13"/>
  <c r="J71" i="11"/>
  <c r="J71" i="12" s="1"/>
  <c r="K76" i="15" s="1"/>
  <c r="BX59" i="17"/>
  <c r="B28" i="1"/>
  <c r="D25" i="4" s="1"/>
  <c r="E22" i="10"/>
  <c r="R28" i="13"/>
  <c r="B28" i="13" s="1"/>
  <c r="J72" i="11"/>
  <c r="J72" i="12" s="1"/>
  <c r="K77" i="15" s="1"/>
  <c r="BX79" i="13"/>
  <c r="B22" i="1"/>
  <c r="D19" i="4" s="1"/>
  <c r="E16" i="10"/>
  <c r="R22" i="13"/>
  <c r="R29" i="1"/>
  <c r="BF59" i="17"/>
  <c r="B23" i="1"/>
  <c r="D20" i="4" s="1"/>
  <c r="E17" i="10"/>
  <c r="R23" i="13"/>
  <c r="B23" i="13" s="1"/>
  <c r="BW30" i="17"/>
  <c r="BW43" i="17"/>
  <c r="B43" i="17" s="1"/>
  <c r="H40" i="4" s="1"/>
  <c r="F20" i="5" l="1"/>
  <c r="H20" i="5" s="1"/>
  <c r="F20" i="4"/>
  <c r="C16" i="10"/>
  <c r="E16" i="12"/>
  <c r="E23" i="10"/>
  <c r="E67" i="10" s="1"/>
  <c r="BX59" i="13"/>
  <c r="BX65" i="13" s="1"/>
  <c r="BX67" i="13" s="1"/>
  <c r="J53" i="11"/>
  <c r="J53" i="12" s="1"/>
  <c r="K58" i="15" s="1"/>
  <c r="BX65" i="17"/>
  <c r="BX67" i="17" s="1"/>
  <c r="B16" i="17"/>
  <c r="BX35" i="13"/>
  <c r="J29" i="11"/>
  <c r="J29" i="12" s="1"/>
  <c r="K34" i="15" s="1"/>
  <c r="N54" i="5"/>
  <c r="P54" i="5" s="1"/>
  <c r="J54" i="4"/>
  <c r="N40" i="5"/>
  <c r="P40" i="5" s="1"/>
  <c r="H51" i="4"/>
  <c r="J40" i="4"/>
  <c r="C22" i="11"/>
  <c r="E23" i="11"/>
  <c r="E67" i="11" s="1"/>
  <c r="N82" i="5"/>
  <c r="P82" i="5" s="1"/>
  <c r="J83" i="4"/>
  <c r="N12" i="5"/>
  <c r="P12" i="5" s="1"/>
  <c r="J12" i="4"/>
  <c r="BE38" i="17"/>
  <c r="BE40" i="17" s="1"/>
  <c r="BE33" i="13"/>
  <c r="BE38" i="13" s="1"/>
  <c r="BE40" i="13" s="1"/>
  <c r="BF59" i="13"/>
  <c r="BF65" i="17"/>
  <c r="BF67" i="17" s="1"/>
  <c r="I53" i="11"/>
  <c r="B59" i="17"/>
  <c r="H56" i="4" s="1"/>
  <c r="F19" i="5"/>
  <c r="H19" i="5" s="1"/>
  <c r="D26" i="4"/>
  <c r="F19" i="4"/>
  <c r="BW16" i="13"/>
  <c r="B14" i="13"/>
  <c r="BF78" i="13"/>
  <c r="BF80" i="17"/>
  <c r="BF83" i="17" s="1"/>
  <c r="BF85" i="17" s="1"/>
  <c r="BF87" i="17" s="1"/>
  <c r="BF33" i="17" s="1"/>
  <c r="I71" i="11"/>
  <c r="B78" i="17"/>
  <c r="H75" i="4" s="1"/>
  <c r="C51" i="11"/>
  <c r="I51" i="12"/>
  <c r="I59" i="11"/>
  <c r="I37" i="12"/>
  <c r="I48" i="11"/>
  <c r="BW22" i="13"/>
  <c r="J16" i="11"/>
  <c r="B22" i="17"/>
  <c r="H19" i="4" s="1"/>
  <c r="N19" i="5" s="1"/>
  <c r="P19" i="5" s="1"/>
  <c r="BX38" i="17"/>
  <c r="BX40" i="17" s="1"/>
  <c r="BX33" i="13"/>
  <c r="BE74" i="13"/>
  <c r="BE80" i="13" s="1"/>
  <c r="BE83" i="13" s="1"/>
  <c r="BE85" i="13" s="1"/>
  <c r="BE87" i="13" s="1"/>
  <c r="BW43" i="13"/>
  <c r="BW54" i="13" s="1"/>
  <c r="BW67" i="13" s="1"/>
  <c r="J37" i="11"/>
  <c r="C37" i="11" s="1"/>
  <c r="C48" i="11" s="1"/>
  <c r="BW54" i="17"/>
  <c r="BW67" i="17" s="1"/>
  <c r="BW19" i="17"/>
  <c r="J24" i="11"/>
  <c r="J24" i="12" s="1"/>
  <c r="K29" i="15" s="1"/>
  <c r="BW30" i="13"/>
  <c r="B30" i="13" s="1"/>
  <c r="R74" i="1"/>
  <c r="B29" i="1"/>
  <c r="C22" i="10"/>
  <c r="E22" i="12"/>
  <c r="J10" i="11"/>
  <c r="J8" i="12"/>
  <c r="C8" i="11"/>
  <c r="B65" i="17"/>
  <c r="B79" i="1"/>
  <c r="D76" i="4" s="1"/>
  <c r="E72" i="10"/>
  <c r="R79" i="13"/>
  <c r="B79" i="13" s="1"/>
  <c r="BE67" i="17"/>
  <c r="B67" i="17" s="1"/>
  <c r="B54" i="17"/>
  <c r="R74" i="17"/>
  <c r="C79" i="11"/>
  <c r="J79" i="12"/>
  <c r="C79" i="12" s="1"/>
  <c r="BX16" i="13"/>
  <c r="BX74" i="13" s="1"/>
  <c r="BX80" i="13" s="1"/>
  <c r="BX83" i="13" s="1"/>
  <c r="BX85" i="13" s="1"/>
  <c r="BX87" i="13" s="1"/>
  <c r="B15" i="13"/>
  <c r="J51" i="12"/>
  <c r="B30" i="17"/>
  <c r="H27" i="4" s="1"/>
  <c r="C17" i="10"/>
  <c r="E17" i="12"/>
  <c r="B22" i="13"/>
  <c r="R29" i="13"/>
  <c r="F25" i="5"/>
  <c r="H25" i="5" s="1"/>
  <c r="F25" i="4"/>
  <c r="N11" i="5"/>
  <c r="P11" i="5" s="1"/>
  <c r="H13" i="4"/>
  <c r="J11" i="4"/>
  <c r="BF35" i="13"/>
  <c r="I29" i="11"/>
  <c r="B35" i="17"/>
  <c r="H32" i="4" s="1"/>
  <c r="B57" i="13"/>
  <c r="BE65" i="13"/>
  <c r="BE54" i="13"/>
  <c r="B43" i="13"/>
  <c r="C72" i="11"/>
  <c r="I72" i="12"/>
  <c r="J77" i="15" s="1"/>
  <c r="J17" i="12"/>
  <c r="K22" i="15" s="1"/>
  <c r="C17" i="11"/>
  <c r="J9" i="12"/>
  <c r="C9" i="11"/>
  <c r="C24" i="11"/>
  <c r="I24" i="12"/>
  <c r="I67" i="11"/>
  <c r="I73" i="11" l="1"/>
  <c r="I76" i="11" s="1"/>
  <c r="I78" i="11" s="1"/>
  <c r="I80" i="11" s="1"/>
  <c r="I27" i="11" s="1"/>
  <c r="I32" i="11" s="1"/>
  <c r="I34" i="11" s="1"/>
  <c r="BX38" i="13"/>
  <c r="J77" i="16"/>
  <c r="N77" i="16" s="1"/>
  <c r="J29" i="15"/>
  <c r="M29" i="15" s="1"/>
  <c r="O29" i="15" s="1"/>
  <c r="Q29" i="15" s="1"/>
  <c r="C24" i="12"/>
  <c r="I67" i="12"/>
  <c r="N32" i="5"/>
  <c r="P32" i="5" s="1"/>
  <c r="J32" i="4"/>
  <c r="N13" i="5"/>
  <c r="P13" i="5" s="1"/>
  <c r="R74" i="13"/>
  <c r="C10" i="11"/>
  <c r="J16" i="12"/>
  <c r="K21" i="15" s="1"/>
  <c r="C16" i="11"/>
  <c r="N74" i="5"/>
  <c r="P74" i="5" s="1"/>
  <c r="J75" i="4"/>
  <c r="BF65" i="13"/>
  <c r="BF67" i="13" s="1"/>
  <c r="B59" i="13"/>
  <c r="R12" i="5"/>
  <c r="T12" i="5" s="1"/>
  <c r="N12" i="4"/>
  <c r="E73" i="11"/>
  <c r="F21" i="15"/>
  <c r="E23" i="12"/>
  <c r="BE67" i="13"/>
  <c r="BE70" i="13" s="1"/>
  <c r="B54" i="13"/>
  <c r="C29" i="11"/>
  <c r="I29" i="12"/>
  <c r="N27" i="5"/>
  <c r="P27" i="5" s="1"/>
  <c r="J27" i="4"/>
  <c r="R80" i="17"/>
  <c r="R83" i="17" s="1"/>
  <c r="C72" i="10"/>
  <c r="E72" i="12"/>
  <c r="K13" i="15"/>
  <c r="J10" i="12"/>
  <c r="C8" i="12"/>
  <c r="J37" i="12"/>
  <c r="C37" i="12" s="1"/>
  <c r="C48" i="12" s="1"/>
  <c r="J48" i="11"/>
  <c r="BX40" i="13"/>
  <c r="C71" i="11"/>
  <c r="I71" i="12"/>
  <c r="B16" i="13"/>
  <c r="N56" i="5"/>
  <c r="P56" i="5" s="1"/>
  <c r="J56" i="4"/>
  <c r="J62" i="4" s="1"/>
  <c r="R62" i="5" s="1"/>
  <c r="T62" i="5" s="1"/>
  <c r="R54" i="5"/>
  <c r="T54" i="5" s="1"/>
  <c r="N54" i="4"/>
  <c r="C23" i="10"/>
  <c r="B35" i="13"/>
  <c r="J25" i="4"/>
  <c r="J25" i="5"/>
  <c r="L25" i="5" s="1"/>
  <c r="F22" i="15"/>
  <c r="M22" i="15" s="1"/>
  <c r="O22" i="15" s="1"/>
  <c r="Q22" i="15" s="1"/>
  <c r="C17" i="12"/>
  <c r="J59" i="11"/>
  <c r="F75" i="5"/>
  <c r="H75" i="5" s="1"/>
  <c r="F76" i="4"/>
  <c r="J13" i="11"/>
  <c r="BW19" i="13"/>
  <c r="BW29" i="17"/>
  <c r="B19" i="17"/>
  <c r="H16" i="4" s="1"/>
  <c r="BX70" i="17"/>
  <c r="BX71" i="17"/>
  <c r="I61" i="11"/>
  <c r="I64" i="11" s="1"/>
  <c r="J56" i="15"/>
  <c r="C51" i="12"/>
  <c r="BF38" i="17"/>
  <c r="BF40" i="17" s="1"/>
  <c r="BF33" i="13"/>
  <c r="BF38" i="13" s="1"/>
  <c r="BF40" i="13" s="1"/>
  <c r="I65" i="16" s="1"/>
  <c r="J19" i="5"/>
  <c r="L19" i="5" s="1"/>
  <c r="J19" i="4"/>
  <c r="F26" i="4"/>
  <c r="C53" i="11"/>
  <c r="C59" i="11" s="1"/>
  <c r="C61" i="11" s="1"/>
  <c r="I53" i="12"/>
  <c r="I59" i="12" s="1"/>
  <c r="BE71" i="13"/>
  <c r="R82" i="5"/>
  <c r="T82" i="5" s="1"/>
  <c r="N83" i="4"/>
  <c r="R40" i="5"/>
  <c r="T40" i="5" s="1"/>
  <c r="N40" i="4"/>
  <c r="N51" i="4" s="1"/>
  <c r="J51" i="4"/>
  <c r="H62" i="4"/>
  <c r="N62" i="5" s="1"/>
  <c r="P62" i="5" s="1"/>
  <c r="J20" i="4"/>
  <c r="J20" i="5"/>
  <c r="L20" i="5" s="1"/>
  <c r="K14" i="15"/>
  <c r="M14" i="15" s="1"/>
  <c r="O14" i="15" s="1"/>
  <c r="Q14" i="15" s="1"/>
  <c r="C9" i="12"/>
  <c r="R11" i="5"/>
  <c r="T11" i="5" s="1"/>
  <c r="N11" i="4"/>
  <c r="J13" i="4"/>
  <c r="K56" i="15"/>
  <c r="K64" i="15" s="1"/>
  <c r="J59" i="12"/>
  <c r="F27" i="15"/>
  <c r="M27" i="15" s="1"/>
  <c r="O27" i="15" s="1"/>
  <c r="Q27" i="15" s="1"/>
  <c r="C22" i="12"/>
  <c r="R80" i="1"/>
  <c r="B74" i="1"/>
  <c r="J42" i="15"/>
  <c r="I48" i="12"/>
  <c r="BF80" i="13"/>
  <c r="BF83" i="13" s="1"/>
  <c r="BF85" i="13" s="1"/>
  <c r="BF87" i="13" s="1"/>
  <c r="B78" i="13"/>
  <c r="F26" i="5"/>
  <c r="H26" i="5" s="1"/>
  <c r="D71" i="4"/>
  <c r="BE70" i="17"/>
  <c r="BE71" i="17"/>
  <c r="H64" i="4"/>
  <c r="N64" i="5" s="1"/>
  <c r="P64" i="5" s="1"/>
  <c r="N51" i="5"/>
  <c r="P51" i="5" s="1"/>
  <c r="E73" i="10"/>
  <c r="C67" i="10"/>
  <c r="J78" i="16" l="1"/>
  <c r="N78" i="16" s="1"/>
  <c r="B65" i="13"/>
  <c r="C16" i="12"/>
  <c r="E76" i="10"/>
  <c r="C73" i="10"/>
  <c r="J53" i="15"/>
  <c r="M65" i="16"/>
  <c r="I75" i="16"/>
  <c r="M75" i="16" s="1"/>
  <c r="R19" i="5"/>
  <c r="T19" i="5" s="1"/>
  <c r="N19" i="4"/>
  <c r="H26" i="4"/>
  <c r="N16" i="5"/>
  <c r="P16" i="5" s="1"/>
  <c r="J16" i="4"/>
  <c r="J61" i="11"/>
  <c r="K15" i="15"/>
  <c r="M13" i="15"/>
  <c r="R85" i="17"/>
  <c r="E67" i="12"/>
  <c r="E76" i="11"/>
  <c r="R80" i="13"/>
  <c r="N32" i="4"/>
  <c r="R32" i="5"/>
  <c r="T32" i="5" s="1"/>
  <c r="R13" i="5"/>
  <c r="T13" i="5" s="1"/>
  <c r="J26" i="5"/>
  <c r="L26" i="5" s="1"/>
  <c r="F71" i="4"/>
  <c r="J13" i="12"/>
  <c r="C13" i="11"/>
  <c r="C23" i="11" s="1"/>
  <c r="R25" i="5"/>
  <c r="T25" i="5" s="1"/>
  <c r="N25" i="4"/>
  <c r="BX70" i="13"/>
  <c r="BX71" i="13"/>
  <c r="J34" i="15"/>
  <c r="M34" i="15" s="1"/>
  <c r="O34" i="15" s="1"/>
  <c r="Q34" i="15" s="1"/>
  <c r="C29" i="12"/>
  <c r="F70" i="5"/>
  <c r="H70" i="5" s="1"/>
  <c r="D77" i="4"/>
  <c r="R51" i="5"/>
  <c r="T51" i="5" s="1"/>
  <c r="J64" i="4"/>
  <c r="J58" i="15"/>
  <c r="M58" i="15" s="1"/>
  <c r="O58" i="15" s="1"/>
  <c r="Q58" i="15" s="1"/>
  <c r="C53" i="12"/>
  <c r="C59" i="12" s="1"/>
  <c r="C61" i="12" s="1"/>
  <c r="BW74" i="17"/>
  <c r="B29" i="17"/>
  <c r="J75" i="5"/>
  <c r="L75" i="5" s="1"/>
  <c r="J76" i="4"/>
  <c r="J76" i="15"/>
  <c r="M76" i="15" s="1"/>
  <c r="O76" i="15" s="1"/>
  <c r="Q76" i="15" s="1"/>
  <c r="C71" i="12"/>
  <c r="K42" i="15"/>
  <c r="K53" i="15" s="1"/>
  <c r="K66" i="15" s="1"/>
  <c r="J48" i="12"/>
  <c r="J61" i="12" s="1"/>
  <c r="F77" i="15"/>
  <c r="M77" i="15" s="1"/>
  <c r="O77" i="15" s="1"/>
  <c r="Q77" i="15" s="1"/>
  <c r="C72" i="12"/>
  <c r="R27" i="5"/>
  <c r="T27" i="5" s="1"/>
  <c r="N27" i="4"/>
  <c r="R74" i="5"/>
  <c r="T74" i="5" s="1"/>
  <c r="N75" i="4"/>
  <c r="J23" i="11"/>
  <c r="N20" i="4"/>
  <c r="R20" i="5"/>
  <c r="T20" i="5" s="1"/>
  <c r="BF70" i="17"/>
  <c r="BF71" i="17"/>
  <c r="J72" i="15"/>
  <c r="I73" i="12"/>
  <c r="I61" i="12"/>
  <c r="R83" i="1"/>
  <c r="B80" i="1"/>
  <c r="BF70" i="13"/>
  <c r="BF71" i="13"/>
  <c r="M56" i="15"/>
  <c r="BW29" i="13"/>
  <c r="B19" i="13"/>
  <c r="R56" i="5"/>
  <c r="T56" i="5" s="1"/>
  <c r="N56" i="4"/>
  <c r="N62" i="4" s="1"/>
  <c r="N64" i="4" s="1"/>
  <c r="C10" i="12"/>
  <c r="J65" i="16"/>
  <c r="K65" i="16" s="1"/>
  <c r="B67" i="13"/>
  <c r="M21" i="15"/>
  <c r="O21" i="15" s="1"/>
  <c r="Q21" i="15" s="1"/>
  <c r="F28" i="15"/>
  <c r="J64" i="15" l="1"/>
  <c r="M42" i="15"/>
  <c r="F76" i="5"/>
  <c r="H76" i="5" s="1"/>
  <c r="D80" i="4"/>
  <c r="N65" i="16"/>
  <c r="J75" i="16"/>
  <c r="R85" i="1"/>
  <c r="B83" i="1"/>
  <c r="J67" i="11"/>
  <c r="M15" i="15"/>
  <c r="O13" i="15"/>
  <c r="N16" i="4"/>
  <c r="R16" i="5"/>
  <c r="T16" i="5" s="1"/>
  <c r="J26" i="4"/>
  <c r="J66" i="15"/>
  <c r="BW74" i="13"/>
  <c r="B29" i="13"/>
  <c r="J70" i="5"/>
  <c r="L70" i="5" s="1"/>
  <c r="F77" i="4"/>
  <c r="R83" i="13"/>
  <c r="F72" i="15"/>
  <c r="E73" i="12"/>
  <c r="O65" i="16"/>
  <c r="K75" i="16"/>
  <c r="M53" i="15"/>
  <c r="O42" i="15"/>
  <c r="J78" i="15"/>
  <c r="I76" i="12"/>
  <c r="BW80" i="17"/>
  <c r="BW83" i="17" s="1"/>
  <c r="BW85" i="17" s="1"/>
  <c r="BW87" i="17" s="1"/>
  <c r="BW33" i="17" s="1"/>
  <c r="B74" i="17"/>
  <c r="N26" i="5"/>
  <c r="P26" i="5" s="1"/>
  <c r="H71" i="4"/>
  <c r="M64" i="15"/>
  <c r="M66" i="15" s="1"/>
  <c r="O56" i="15"/>
  <c r="N76" i="4"/>
  <c r="R75" i="5"/>
  <c r="T75" i="5" s="1"/>
  <c r="R64" i="5"/>
  <c r="T64" i="5" s="1"/>
  <c r="C20" i="7"/>
  <c r="C22" i="7" s="1"/>
  <c r="C26" i="7" s="1"/>
  <c r="AS77" i="17" s="1"/>
  <c r="K18" i="15"/>
  <c r="J23" i="12"/>
  <c r="C13" i="12"/>
  <c r="C23" i="12" s="1"/>
  <c r="E78" i="11"/>
  <c r="R87" i="17"/>
  <c r="E78" i="10"/>
  <c r="C76" i="10"/>
  <c r="R33" i="17" l="1"/>
  <c r="J67" i="12"/>
  <c r="N70" i="5"/>
  <c r="P70" i="5" s="1"/>
  <c r="J27" i="11"/>
  <c r="J32" i="11" s="1"/>
  <c r="J34" i="11" s="1"/>
  <c r="BW33" i="13"/>
  <c r="BW38" i="13" s="1"/>
  <c r="BW40" i="13" s="1"/>
  <c r="BW38" i="17"/>
  <c r="BW40" i="17" s="1"/>
  <c r="E76" i="12"/>
  <c r="F78" i="15"/>
  <c r="J76" i="5"/>
  <c r="L76" i="5" s="1"/>
  <c r="F80" i="4"/>
  <c r="Q13" i="15"/>
  <c r="O15" i="15"/>
  <c r="D82" i="4"/>
  <c r="F79" i="5"/>
  <c r="H79" i="5" s="1"/>
  <c r="O53" i="15"/>
  <c r="Q42" i="15"/>
  <c r="BW80" i="13"/>
  <c r="BW83" i="13" s="1"/>
  <c r="BW85" i="13" s="1"/>
  <c r="BW87" i="13" s="1"/>
  <c r="B74" i="13"/>
  <c r="K28" i="15"/>
  <c r="M18" i="15"/>
  <c r="J81" i="15"/>
  <c r="I78" i="12"/>
  <c r="I80" i="12" s="1"/>
  <c r="R75" i="16"/>
  <c r="O75" i="16"/>
  <c r="R26" i="5"/>
  <c r="T26" i="5" s="1"/>
  <c r="J71" i="4"/>
  <c r="R87" i="1"/>
  <c r="B85" i="1"/>
  <c r="R85" i="13"/>
  <c r="E80" i="10"/>
  <c r="C78" i="10"/>
  <c r="E80" i="11"/>
  <c r="H70" i="11"/>
  <c r="AS80" i="17"/>
  <c r="B77" i="17"/>
  <c r="H74" i="4" s="1"/>
  <c r="AS77" i="13"/>
  <c r="O64" i="15"/>
  <c r="Q64" i="15" s="1"/>
  <c r="Q56" i="15"/>
  <c r="J73" i="11"/>
  <c r="J76" i="11" s="1"/>
  <c r="J78" i="11" s="1"/>
  <c r="J80" i="11" s="1"/>
  <c r="C67" i="11"/>
  <c r="N75" i="16"/>
  <c r="J81" i="16"/>
  <c r="AS80" i="13" l="1"/>
  <c r="B77" i="13"/>
  <c r="M28" i="15"/>
  <c r="O18" i="15"/>
  <c r="Q15" i="15"/>
  <c r="I77" i="16"/>
  <c r="BW70" i="13"/>
  <c r="BW71" i="13"/>
  <c r="K72" i="15"/>
  <c r="M72" i="15" s="1"/>
  <c r="J73" i="12"/>
  <c r="C67" i="12"/>
  <c r="N73" i="5"/>
  <c r="P73" i="5" s="1"/>
  <c r="J74" i="4"/>
  <c r="E27" i="11"/>
  <c r="E32" i="11" s="1"/>
  <c r="E34" i="11" s="1"/>
  <c r="R87" i="13"/>
  <c r="O66" i="15"/>
  <c r="Q66" i="15" s="1"/>
  <c r="Q53" i="15"/>
  <c r="J64" i="11"/>
  <c r="R70" i="5"/>
  <c r="T70" i="5" s="1"/>
  <c r="J77" i="4"/>
  <c r="N81" i="16"/>
  <c r="J83" i="16"/>
  <c r="N83" i="16" s="1"/>
  <c r="B80" i="17"/>
  <c r="AS83" i="17"/>
  <c r="J83" i="15"/>
  <c r="I27" i="12"/>
  <c r="J79" i="5"/>
  <c r="L79" i="5" s="1"/>
  <c r="F82" i="4"/>
  <c r="F81" i="15"/>
  <c r="E78" i="12"/>
  <c r="H77" i="4"/>
  <c r="H73" i="11"/>
  <c r="H70" i="12"/>
  <c r="C70" i="11"/>
  <c r="E27" i="10"/>
  <c r="E32" i="10" s="1"/>
  <c r="E34" i="10" s="1"/>
  <c r="C80" i="10"/>
  <c r="C27" i="10" s="1"/>
  <c r="C32" i="10" s="1"/>
  <c r="C34" i="10" s="1"/>
  <c r="R33" i="1"/>
  <c r="B87" i="1"/>
  <c r="F81" i="5"/>
  <c r="D84" i="4"/>
  <c r="BW70" i="17"/>
  <c r="BW71" i="17"/>
  <c r="R38" i="17"/>
  <c r="I78" i="16" l="1"/>
  <c r="M78" i="16" s="1"/>
  <c r="M77" i="16"/>
  <c r="K77" i="16"/>
  <c r="R33" i="13"/>
  <c r="B33" i="1"/>
  <c r="R38" i="1"/>
  <c r="C70" i="12"/>
  <c r="I75" i="15"/>
  <c r="M75" i="15" s="1"/>
  <c r="O75" i="15" s="1"/>
  <c r="Q75" i="15" s="1"/>
  <c r="H73" i="12"/>
  <c r="E80" i="12"/>
  <c r="J32" i="15"/>
  <c r="J37" i="15" s="1"/>
  <c r="J39" i="15" s="1"/>
  <c r="I32" i="12"/>
  <c r="I34" i="12" s="1"/>
  <c r="N74" i="4"/>
  <c r="R73" i="5"/>
  <c r="T73" i="5" s="1"/>
  <c r="K78" i="15"/>
  <c r="J76" i="12"/>
  <c r="F83" i="5"/>
  <c r="H83" i="5" s="1"/>
  <c r="D30" i="4"/>
  <c r="C63" i="10"/>
  <c r="C64" i="10"/>
  <c r="H76" i="11"/>
  <c r="C73" i="11"/>
  <c r="E64" i="11"/>
  <c r="Q18" i="15"/>
  <c r="O28" i="15"/>
  <c r="R40" i="17"/>
  <c r="E63" i="10"/>
  <c r="E64" i="10"/>
  <c r="N76" i="5"/>
  <c r="P76" i="5" s="1"/>
  <c r="H80" i="4"/>
  <c r="F84" i="4"/>
  <c r="J81" i="5"/>
  <c r="L81" i="5" s="1"/>
  <c r="AS85" i="17"/>
  <c r="B83" i="17"/>
  <c r="J80" i="4"/>
  <c r="R76" i="5"/>
  <c r="T76" i="5" s="1"/>
  <c r="AS83" i="13"/>
  <c r="B80" i="13"/>
  <c r="AS85" i="13" l="1"/>
  <c r="B83" i="13"/>
  <c r="AS87" i="17"/>
  <c r="B85" i="17"/>
  <c r="R70" i="17"/>
  <c r="R71" i="17"/>
  <c r="H78" i="11"/>
  <c r="C76" i="11"/>
  <c r="K78" i="16"/>
  <c r="O78" i="16" s="1"/>
  <c r="O77" i="16"/>
  <c r="R77" i="16"/>
  <c r="N79" i="5"/>
  <c r="P79" i="5" s="1"/>
  <c r="H82" i="4"/>
  <c r="Q28" i="15"/>
  <c r="O72" i="15"/>
  <c r="Q72" i="15" s="1"/>
  <c r="J78" i="12"/>
  <c r="J80" i="12" s="1"/>
  <c r="K81" i="15"/>
  <c r="F83" i="15"/>
  <c r="E27" i="12"/>
  <c r="R40" i="1"/>
  <c r="B38" i="1"/>
  <c r="F30" i="5"/>
  <c r="H30" i="5" s="1"/>
  <c r="D35" i="4"/>
  <c r="R38" i="13"/>
  <c r="R79" i="5"/>
  <c r="T79" i="5" s="1"/>
  <c r="J82" i="4"/>
  <c r="J83" i="5"/>
  <c r="L83" i="5" s="1"/>
  <c r="F30" i="4"/>
  <c r="I63" i="12"/>
  <c r="J68" i="15" s="1"/>
  <c r="I64" i="12"/>
  <c r="J69" i="15" s="1"/>
  <c r="I78" i="15"/>
  <c r="M78" i="15" s="1"/>
  <c r="O78" i="15" s="1"/>
  <c r="Q78" i="15" s="1"/>
  <c r="H76" i="12"/>
  <c r="C73" i="12"/>
  <c r="R40" i="13" l="1"/>
  <c r="I81" i="15"/>
  <c r="M81" i="15" s="1"/>
  <c r="O81" i="15" s="1"/>
  <c r="Q81" i="15" s="1"/>
  <c r="H78" i="12"/>
  <c r="C76" i="12"/>
  <c r="J30" i="5"/>
  <c r="L30" i="5" s="1"/>
  <c r="F35" i="4"/>
  <c r="H80" i="11"/>
  <c r="C78" i="11"/>
  <c r="J84" i="4"/>
  <c r="R81" i="5"/>
  <c r="T81" i="5" s="1"/>
  <c r="F35" i="5"/>
  <c r="H35" i="5" s="1"/>
  <c r="D37" i="4"/>
  <c r="K83" i="15"/>
  <c r="J27" i="12"/>
  <c r="N81" i="5"/>
  <c r="P81" i="5" s="1"/>
  <c r="H84" i="4"/>
  <c r="R70" i="1"/>
  <c r="B40" i="1"/>
  <c r="B70" i="1" s="1"/>
  <c r="R71" i="1"/>
  <c r="B71" i="1" s="1"/>
  <c r="AS33" i="17"/>
  <c r="B87" i="17"/>
  <c r="F32" i="15"/>
  <c r="E32" i="12"/>
  <c r="E34" i="12" s="1"/>
  <c r="AS87" i="13"/>
  <c r="B85" i="13"/>
  <c r="K32" i="15" l="1"/>
  <c r="K37" i="15" s="1"/>
  <c r="K39" i="15" s="1"/>
  <c r="J32" i="12"/>
  <c r="J34" i="12" s="1"/>
  <c r="H27" i="11"/>
  <c r="H32" i="11" s="1"/>
  <c r="H34" i="11" s="1"/>
  <c r="C80" i="11"/>
  <c r="C27" i="11" s="1"/>
  <c r="C32" i="11" s="1"/>
  <c r="C34" i="11" s="1"/>
  <c r="R83" i="5"/>
  <c r="T83" i="5" s="1"/>
  <c r="J30" i="4"/>
  <c r="J35" i="5"/>
  <c r="L35" i="5" s="1"/>
  <c r="F37" i="4"/>
  <c r="B87" i="13"/>
  <c r="AS38" i="17"/>
  <c r="AS33" i="13"/>
  <c r="B33" i="17"/>
  <c r="H30" i="4"/>
  <c r="N83" i="5"/>
  <c r="P83" i="5" s="1"/>
  <c r="F37" i="5"/>
  <c r="H37" i="5" s="1"/>
  <c r="D68" i="4"/>
  <c r="F37" i="15"/>
  <c r="F39" i="15" s="1"/>
  <c r="H80" i="12"/>
  <c r="C78" i="12"/>
  <c r="E63" i="12"/>
  <c r="F68" i="15" s="1"/>
  <c r="E64" i="12"/>
  <c r="F69" i="15" s="1"/>
  <c r="I30" i="16"/>
  <c r="R70" i="13"/>
  <c r="R71" i="13"/>
  <c r="M30" i="16" l="1"/>
  <c r="I37" i="16"/>
  <c r="K30" i="16"/>
  <c r="H27" i="12"/>
  <c r="I83" i="15"/>
  <c r="M83" i="15" s="1"/>
  <c r="O83" i="15" s="1"/>
  <c r="Q83" i="15" s="1"/>
  <c r="C80" i="12"/>
  <c r="C27" i="12" s="1"/>
  <c r="C32" i="12" s="1"/>
  <c r="C34" i="12" s="1"/>
  <c r="AS38" i="13"/>
  <c r="B33" i="13"/>
  <c r="F66" i="4"/>
  <c r="J37" i="5"/>
  <c r="L37" i="5" s="1"/>
  <c r="F68" i="4"/>
  <c r="C64" i="11"/>
  <c r="AS40" i="17"/>
  <c r="B38" i="17"/>
  <c r="H64" i="11"/>
  <c r="N30" i="5"/>
  <c r="P30" i="5" s="1"/>
  <c r="H35" i="4"/>
  <c r="R30" i="5"/>
  <c r="T30" i="5" s="1"/>
  <c r="J35" i="4"/>
  <c r="J63" i="12"/>
  <c r="K68" i="15" s="1"/>
  <c r="J64" i="12"/>
  <c r="K69" i="15" s="1"/>
  <c r="H32" i="12" l="1"/>
  <c r="H34" i="12" s="1"/>
  <c r="I32" i="15"/>
  <c r="N35" i="5"/>
  <c r="P35" i="5" s="1"/>
  <c r="H37" i="4"/>
  <c r="AS40" i="13"/>
  <c r="B38" i="13"/>
  <c r="K37" i="16"/>
  <c r="O30" i="16"/>
  <c r="AS70" i="17"/>
  <c r="AS71" i="17"/>
  <c r="B71" i="17" s="1"/>
  <c r="B40" i="17"/>
  <c r="B70" i="17" s="1"/>
  <c r="C63" i="12"/>
  <c r="C64" i="12"/>
  <c r="M37" i="16"/>
  <c r="R35" i="5"/>
  <c r="T35" i="5" s="1"/>
  <c r="J37" i="4"/>
  <c r="F67" i="4"/>
  <c r="D66" i="4"/>
  <c r="N37" i="5" l="1"/>
  <c r="P37" i="5" s="1"/>
  <c r="H68" i="4"/>
  <c r="R37" i="16"/>
  <c r="O37" i="16"/>
  <c r="D67" i="4"/>
  <c r="F67" i="5" s="1"/>
  <c r="H67" i="5" s="1"/>
  <c r="J67" i="5"/>
  <c r="L67" i="5" s="1"/>
  <c r="D63" i="11"/>
  <c r="E63" i="11"/>
  <c r="F63" i="11"/>
  <c r="C63" i="11"/>
  <c r="I63" i="11"/>
  <c r="G63" i="11"/>
  <c r="J63" i="11"/>
  <c r="H63" i="11"/>
  <c r="I37" i="15"/>
  <c r="I39" i="15" s="1"/>
  <c r="M32" i="15"/>
  <c r="J66" i="4"/>
  <c r="R37" i="5"/>
  <c r="T37" i="5" s="1"/>
  <c r="J68" i="4"/>
  <c r="L9" i="4"/>
  <c r="AS70" i="13"/>
  <c r="I52" i="16"/>
  <c r="AS71" i="13"/>
  <c r="B40" i="13"/>
  <c r="B70" i="13" s="1"/>
  <c r="H63" i="12"/>
  <c r="I68" i="15" s="1"/>
  <c r="H64" i="12"/>
  <c r="I69" i="15" s="1"/>
  <c r="B71" i="13" l="1"/>
  <c r="M52" i="16"/>
  <c r="I60" i="16"/>
  <c r="K52" i="16"/>
  <c r="J67" i="4"/>
  <c r="H66" i="4"/>
  <c r="L13" i="4"/>
  <c r="L22" i="4"/>
  <c r="V9" i="5"/>
  <c r="X9" i="5" s="1"/>
  <c r="N9" i="4"/>
  <c r="N13" i="4" s="1"/>
  <c r="L29" i="4"/>
  <c r="O32" i="15"/>
  <c r="M37" i="15"/>
  <c r="M39" i="15" s="1"/>
  <c r="M69" i="15" s="1"/>
  <c r="N29" i="4" l="1"/>
  <c r="V29" i="5"/>
  <c r="X29" i="5" s="1"/>
  <c r="V13" i="5"/>
  <c r="X13" i="5" s="1"/>
  <c r="M60" i="16"/>
  <c r="I81" i="16"/>
  <c r="R67" i="5"/>
  <c r="T67" i="5" s="1"/>
  <c r="H67" i="4"/>
  <c r="N67" i="5" s="1"/>
  <c r="P67" i="5" s="1"/>
  <c r="Q32" i="15"/>
  <c r="O37" i="15"/>
  <c r="N22" i="4"/>
  <c r="N26" i="4" s="1"/>
  <c r="N71" i="4" s="1"/>
  <c r="N77" i="4" s="1"/>
  <c r="N80" i="4" s="1"/>
  <c r="N82" i="4" s="1"/>
  <c r="N84" i="4" s="1"/>
  <c r="N30" i="4" s="1"/>
  <c r="N35" i="4" s="1"/>
  <c r="N37" i="4" s="1"/>
  <c r="N66" i="4" s="1"/>
  <c r="V22" i="5"/>
  <c r="X22" i="5" s="1"/>
  <c r="L26" i="4"/>
  <c r="K60" i="16"/>
  <c r="O52" i="16"/>
  <c r="L66" i="4" l="1"/>
  <c r="N67" i="4"/>
  <c r="L67" i="4" s="1"/>
  <c r="R60" i="16"/>
  <c r="O60" i="16"/>
  <c r="K81" i="16"/>
  <c r="L71" i="4"/>
  <c r="V26" i="5"/>
  <c r="X26" i="5" s="1"/>
  <c r="I83" i="16"/>
  <c r="M83" i="16" s="1"/>
  <c r="M81" i="16"/>
  <c r="Q37" i="15"/>
  <c r="O39" i="15"/>
  <c r="Q39" i="15" l="1"/>
  <c r="O69" i="15"/>
  <c r="L77" i="4"/>
  <c r="V70" i="5"/>
  <c r="X70" i="5" s="1"/>
  <c r="K83" i="16"/>
  <c r="O83" i="16" s="1"/>
  <c r="O81" i="16"/>
  <c r="R81" i="16"/>
  <c r="V76" i="5" l="1"/>
  <c r="X76" i="5" s="1"/>
  <c r="L80" i="4"/>
  <c r="L82" i="4" l="1"/>
  <c r="V79" i="5"/>
  <c r="X79" i="5" s="1"/>
  <c r="L84" i="4" l="1"/>
  <c r="V81" i="5"/>
  <c r="X81" i="5" s="1"/>
  <c r="V83" i="5" l="1"/>
  <c r="X83" i="5" s="1"/>
  <c r="L30" i="4"/>
  <c r="V30" i="5" l="1"/>
  <c r="X30" i="5" s="1"/>
  <c r="L35" i="4"/>
  <c r="V35" i="5" l="1"/>
  <c r="X35" i="5" s="1"/>
  <c r="L37" i="4"/>
  <c r="V37" i="5" s="1"/>
  <c r="X37" i="5" s="1"/>
  <c r="BX93" i="13"/>
  <c r="BW93" i="13" l="1"/>
</calcChain>
</file>

<file path=xl/sharedStrings.xml><?xml version="1.0" encoding="utf-8"?>
<sst xmlns="http://schemas.openxmlformats.org/spreadsheetml/2006/main" count="1172" uniqueCount="409">
  <si>
    <t>3.1</t>
  </si>
  <si>
    <t>4.1</t>
  </si>
  <si>
    <t>3.2</t>
  </si>
  <si>
    <t>3.3</t>
  </si>
  <si>
    <t>3.4</t>
  </si>
  <si>
    <t>3.5</t>
  </si>
  <si>
    <t>3.6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</si>
  <si>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</si>
  <si>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</si>
  <si>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</si>
  <si>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</si>
  <si>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</si>
  <si>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</si>
  <si>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</si>
  <si>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</si>
  <si>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</si>
  <si>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</si>
  <si>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</si>
  <si>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</si>
  <si>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</si>
  <si>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</si>
  <si>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</si>
  <si>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</si>
  <si>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</si>
  <si>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</si>
  <si>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</si>
  <si>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</si>
  <si>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</si>
  <si>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</si>
  <si>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</si>
  <si>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</si>
  <si>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</si>
  <si>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</si>
  <si>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</si>
  <si>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</si>
  <si>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</si>
  <si>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</si>
  <si>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Tab 3 - Revenue</t>
  </si>
  <si>
    <t>Tab 5 - Net Power Costs</t>
  </si>
  <si>
    <t>Tab 7 - Taxes</t>
  </si>
  <si>
    <t>Tab 8 - Rate Base</t>
  </si>
  <si>
    <t>4.8</t>
  </si>
  <si>
    <t>5.3</t>
  </si>
  <si>
    <t>7.5</t>
  </si>
  <si>
    <t>7.6</t>
  </si>
  <si>
    <t>5.2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</si>
  <si>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</si>
  <si>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</si>
  <si>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</si>
  <si>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</si>
  <si>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</si>
  <si>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</si>
  <si>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</si>
  <si>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</si>
  <si>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</si>
  <si>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</si>
  <si>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</si>
  <si>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</si>
  <si>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</si>
  <si>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</si>
  <si>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</si>
  <si>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</si>
  <si>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</si>
  <si>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</si>
  <si>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</si>
  <si>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</si>
  <si>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</si>
  <si>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</si>
  <si>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</si>
  <si>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</si>
  <si>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</si>
  <si>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</si>
  <si>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</si>
  <si>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</si>
  <si>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</si>
  <si>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</si>
  <si>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</si>
  <si>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</si>
  <si>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</si>
  <si>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</si>
  <si>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</si>
  <si>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</si>
  <si>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</si>
  <si>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</si>
  <si>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</si>
  <si>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</si>
  <si>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</si>
  <si>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</si>
  <si>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</si>
  <si>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</si>
  <si>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</si>
  <si>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</si>
  <si>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</si>
  <si>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</si>
  <si>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</si>
  <si>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</si>
  <si>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</si>
  <si>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</si>
  <si>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</si>
  <si>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</si>
  <si>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</si>
  <si>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</si>
  <si>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</si>
  <si>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</si>
  <si>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</si>
  <si>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</si>
  <si>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</si>
  <si>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</si>
  <si>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</si>
  <si>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</si>
  <si>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</si>
  <si>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</si>
  <si>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Revenue Normalization</t>
  </si>
  <si>
    <t>Remove Non-Recurring Entries</t>
  </si>
  <si>
    <t>Net Power Costs - Restating</t>
  </si>
  <si>
    <t>Customer Advances for Construction</t>
  </si>
  <si>
    <t>Effective Price Change</t>
  </si>
  <si>
    <t>James River Royalty Offset</t>
  </si>
  <si>
    <t>Powerdale Hydro Removal</t>
  </si>
  <si>
    <t>Renewable Energy Tax Credit</t>
  </si>
  <si>
    <t>Restating Adjustments</t>
  </si>
  <si>
    <t>Total Restated Actual Results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</si>
  <si>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</si>
  <si>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</si>
  <si>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</si>
  <si>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</si>
  <si>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</si>
  <si>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</si>
  <si>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</si>
  <si>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</si>
  <si>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(1) + (2)</t>
  </si>
  <si>
    <t>(3) + (4)</t>
  </si>
  <si>
    <t>(From RAM - Results Tab)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</si>
  <si>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</si>
  <si>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</si>
  <si>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</si>
  <si>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</si>
  <si>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</si>
  <si>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</si>
  <si>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</si>
  <si>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</si>
  <si>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</si>
  <si>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</si>
  <si>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</si>
  <si>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</si>
  <si>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</si>
  <si>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</si>
  <si>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</si>
  <si>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</si>
  <si>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</si>
  <si>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</si>
  <si>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Federal Income Tax @ 35.00%</t>
  </si>
  <si>
    <t>Net Operating Income</t>
  </si>
  <si>
    <t>Net to Gross Bump-up Factor</t>
  </si>
  <si>
    <t>State Taxes</t>
  </si>
  <si>
    <t>(5) + (6)</t>
  </si>
  <si>
    <t>Unadjusted Results</t>
  </si>
  <si>
    <t>Capital Structure and Cost</t>
  </si>
  <si>
    <t>Estimated Return on Equity Impact</t>
  </si>
  <si>
    <t>Variables</t>
  </si>
  <si>
    <t>Variance</t>
  </si>
  <si>
    <t>Summary
Sheet</t>
  </si>
  <si>
    <t>Regulatory Adjustment Model (RAM)</t>
  </si>
  <si>
    <t>Check Totals (RAM to Summary Tab)</t>
  </si>
  <si>
    <t>Above</t>
  </si>
  <si>
    <t>Reference</t>
  </si>
  <si>
    <t>Page 1.1, Line 66, Column (1)</t>
  </si>
  <si>
    <t>Page 1.1, Line 66, Column (3)</t>
  </si>
  <si>
    <t>Page 1.1, Line 57, Column (3)</t>
  </si>
  <si>
    <t>Page 1.1, Line 66, Column (5)</t>
  </si>
  <si>
    <t>Page 1.1, Line 57, Column (5)</t>
  </si>
  <si>
    <t>Page 2.1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</si>
  <si>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</si>
  <si>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</si>
  <si>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</si>
  <si>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</si>
  <si>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</si>
  <si>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</si>
  <si>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</si>
  <si>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</si>
  <si>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</si>
  <si>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Revenue Adjustments
(Tab 3)</t>
  </si>
  <si>
    <t>O&amp;M Adjustments
(Tab 4)</t>
  </si>
  <si>
    <t>Net Power Cost Adjustments
(Tab 5)</t>
  </si>
  <si>
    <t>Depreciation &amp; Amortization
(Tab 6)</t>
  </si>
  <si>
    <t>Tax Adjustments
(Tab 7)</t>
  </si>
  <si>
    <t>NOI</t>
  </si>
  <si>
    <t>Rate Base</t>
  </si>
  <si>
    <t>Unadjusted Washington Allocated Data (Per Books)</t>
  </si>
  <si>
    <t>Rev. Req.</t>
  </si>
  <si>
    <t xml:space="preserve">Notes: </t>
  </si>
  <si>
    <t>3.7</t>
  </si>
  <si>
    <t>DSM Revenue and Expense Removal</t>
  </si>
  <si>
    <t>4.9</t>
  </si>
  <si>
    <t>4.10</t>
  </si>
  <si>
    <t>4.12</t>
  </si>
  <si>
    <t>Colstrip #3 Removal</t>
  </si>
  <si>
    <t>Reg Asset Amortization</t>
  </si>
  <si>
    <t>SO2 Emission Allowance Sales</t>
  </si>
  <si>
    <t>4.11</t>
  </si>
  <si>
    <t>Insurance Expense</t>
  </si>
  <si>
    <t>5.1.1</t>
  </si>
  <si>
    <t>7.6.1</t>
  </si>
  <si>
    <t>WASHINGTON SUMMARY OF ADJUSTMENTS - TOTAL</t>
  </si>
  <si>
    <t>WASHINGTON SUMMARY OF ADJUSTMENTS - RESTATING</t>
  </si>
  <si>
    <t>Total Adjusted Results</t>
  </si>
  <si>
    <t>8.10</t>
  </si>
  <si>
    <t>Summary</t>
  </si>
  <si>
    <t>Washington Results of Operations</t>
  </si>
  <si>
    <t>Total</t>
  </si>
  <si>
    <t>pg 1.1 RAM</t>
  </si>
  <si>
    <t>Tab 3</t>
  </si>
  <si>
    <t>Tab 4</t>
  </si>
  <si>
    <t>Tab 5</t>
  </si>
  <si>
    <t>Tab 7</t>
  </si>
  <si>
    <t>Tab 8</t>
  </si>
  <si>
    <t>Total Normalized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</si>
  <si>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</si>
  <si>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</si>
  <si>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</si>
  <si>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</si>
  <si>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</si>
  <si>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</si>
  <si>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</si>
  <si>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</si>
  <si>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Results</t>
  </si>
  <si>
    <t>Federal Income Taxes + Other</t>
  </si>
  <si>
    <t>7.6/7.6.1</t>
  </si>
  <si>
    <t>Adj. No.</t>
  </si>
  <si>
    <t>Tab 3 - Revenue - Subtotal</t>
  </si>
  <si>
    <t>Tab 4 - O&amp;M - Subtotal</t>
  </si>
  <si>
    <t>Tab 5 - NPC - Subtotal</t>
  </si>
  <si>
    <t>Tab 6 - Depreciation/Amortization - Subtotal</t>
  </si>
  <si>
    <t>Tab 7 - Tax- Subtotal</t>
  </si>
  <si>
    <t>Tab 8 - Rate Base- Subtotal</t>
  </si>
  <si>
    <t>Line No.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</si>
  <si>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</si>
  <si>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</si>
  <si>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</si>
  <si>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</si>
  <si>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</si>
  <si>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</si>
  <si>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F</t>
  </si>
  <si>
    <t>Subtotal Normalizing Adjustments</t>
  </si>
  <si>
    <t>Removal of Colstrip #4 AFUDC</t>
  </si>
  <si>
    <t>Pro Forma Adjustments</t>
  </si>
  <si>
    <t>WASHINGTON SUMMARY OF ADJUSTMENTS - PRO FORMA</t>
  </si>
  <si>
    <t>Pro Forma Results</t>
  </si>
  <si>
    <t>Pro Forma Washington Allocated Rate Base</t>
  </si>
  <si>
    <t>Pro Forma Interest Expense</t>
  </si>
  <si>
    <t>Pro Forma Adjustment</t>
  </si>
  <si>
    <t>Wheeling Revenue</t>
  </si>
  <si>
    <t>Irrigation Load Control Program</t>
  </si>
  <si>
    <t>Advertising</t>
  </si>
  <si>
    <t>Tab 6 - Depreciation &amp; Amortization</t>
  </si>
  <si>
    <t>6.2</t>
  </si>
  <si>
    <t>WA Low Income Tax Credit</t>
  </si>
  <si>
    <t>Flow-Through Adjustment</t>
  </si>
  <si>
    <t>(cont.) Flow-Through Adjustment</t>
  </si>
  <si>
    <t>WA Public Utility Tax Adjustment</t>
  </si>
  <si>
    <t>8.5.1</t>
  </si>
  <si>
    <t>Jim Bridger Mine Rate Base</t>
  </si>
  <si>
    <t>Trojan Unrecovered Plant</t>
  </si>
  <si>
    <t>8.11</t>
  </si>
  <si>
    <t>8.12</t>
  </si>
  <si>
    <t>8.12.1</t>
  </si>
  <si>
    <t>8.12.2</t>
  </si>
  <si>
    <t>8.12.3</t>
  </si>
  <si>
    <t>8.12.4</t>
  </si>
  <si>
    <t>8.12.5</t>
  </si>
  <si>
    <t>8.12.6</t>
  </si>
  <si>
    <t>Tab 4 - Operations &amp; Maintenance</t>
  </si>
  <si>
    <t>PowerTax ADIT Balance</t>
  </si>
  <si>
    <t>Ancillary Revenue</t>
  </si>
  <si>
    <t>Check</t>
  </si>
  <si>
    <t>8.12 - 8.12.6</t>
  </si>
  <si>
    <t>6.2.1</t>
  </si>
  <si>
    <t>6.2.2</t>
  </si>
  <si>
    <t>6.3</t>
  </si>
  <si>
    <t>6.3.1</t>
  </si>
  <si>
    <t>9.1</t>
  </si>
  <si>
    <t>Production Factor</t>
  </si>
  <si>
    <t>Tab 9</t>
  </si>
  <si>
    <t>8.13</t>
  </si>
  <si>
    <t>Investor Supplied Working Capital</t>
  </si>
  <si>
    <t>3.8</t>
  </si>
  <si>
    <t>Tab 9 - Production Factor- Subtotal</t>
  </si>
  <si>
    <t>Production Factor Adjustments
(Tab 9)</t>
  </si>
  <si>
    <t>Renewable Energy Credit and Renewable Energy Attribute Revenue</t>
  </si>
  <si>
    <t>WUTC Public Utility Tax</t>
  </si>
  <si>
    <t>Tabs 3-9</t>
  </si>
  <si>
    <t>Rate Base Adjustments
(Tab 8)</t>
  </si>
  <si>
    <t>Washington General Rate Case - December 2013</t>
  </si>
  <si>
    <t>12 Months Ended December 2013</t>
  </si>
  <si>
    <t>Wind Wake Loss Revenues</t>
  </si>
  <si>
    <t>3.9</t>
  </si>
  <si>
    <t>4.11.1</t>
  </si>
  <si>
    <t>4.13.1</t>
  </si>
  <si>
    <t>4.13.2</t>
  </si>
  <si>
    <t>4.13.3</t>
  </si>
  <si>
    <t>4.13.4</t>
  </si>
  <si>
    <t>4.13.5</t>
  </si>
  <si>
    <t>6.3.2</t>
  </si>
  <si>
    <t>6.4</t>
  </si>
  <si>
    <t>6.4.1</t>
  </si>
  <si>
    <t>6.4.2</t>
  </si>
  <si>
    <t>Vehicle Depreciation -  Depreciation Study</t>
  </si>
  <si>
    <t>(Cont.) Vehicle Depreication - Depreciation Study</t>
  </si>
  <si>
    <t>(Cont. 2) Vehicle Depreciation -  Depreciation Study</t>
  </si>
  <si>
    <t>Environmental Remediation</t>
  </si>
  <si>
    <t>8.4.1</t>
  </si>
  <si>
    <t>9.1.1</t>
  </si>
  <si>
    <t>Tab 9 - Production Factor</t>
  </si>
  <si>
    <t>Check to RAM</t>
  </si>
  <si>
    <t>4.13.1 - 4.13.5</t>
  </si>
  <si>
    <t>4.11 - 4.11.1</t>
  </si>
  <si>
    <t>6.2 - 6.2.2</t>
  </si>
  <si>
    <t>6.3 - 6.3.2</t>
  </si>
  <si>
    <t>6.4 - 6.4.2</t>
  </si>
  <si>
    <t>Hydro Decomissioning</t>
  </si>
  <si>
    <t>8.4 - 8.4.1</t>
  </si>
  <si>
    <t>8.5 - 8.5.1</t>
  </si>
  <si>
    <t>9.1 - 9.1.1</t>
  </si>
  <si>
    <t>Adjust December 2013 AMA Plant Balances to December 2013 Balance</t>
  </si>
  <si>
    <t>(cont.) Adjust December 2013 AMA Plant Balances to December 2013 Balance</t>
  </si>
  <si>
    <t>(cont. 2) Adjust December 2013 AMA Plant Balances to December 2013 Balance</t>
  </si>
  <si>
    <t>(cont. 3) Adjust December 2013 AMA Plant Balances to December 2013 Balance</t>
  </si>
  <si>
    <t>(cont. 4) Adjust December 2013 AMA Plant Balances to December 2013 Balance</t>
  </si>
  <si>
    <t>(cont. 5) Adjust December 2013 AMA Plant Balances to December 2013 Balance</t>
  </si>
  <si>
    <t>(cont. 6) Adjust December 2013 AMA Plant Balances to December 2013 Balance</t>
  </si>
  <si>
    <t>(1) The revenue requirement column is calculated using the Company's proposed return on rate base of 7.67% and the NOI conversion factor of 61.940%.</t>
  </si>
  <si>
    <t>Tab 5 - Net Power Cost</t>
  </si>
  <si>
    <t>Total Restating Adjust -ments</t>
  </si>
  <si>
    <t>Miscellan -eous Expense &amp; Revenue</t>
  </si>
  <si>
    <t>Trojan Unrecover -ed Plant</t>
  </si>
  <si>
    <t>Reg Asset Amortiz -ation</t>
  </si>
  <si>
    <t>Washington Allocated Acutal Results December 2013</t>
  </si>
  <si>
    <t>Depreciation Study &amp; Annual Depreciation</t>
  </si>
  <si>
    <t>(Cont.) Depreciation Study</t>
  </si>
  <si>
    <t>(Cont. 2) Depreciation Study</t>
  </si>
  <si>
    <t>6.5</t>
  </si>
  <si>
    <t>Tab 6 - Depn</t>
  </si>
  <si>
    <t>Total Pro Forma Adjust- ments</t>
  </si>
  <si>
    <t>Hydro Decommission -ing</t>
  </si>
  <si>
    <t>General Wage Increase - Pro Forma</t>
  </si>
  <si>
    <t>General Wage Increase - Restating</t>
  </si>
  <si>
    <t>Tab 8 - RB</t>
  </si>
  <si>
    <t>Summary of Total Adjustments</t>
  </si>
  <si>
    <t>Summary of Restating Adjustments</t>
  </si>
  <si>
    <t>Summary of Pro Forma Adjustments</t>
  </si>
  <si>
    <t>Memberships &amp; Subscriptions</t>
  </si>
  <si>
    <t>Uncollectible Expense</t>
  </si>
  <si>
    <t>Page 7.1 - Exhibit No.___(NCS-11)</t>
  </si>
  <si>
    <t>The development of these percentages can be found in Exhibit No.___(NCS-11) on pages 2.1 and 1.3 respectively.</t>
  </si>
  <si>
    <t>Uncontested (U) / 
Contested (C)</t>
  </si>
  <si>
    <t>G</t>
  </si>
  <si>
    <t>H</t>
  </si>
  <si>
    <t>I</t>
  </si>
  <si>
    <t>J</t>
  </si>
  <si>
    <t>K</t>
  </si>
  <si>
    <t>L</t>
  </si>
  <si>
    <t xml:space="preserve">Pro Forma Major Plant Additions </t>
  </si>
  <si>
    <t>Miscellaneous Rate Base</t>
  </si>
  <si>
    <t>Misc. Asset Sales and Removals</t>
  </si>
  <si>
    <t>Schedule 300 Fee Change</t>
  </si>
  <si>
    <t>Legal Expenses</t>
  </si>
  <si>
    <t>(Cont.) Legal Expenses</t>
  </si>
  <si>
    <t xml:space="preserve">Collection Agency Fees </t>
  </si>
  <si>
    <t xml:space="preserve">IHS Global Insight Escalation </t>
  </si>
  <si>
    <t xml:space="preserve">(Cont.) IHS Global Insight Escalation </t>
  </si>
  <si>
    <t>(Cont. 2) IHS Global Insight Escalation</t>
  </si>
  <si>
    <t>(Cont. 3) IHS Global Insight Escalation</t>
  </si>
  <si>
    <t xml:space="preserve">(Cont. 4) IHS Global Insight Escalation </t>
  </si>
  <si>
    <t>Net Power Costs - Pro Forma</t>
  </si>
  <si>
    <t>Depreciation and Amortization Reserve to December 2013 Balance</t>
  </si>
  <si>
    <t>(cont.) Depreciation and Amortization Reserve to December 2013 Balance</t>
  </si>
  <si>
    <t>(cont. 2) Depreciation and Amortization Reserve to December 2013 Balance</t>
  </si>
  <si>
    <t xml:space="preserve">Retired Assets Depreciation Expense Removal </t>
  </si>
  <si>
    <t>Interest True Up</t>
  </si>
  <si>
    <t>Property Tax Expense</t>
  </si>
  <si>
    <t>Remove Deferred State Tax Expense &amp; Balance</t>
  </si>
  <si>
    <t>Major Plant Additions</t>
  </si>
  <si>
    <t>(Cont.) Major Plant Additions</t>
  </si>
  <si>
    <t>Miscellan -eous Rate Base</t>
  </si>
  <si>
    <t>(cont.) Miscellaneous Rate Base</t>
  </si>
  <si>
    <t>(Cont.) Production Factor</t>
  </si>
  <si>
    <t>U</t>
  </si>
  <si>
    <t>Final Order</t>
  </si>
  <si>
    <t>Retired Assets Depreciation Expense Removal</t>
  </si>
  <si>
    <t xml:space="preserve"> </t>
  </si>
  <si>
    <t>Interest True-up Calculation - Final Order</t>
  </si>
  <si>
    <t>Final Order Revenue Requirement Adjustment Summary</t>
  </si>
  <si>
    <t>Per Commission Order 08, Pages 128 - 131</t>
  </si>
  <si>
    <t>Compliance Filing Summary Model</t>
  </si>
  <si>
    <t>Reference (Column H)</t>
  </si>
  <si>
    <t>(Compliance Filing) Page 1.0</t>
  </si>
  <si>
    <t>(Compliance Filing), Page 1.7 Total</t>
  </si>
  <si>
    <t>(Compliance Filing), Page 1.8 Total</t>
  </si>
  <si>
    <t>(Compliance Filing), Page 1.9 Total</t>
  </si>
  <si>
    <t>(Compliance Filing), Page 1.10 Total</t>
  </si>
  <si>
    <t>(Compliance Filing), Page 1.11 Total</t>
  </si>
  <si>
    <t>(Compliance Filing), Page 1.12 Total</t>
  </si>
  <si>
    <t>(Compliance Filing), Page 1.13 Total</t>
  </si>
  <si>
    <t>(Compliance Filing), Page 1.13/1.14 Total</t>
  </si>
  <si>
    <t>(Compliance Filing), Page 1.14 Total</t>
  </si>
  <si>
    <t>(Compliance Filing), Page 1.14/1.15 Total</t>
  </si>
  <si>
    <t>(Compliance Filing), Page 1.15 Total</t>
  </si>
  <si>
    <t>(Compliance Filing), Page 1.16 Total</t>
  </si>
  <si>
    <t>(Compliance Filing), Page 1.17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</si>
</sst>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##,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2" fillId="2" borderId="35" applyNumberFormat="0" applyAlignment="0" applyProtection="0">
      <alignment horizontal="left" vertical="center" indent="1"/>
    </xf>
    <xf numFmtId="168" fontId="23" fillId="0" borderId="36" applyNumberFormat="0" applyProtection="0">
      <alignment horizontal="right" vertical="center"/>
    </xf>
    <xf numFmtId="168" fontId="22" fillId="0" borderId="37" applyNumberFormat="0" applyProtection="0">
      <alignment horizontal="right" vertical="center"/>
    </xf>
    <xf numFmtId="0" fontId="24" fillId="3" borderId="37" applyNumberFormat="0" applyAlignment="0" applyProtection="0">
      <alignment horizontal="left" vertical="center" indent="1"/>
    </xf>
    <xf numFmtId="0" fontId="24" fillId="4" borderId="37" applyNumberFormat="0" applyAlignment="0" applyProtection="0">
      <alignment horizontal="left" vertical="center" indent="1"/>
    </xf>
    <xf numFmtId="168" fontId="23" fillId="5" borderId="36" applyNumberFormat="0" applyBorder="0" applyProtection="0">
      <alignment horizontal="right" vertical="center"/>
    </xf>
    <xf numFmtId="0" fontId="24" fillId="3" borderId="37" applyNumberFormat="0" applyAlignment="0" applyProtection="0">
      <alignment horizontal="left" vertical="center" indent="1"/>
    </xf>
    <xf numFmtId="168" fontId="22" fillId="4" borderId="37" applyNumberFormat="0" applyProtection="0">
      <alignment horizontal="right" vertical="center"/>
    </xf>
    <xf numFmtId="168" fontId="22" fillId="5" borderId="37" applyNumberFormat="0" applyBorder="0" applyProtection="0">
      <alignment horizontal="right" vertical="center"/>
    </xf>
    <xf numFmtId="168" fontId="25" fillId="6" borderId="38" applyNumberFormat="0" applyBorder="0" applyAlignment="0" applyProtection="0">
      <alignment horizontal="right" vertical="center" indent="1"/>
    </xf>
    <xf numFmtId="168" fontId="26" fillId="7" borderId="38" applyNumberFormat="0" applyBorder="0" applyAlignment="0" applyProtection="0">
      <alignment horizontal="right" vertical="center" indent="1"/>
    </xf>
    <xf numFmtId="168" fontId="26" fillId="8" borderId="38" applyNumberFormat="0" applyBorder="0" applyAlignment="0" applyProtection="0">
      <alignment horizontal="right" vertical="center" indent="1"/>
    </xf>
    <xf numFmtId="168" fontId="27" fillId="9" borderId="38" applyNumberFormat="0" applyBorder="0" applyAlignment="0" applyProtection="0">
      <alignment horizontal="right" vertical="center" indent="1"/>
    </xf>
    <xf numFmtId="168" fontId="27" fillId="10" borderId="38" applyNumberFormat="0" applyBorder="0" applyAlignment="0" applyProtection="0">
      <alignment horizontal="right" vertical="center" indent="1"/>
    </xf>
    <xf numFmtId="168" fontId="27" fillId="11" borderId="38" applyNumberFormat="0" applyBorder="0" applyAlignment="0" applyProtection="0">
      <alignment horizontal="right" vertical="center" indent="1"/>
    </xf>
    <xf numFmtId="168" fontId="28" fillId="12" borderId="38" applyNumberFormat="0" applyBorder="0" applyAlignment="0" applyProtection="0">
      <alignment horizontal="right" vertical="center" indent="1"/>
    </xf>
    <xf numFmtId="168" fontId="28" fillId="13" borderId="38" applyNumberFormat="0" applyBorder="0" applyAlignment="0" applyProtection="0">
      <alignment horizontal="right" vertical="center" indent="1"/>
    </xf>
    <xf numFmtId="168" fontId="28" fillId="14" borderId="38" applyNumberFormat="0" applyBorder="0" applyAlignment="0" applyProtection="0">
      <alignment horizontal="right" vertical="center" indent="1"/>
    </xf>
    <xf numFmtId="0" fontId="29" fillId="0" borderId="35" applyNumberFormat="0" applyFont="0" applyFill="0" applyAlignment="0" applyProtection="0"/>
    <xf numFmtId="168" fontId="23" fillId="15" borderId="35" applyNumberFormat="0" applyAlignment="0" applyProtection="0">
      <alignment horizontal="left" vertical="center" indent="1"/>
    </xf>
    <xf numFmtId="0" fontId="22" fillId="2" borderId="37" applyNumberFormat="0" applyAlignment="0" applyProtection="0">
      <alignment horizontal="left" vertical="center" indent="1"/>
    </xf>
    <xf numFmtId="0" fontId="24" fillId="16" borderId="35" applyNumberFormat="0" applyAlignment="0" applyProtection="0">
      <alignment horizontal="left" vertical="center" indent="1"/>
    </xf>
    <xf numFmtId="0" fontId="24" fillId="17" borderId="35" applyNumberFormat="0" applyAlignment="0" applyProtection="0">
      <alignment horizontal="left" vertical="center" indent="1"/>
    </xf>
    <xf numFmtId="0" fontId="24" fillId="18" borderId="35" applyNumberFormat="0" applyAlignment="0" applyProtection="0">
      <alignment horizontal="left" vertical="center" indent="1"/>
    </xf>
    <xf numFmtId="0" fontId="24" fillId="5" borderId="35" applyNumberFormat="0" applyAlignment="0" applyProtection="0">
      <alignment horizontal="left" vertical="center" indent="1"/>
    </xf>
    <xf numFmtId="0" fontId="24" fillId="4" borderId="37" applyNumberFormat="0" applyAlignment="0" applyProtection="0">
      <alignment horizontal="left" vertical="center" indent="1"/>
    </xf>
    <xf numFmtId="0" fontId="30" fillId="0" borderId="39" applyNumberFormat="0" applyFill="0" applyBorder="0" applyAlignment="0" applyProtection="0"/>
    <xf numFmtId="0" fontId="31" fillId="0" borderId="39" applyBorder="0" applyAlignment="0" applyProtection="0"/>
    <xf numFmtId="0" fontId="30" fillId="3" borderId="37" applyNumberFormat="0" applyAlignment="0" applyProtection="0">
      <alignment horizontal="left" vertical="center" indent="1"/>
    </xf>
    <xf numFmtId="0" fontId="30" fillId="3" borderId="37" applyNumberFormat="0" applyAlignment="0" applyProtection="0">
      <alignment horizontal="left" vertical="center" indent="1"/>
    </xf>
    <xf numFmtId="0" fontId="30" fillId="4" borderId="37" applyNumberFormat="0" applyAlignment="0" applyProtection="0">
      <alignment horizontal="left" vertical="center" indent="1"/>
    </xf>
    <xf numFmtId="168" fontId="32" fillId="4" borderId="37" applyNumberFormat="0" applyProtection="0">
      <alignment horizontal="right" vertical="center"/>
    </xf>
    <xf numFmtId="168" fontId="33" fillId="5" borderId="36" applyNumberFormat="0" applyBorder="0" applyProtection="0">
      <alignment horizontal="right" vertical="center"/>
    </xf>
    <xf numFmtId="168" fontId="32" fillId="5" borderId="37" applyNumberFormat="0" applyBorder="0" applyProtection="0">
      <alignment horizontal="right" vertical="center"/>
    </xf>
  </cellStyleXfs>
  <cellXfs count="322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24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4" fillId="0" borderId="2" xfId="0" applyFont="1" applyBorder="1"/>
    <xf numFmtId="164" fontId="2" fillId="0" borderId="29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10" xfId="0" applyNumberFormat="1" applyFont="1" applyFill="1" applyBorder="1"/>
    <xf numFmtId="164" fontId="2" fillId="0" borderId="14" xfId="1" applyNumberFormat="1" applyFont="1" applyFill="1" applyBorder="1" applyProtection="1">
      <protection locked="0"/>
    </xf>
    <xf numFmtId="164" fontId="2" fillId="0" borderId="10" xfId="1" applyNumberFormat="1" applyFont="1" applyFill="1" applyBorder="1"/>
    <xf numFmtId="164" fontId="2" fillId="0" borderId="18" xfId="1" applyNumberFormat="1" applyFont="1" applyFill="1" applyBorder="1"/>
    <xf numFmtId="164" fontId="4" fillId="0" borderId="32" xfId="1" applyNumberFormat="1" applyFont="1" applyFill="1" applyBorder="1" applyAlignment="1">
      <alignment horizontal="centerContinuous"/>
    </xf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/>
    <xf numFmtId="0" fontId="6" fillId="0" borderId="0" xfId="0" applyFont="1" applyAlignment="1">
      <alignment horizontal="centerContinuous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9" fillId="0" borderId="0" xfId="1" applyNumberFormat="1" applyFont="1" applyFill="1" applyBorder="1" applyAlignment="1">
      <alignment horizontal="center" wrapText="1"/>
    </xf>
    <xf numFmtId="0" fontId="2" fillId="0" borderId="0" xfId="3" applyFont="1" applyAlignment="1">
      <alignment horizontal="right"/>
    </xf>
    <xf numFmtId="164" fontId="3" fillId="0" borderId="0" xfId="1" applyNumberFormat="1" applyFont="1"/>
    <xf numFmtId="164" fontId="7" fillId="0" borderId="0" xfId="1" applyNumberFormat="1" applyFont="1" applyFill="1" applyBorder="1"/>
    <xf numFmtId="164" fontId="8" fillId="0" borderId="0" xfId="1" applyNumberFormat="1" applyFont="1" applyFill="1" applyBorder="1"/>
    <xf numFmtId="164" fontId="3" fillId="0" borderId="0" xfId="1" applyNumberFormat="1" applyFont="1" applyFill="1"/>
    <xf numFmtId="0" fontId="3" fillId="0" borderId="0" xfId="0" applyFont="1"/>
    <xf numFmtId="0" fontId="3" fillId="0" borderId="0" xfId="0" applyFont="1" applyFill="1"/>
    <xf numFmtId="164" fontId="3" fillId="0" borderId="2" xfId="1" applyNumberFormat="1" applyFont="1" applyFill="1" applyBorder="1"/>
    <xf numFmtId="43" fontId="3" fillId="0" borderId="0" xfId="0" applyNumberFormat="1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30" xfId="1" quotePrefix="1" applyNumberFormat="1" applyFont="1" applyFill="1" applyBorder="1" applyAlignment="1" applyProtection="1">
      <alignment horizontal="center"/>
      <protection locked="0"/>
    </xf>
    <xf numFmtId="164" fontId="2" fillId="0" borderId="31" xfId="1" quotePrefix="1" applyNumberFormat="1" applyFont="1" applyFill="1" applyBorder="1" applyAlignment="1" applyProtection="1">
      <alignment horizontal="center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4" fillId="0" borderId="24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11" xfId="1" applyNumberFormat="1" applyFont="1" applyFill="1" applyBorder="1" applyAlignment="1" applyProtection="1">
      <alignment horizontal="center"/>
      <protection locked="0"/>
    </xf>
    <xf numFmtId="164" fontId="2" fillId="0" borderId="24" xfId="1" applyNumberFormat="1" applyFont="1" applyFill="1" applyBorder="1" applyProtection="1"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Protection="1">
      <protection locked="0"/>
    </xf>
    <xf numFmtId="164" fontId="2" fillId="0" borderId="24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2" fillId="0" borderId="15" xfId="1" applyNumberFormat="1" applyFont="1" applyFill="1" applyBorder="1" applyProtection="1">
      <protection locked="0"/>
    </xf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2" fillId="0" borderId="18" xfId="1" applyNumberFormat="1" applyFont="1" applyFill="1" applyBorder="1" applyProtection="1"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2" fillId="0" borderId="4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3" fillId="0" borderId="0" xfId="6" applyFont="1"/>
    <xf numFmtId="0" fontId="14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5" fillId="0" borderId="0" xfId="6" applyFont="1"/>
    <xf numFmtId="0" fontId="13" fillId="0" borderId="0" xfId="6" quotePrefix="1" applyFont="1"/>
    <xf numFmtId="0" fontId="4" fillId="0" borderId="0" xfId="6" quotePrefix="1" applyFont="1"/>
    <xf numFmtId="0" fontId="10" fillId="0" borderId="0" xfId="6" applyFont="1"/>
    <xf numFmtId="0" fontId="3" fillId="0" borderId="2" xfId="6" applyFont="1" applyBorder="1" applyAlignment="1">
      <alignment horizontal="centerContinuous"/>
    </xf>
    <xf numFmtId="0" fontId="16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15" fillId="0" borderId="0" xfId="6" applyFont="1" applyAlignment="1">
      <alignment horizontal="center"/>
    </xf>
    <xf numFmtId="17" fontId="10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17" fontId="17" fillId="0" borderId="2" xfId="6" applyNumberFormat="1" applyFont="1" applyBorder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15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15" fillId="0" borderId="1" xfId="1" applyNumberFormat="1" applyFont="1" applyBorder="1"/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15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164" fontId="15" fillId="0" borderId="1" xfId="1" applyNumberFormat="1" applyFont="1" applyBorder="1" applyAlignment="1">
      <alignment vertical="center"/>
    </xf>
    <xf numFmtId="164" fontId="15" fillId="0" borderId="0" xfId="1" applyNumberFormat="1" applyFont="1" applyAlignment="1">
      <alignment vertical="center"/>
    </xf>
    <xf numFmtId="0" fontId="3" fillId="0" borderId="0" xfId="6" applyFont="1" applyAlignment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4" fontId="15" fillId="0" borderId="3" xfId="1" applyNumberFormat="1" applyFont="1" applyBorder="1" applyAlignment="1"/>
    <xf numFmtId="164" fontId="15" fillId="0" borderId="3" xfId="1" applyNumberFormat="1" applyFont="1" applyBorder="1" applyAlignment="1">
      <alignment vertical="center"/>
    </xf>
    <xf numFmtId="165" fontId="15" fillId="0" borderId="0" xfId="2" applyNumberFormat="1" applyFont="1"/>
    <xf numFmtId="166" fontId="15" fillId="0" borderId="0" xfId="2" applyNumberFormat="1" applyFo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0" xfId="6" applyNumberFormat="1" applyFont="1" applyBorder="1"/>
    <xf numFmtId="164" fontId="3" fillId="0" borderId="2" xfId="1" applyNumberFormat="1" applyFont="1" applyBorder="1" applyAlignment="1">
      <alignment vertical="center"/>
    </xf>
    <xf numFmtId="164" fontId="15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0" fontId="3" fillId="0" borderId="5" xfId="6" applyFont="1" applyBorder="1"/>
    <xf numFmtId="164" fontId="3" fillId="0" borderId="5" xfId="1" applyNumberFormat="1" applyFont="1" applyBorder="1" applyAlignment="1">
      <alignment vertical="center"/>
    </xf>
    <xf numFmtId="164" fontId="15" fillId="0" borderId="5" xfId="1" applyNumberFormat="1" applyFont="1" applyBorder="1" applyAlignment="1">
      <alignment vertical="center"/>
    </xf>
    <xf numFmtId="164" fontId="15" fillId="0" borderId="5" xfId="6" applyNumberFormat="1" applyFont="1" applyBorder="1"/>
    <xf numFmtId="0" fontId="3" fillId="0" borderId="0" xfId="6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 applyFill="1"/>
    <xf numFmtId="165" fontId="15" fillId="0" borderId="0" xfId="2" applyNumberFormat="1" applyFont="1" applyFill="1"/>
    <xf numFmtId="166" fontId="15" fillId="0" borderId="0" xfId="2" applyNumberFormat="1" applyFont="1" applyFill="1"/>
    <xf numFmtId="0" fontId="3" fillId="0" borderId="0" xfId="6" applyFont="1" applyFill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7" fillId="0" borderId="0" xfId="1" applyNumberFormat="1" applyFont="1" applyFill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8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8" fillId="0" borderId="0" xfId="1" applyNumberFormat="1" applyFont="1" applyFill="1" applyAlignment="1">
      <alignment vertical="center"/>
    </xf>
    <xf numFmtId="164" fontId="2" fillId="0" borderId="24" xfId="1" applyNumberFormat="1" applyFont="1" applyFill="1" applyBorder="1" applyAlignment="1" applyProtection="1">
      <alignment horizontal="center"/>
      <protection locked="0"/>
    </xf>
    <xf numFmtId="164" fontId="2" fillId="0" borderId="25" xfId="1" applyNumberFormat="1" applyFont="1" applyFill="1" applyBorder="1" applyProtection="1">
      <protection locked="0"/>
    </xf>
    <xf numFmtId="164" fontId="2" fillId="0" borderId="27" xfId="1" applyNumberFormat="1" applyFont="1" applyFill="1" applyBorder="1" applyProtection="1">
      <protection locked="0"/>
    </xf>
    <xf numFmtId="164" fontId="2" fillId="0" borderId="26" xfId="1" applyNumberFormat="1" applyFont="1" applyFill="1" applyBorder="1" applyAlignment="1"/>
    <xf numFmtId="164" fontId="2" fillId="0" borderId="25" xfId="1" quotePrefix="1" applyNumberFormat="1" applyFont="1" applyFill="1" applyBorder="1" applyAlignment="1" applyProtection="1">
      <alignment horizontal="left"/>
      <protection locked="0"/>
    </xf>
    <xf numFmtId="164" fontId="2" fillId="0" borderId="26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24" xfId="0" applyNumberFormat="1" applyFont="1" applyFill="1" applyBorder="1"/>
    <xf numFmtId="164" fontId="2" fillId="0" borderId="11" xfId="0" applyNumberFormat="1" applyFont="1" applyFill="1" applyBorder="1"/>
    <xf numFmtId="164" fontId="2" fillId="0" borderId="27" xfId="1" applyNumberFormat="1" applyFont="1" applyFill="1" applyBorder="1" applyAlignment="1">
      <alignment vertical="center"/>
    </xf>
    <xf numFmtId="164" fontId="2" fillId="0" borderId="24" xfId="1" applyNumberFormat="1" applyFont="1" applyFill="1" applyBorder="1"/>
    <xf numFmtId="164" fontId="2" fillId="0" borderId="28" xfId="1" applyNumberFormat="1" applyFont="1" applyFill="1" applyBorder="1"/>
    <xf numFmtId="164" fontId="2" fillId="0" borderId="19" xfId="1" applyNumberFormat="1" applyFont="1" applyFill="1" applyBorder="1"/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2" fillId="0" borderId="0" xfId="3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164" fontId="10" fillId="0" borderId="0" xfId="1" applyNumberFormat="1" applyFont="1" applyFill="1"/>
    <xf numFmtId="2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10" fillId="0" borderId="0" xfId="1" applyNumberFormat="1" applyFont="1" applyFill="1" applyBorder="1"/>
    <xf numFmtId="0" fontId="10" fillId="0" borderId="0" xfId="0" applyFont="1" applyFill="1" applyBorder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10" fillId="0" borderId="1" xfId="0" applyNumberFormat="1" applyFont="1" applyBorder="1"/>
    <xf numFmtId="0" fontId="10" fillId="0" borderId="0" xfId="0" applyFont="1" applyFill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quotePrefix="1" applyNumberFormat="1" applyFont="1" applyFill="1" applyAlignment="1">
      <alignment horizontal="center"/>
    </xf>
    <xf numFmtId="0" fontId="18" fillId="0" borderId="0" xfId="3" applyFont="1"/>
    <xf numFmtId="0" fontId="2" fillId="0" borderId="0" xfId="3" applyFont="1" applyAlignment="1">
      <alignment horizontal="center" wrapText="1"/>
    </xf>
    <xf numFmtId="0" fontId="2" fillId="0" borderId="0" xfId="3" applyFont="1"/>
    <xf numFmtId="164" fontId="2" fillId="0" borderId="0" xfId="4" applyNumberFormat="1" applyFont="1"/>
    <xf numFmtId="164" fontId="2" fillId="0" borderId="1" xfId="4" applyNumberFormat="1" applyFont="1" applyBorder="1"/>
    <xf numFmtId="164" fontId="2" fillId="0" borderId="2" xfId="4" applyNumberFormat="1" applyFont="1" applyBorder="1"/>
    <xf numFmtId="164" fontId="2" fillId="0" borderId="0" xfId="3" applyNumberFormat="1" applyFont="1"/>
    <xf numFmtId="0" fontId="2" fillId="0" borderId="0" xfId="3" quotePrefix="1" applyFont="1" applyAlignment="1">
      <alignment horizontal="left"/>
    </xf>
    <xf numFmtId="164" fontId="2" fillId="0" borderId="1" xfId="3" applyNumberFormat="1" applyFont="1" applyBorder="1"/>
    <xf numFmtId="164" fontId="2" fillId="0" borderId="3" xfId="3" applyNumberFormat="1" applyFont="1" applyBorder="1"/>
    <xf numFmtId="10" fontId="2" fillId="0" borderId="0" xfId="5" quotePrefix="1" applyNumberFormat="1" applyFont="1" applyAlignment="1">
      <alignment horizontal="left"/>
    </xf>
    <xf numFmtId="10" fontId="2" fillId="0" borderId="0" xfId="5" applyNumberFormat="1" applyFont="1"/>
    <xf numFmtId="0" fontId="2" fillId="0" borderId="0" xfId="3" applyFont="1" applyFill="1" applyBorder="1" applyAlignment="1">
      <alignment vertical="center"/>
    </xf>
    <xf numFmtId="164" fontId="2" fillId="0" borderId="0" xfId="4" quotePrefix="1" applyNumberFormat="1" applyFont="1"/>
    <xf numFmtId="164" fontId="2" fillId="0" borderId="2" xfId="3" applyNumberFormat="1" applyFont="1" applyBorder="1"/>
    <xf numFmtId="164" fontId="2" fillId="0" borderId="0" xfId="4" applyNumberFormat="1" applyFont="1" applyBorder="1"/>
    <xf numFmtId="164" fontId="2" fillId="0" borderId="0" xfId="3" applyNumberFormat="1" applyFont="1" applyBorder="1"/>
    <xf numFmtId="164" fontId="2" fillId="0" borderId="5" xfId="3" applyNumberFormat="1" applyFont="1" applyBorder="1"/>
    <xf numFmtId="0" fontId="18" fillId="0" borderId="0" xfId="3" applyFont="1" applyFill="1"/>
    <xf numFmtId="0" fontId="2" fillId="0" borderId="0" xfId="3" applyFont="1" applyFill="1" applyAlignment="1">
      <alignment horizontal="center" wrapText="1"/>
    </xf>
    <xf numFmtId="0" fontId="2" fillId="0" borderId="0" xfId="3" applyFont="1" applyFill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164" fontId="2" fillId="0" borderId="4" xfId="3" applyNumberFormat="1" applyFont="1" applyFill="1" applyBorder="1"/>
    <xf numFmtId="0" fontId="2" fillId="0" borderId="0" xfId="3" quotePrefix="1" applyFont="1" applyFill="1" applyAlignment="1">
      <alignment horizontal="left"/>
    </xf>
    <xf numFmtId="164" fontId="2" fillId="0" borderId="1" xfId="3" applyNumberFormat="1" applyFont="1" applyFill="1" applyBorder="1"/>
    <xf numFmtId="164" fontId="2" fillId="0" borderId="3" xfId="3" applyNumberFormat="1" applyFont="1" applyFill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4" xfId="4" applyNumberFormat="1" applyFont="1" applyFill="1" applyBorder="1"/>
    <xf numFmtId="164" fontId="2" fillId="0" borderId="5" xfId="3" applyNumberFormat="1" applyFont="1" applyFill="1" applyBorder="1"/>
    <xf numFmtId="164" fontId="2" fillId="0" borderId="2" xfId="3" applyNumberFormat="1" applyFont="1" applyFill="1" applyBorder="1"/>
    <xf numFmtId="164" fontId="18" fillId="0" borderId="0" xfId="1" applyNumberFormat="1" applyFont="1" applyFill="1"/>
    <xf numFmtId="0" fontId="3" fillId="0" borderId="0" xfId="6" applyFont="1" applyBorder="1" applyAlignment="1">
      <alignment horizontal="centerContinuous"/>
    </xf>
    <xf numFmtId="0" fontId="16" fillId="0" borderId="0" xfId="6" applyFont="1" applyBorder="1" applyAlignment="1">
      <alignment horizontal="centerContinuous"/>
    </xf>
    <xf numFmtId="0" fontId="3" fillId="0" borderId="0" xfId="6" applyFont="1" applyBorder="1" applyAlignment="1">
      <alignment horizontal="center"/>
    </xf>
    <xf numFmtId="0" fontId="10" fillId="0" borderId="0" xfId="6" applyFont="1" applyBorder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164" fontId="7" fillId="0" borderId="0" xfId="1" applyNumberFormat="1" applyFont="1" applyFill="1" applyBorder="1" applyProtection="1">
      <protection locked="0"/>
    </xf>
    <xf numFmtId="165" fontId="7" fillId="0" borderId="0" xfId="2" applyNumberFormat="1" applyFont="1" applyFill="1"/>
    <xf numFmtId="0" fontId="19" fillId="0" borderId="0" xfId="0" applyFont="1" applyFill="1" applyAlignment="1">
      <alignment horizontal="centerContinuous"/>
    </xf>
    <xf numFmtId="0" fontId="20" fillId="0" borderId="0" xfId="0" applyFont="1" applyFill="1"/>
    <xf numFmtId="164" fontId="20" fillId="0" borderId="0" xfId="1" applyNumberFormat="1" applyFont="1" applyFill="1"/>
    <xf numFmtId="0" fontId="3" fillId="0" borderId="0" xfId="0" applyFont="1" applyFill="1" applyProtection="1">
      <protection locked="0"/>
    </xf>
    <xf numFmtId="0" fontId="2" fillId="0" borderId="0" xfId="0" applyFont="1" applyFill="1"/>
    <xf numFmtId="0" fontId="4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8" fillId="0" borderId="0" xfId="1" applyNumberFormat="1" applyFont="1" applyFill="1" applyBorder="1" applyAlignment="1">
      <alignment vertical="center"/>
    </xf>
    <xf numFmtId="164" fontId="8" fillId="0" borderId="0" xfId="1" quotePrefix="1" applyNumberFormat="1" applyFont="1" applyFill="1" applyBorder="1" applyAlignment="1">
      <alignment horizontal="left" vertical="center"/>
    </xf>
    <xf numFmtId="164" fontId="4" fillId="0" borderId="33" xfId="1" applyNumberFormat="1" applyFont="1" applyFill="1" applyBorder="1" applyAlignment="1">
      <alignment horizontal="center"/>
    </xf>
    <xf numFmtId="164" fontId="2" fillId="0" borderId="32" xfId="1" quotePrefix="1" applyNumberFormat="1" applyFont="1" applyFill="1" applyBorder="1" applyAlignment="1" applyProtection="1">
      <alignment horizontal="center"/>
      <protection locked="0"/>
    </xf>
    <xf numFmtId="164" fontId="4" fillId="0" borderId="24" xfId="1" applyNumberFormat="1" applyFont="1" applyFill="1" applyBorder="1" applyAlignment="1" applyProtection="1">
      <alignment horizontal="center" wrapText="1"/>
      <protection locked="0"/>
    </xf>
    <xf numFmtId="164" fontId="2" fillId="0" borderId="24" xfId="1" applyNumberFormat="1" applyFont="1" applyFill="1" applyBorder="1" applyAlignment="1" applyProtection="1">
      <alignment horizontal="left"/>
      <protection locked="0"/>
    </xf>
    <xf numFmtId="164" fontId="2" fillId="0" borderId="34" xfId="1" applyNumberFormat="1" applyFont="1" applyFill="1" applyBorder="1" applyAlignment="1" applyProtection="1">
      <alignment horizontal="left"/>
      <protection locked="0"/>
    </xf>
    <xf numFmtId="164" fontId="2" fillId="0" borderId="34" xfId="1" applyNumberFormat="1" applyFont="1" applyFill="1" applyBorder="1" applyProtection="1">
      <protection locked="0"/>
    </xf>
    <xf numFmtId="164" fontId="2" fillId="0" borderId="24" xfId="1" applyNumberFormat="1" applyFont="1" applyFill="1" applyBorder="1" applyAlignment="1">
      <alignment vertical="center"/>
    </xf>
    <xf numFmtId="0" fontId="21" fillId="0" borderId="0" xfId="0" applyFont="1" applyFill="1"/>
    <xf numFmtId="164" fontId="4" fillId="0" borderId="22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164" fontId="10" fillId="0" borderId="0" xfId="0" applyNumberFormat="1" applyFont="1" applyBorder="1"/>
    <xf numFmtId="164" fontId="4" fillId="0" borderId="10" xfId="1" quotePrefix="1" applyNumberFormat="1" applyFont="1" applyFill="1" applyBorder="1" applyAlignment="1" applyProtection="1">
      <alignment horizontal="center" wrapText="1"/>
      <protection locked="0"/>
    </xf>
    <xf numFmtId="164" fontId="2" fillId="0" borderId="11" xfId="1" applyNumberFormat="1" applyFont="1" applyFill="1" applyBorder="1"/>
    <xf numFmtId="164" fontId="2" fillId="0" borderId="20" xfId="1" applyNumberFormat="1" applyFont="1" applyFill="1" applyBorder="1"/>
    <xf numFmtId="167" fontId="10" fillId="0" borderId="0" xfId="2" applyNumberFormat="1" applyFont="1" applyFill="1" applyBorder="1"/>
    <xf numFmtId="164" fontId="4" fillId="0" borderId="21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3" fillId="0" borderId="0" xfId="6" applyFont="1" applyAlignment="1">
      <alignment horizontal="left" wrapText="1"/>
    </xf>
    <xf numFmtId="0" fontId="14" fillId="0" borderId="0" xfId="6" applyFont="1" applyAlignment="1"/>
    <xf numFmtId="0" fontId="13" fillId="0" borderId="0" xfId="6" applyFont="1" applyAlignment="1">
      <alignment wrapText="1"/>
    </xf>
    <xf numFmtId="0" fontId="18" fillId="0" borderId="0" xfId="3" applyFont="1" applyAlignment="1">
      <alignment horizontal="center"/>
    </xf>
    <xf numFmtId="0" fontId="18" fillId="0" borderId="0" xfId="3" applyFont="1" applyFill="1" applyAlignment="1">
      <alignment horizontal="center"/>
    </xf>
    <xf numFmtId="0" fontId="10" fillId="0" borderId="2" xfId="0" applyFont="1" applyFill="1" applyBorder="1" applyAlignment="1">
      <alignment horizontal="center"/>
    </xf>
  </cellXfs>
  <cellStyles count="41">
    <cellStyle name="Comma" xfId="1" builtinId="3"/>
    <cellStyle name="Comma 2" xfId="4"/>
    <cellStyle name="Normal" xfId="0" builtinId="0"/>
    <cellStyle name="Normal 2" xfId="3"/>
    <cellStyle name="Normal 3" xfId="6"/>
    <cellStyle name="Percent" xfId="2" builtinId="5"/>
    <cellStyle name="Percent 2" xfId="5"/>
    <cellStyle name="SAPBorder" xfId="25"/>
    <cellStyle name="SAPDataCell" xfId="8"/>
    <cellStyle name="SAPDataTotalCell" xfId="9"/>
    <cellStyle name="SAPDimensionCell" xfId="7"/>
    <cellStyle name="SAPEditableDataCell" xfId="10"/>
    <cellStyle name="SAPEditableDataTotalCell" xfId="13"/>
    <cellStyle name="SAPEmphasized" xfId="33"/>
    <cellStyle name="SAPEmphasizedEditableDataCell" xfId="35"/>
    <cellStyle name="SAPEmphasizedEditableDataTotalCell" xfId="36"/>
    <cellStyle name="SAPEmphasizedLockedDataCell" xfId="39"/>
    <cellStyle name="SAPEmphasizedLockedDataTotalCell" xfId="40"/>
    <cellStyle name="SAPEmphasizedReadonlyDataCell" xfId="37"/>
    <cellStyle name="SAPEmphasizedReadonlyDataTotalCell" xfId="38"/>
    <cellStyle name="SAPEmphasizedTotal" xfId="34"/>
    <cellStyle name="SAPExceptionLevel1" xfId="16"/>
    <cellStyle name="SAPExceptionLevel2" xfId="17"/>
    <cellStyle name="SAPExceptionLevel3" xfId="18"/>
    <cellStyle name="SAPExceptionLevel4" xfId="19"/>
    <cellStyle name="SAPExceptionLevel5" xfId="20"/>
    <cellStyle name="SAPExceptionLevel6" xfId="21"/>
    <cellStyle name="SAPExceptionLevel7" xfId="22"/>
    <cellStyle name="SAPExceptionLevel8" xfId="23"/>
    <cellStyle name="SAPExceptionLevel9" xfId="24"/>
    <cellStyle name="SAPHierarchyCell0" xfId="28"/>
    <cellStyle name="SAPHierarchyCell1" xfId="29"/>
    <cellStyle name="SAPHierarchyCell2" xfId="30"/>
    <cellStyle name="SAPHierarchyCell3" xfId="31"/>
    <cellStyle name="SAPHierarchyCell4" xfId="32"/>
    <cellStyle name="SAPLockedDataCell" xfId="12"/>
    <cellStyle name="SAPLockedDataTotalCell" xfId="15"/>
    <cellStyle name="SAPMemberCell" xfId="26"/>
    <cellStyle name="SAPMemberTotalCell" xfId="27"/>
    <cellStyle name="SAPReadonlyDataCell" xfId="11"/>
    <cellStyle name="SAPReadonlyDataTotalCell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customXml" Target="../customXml/item4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s/3.1%20-%203.3%20-%20Revenue%20Adjust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.1%20&amp;%205.1.1%20-%20Net%20Power%20Costs%20-%20REVIS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s/3.5%20-%20REC%20Reven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s/3.6%20-%20Wheeling%20Revenu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s/3.9%20-%20Wind%20Wake%20Loss%20Revenu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5%20-%20Remove%20Non-Recurring%20Entri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10%20-%20Reg%20Asset%20Amortization%20Ad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2%20&amp;%204.3%20-%20General%20Wage%20Increas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11%20-%20Legal%20Expenses%20-%20REVISE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eciation/6.4%20-%20Vehicle%20Depreciation%20-%20Depreciation%20Stud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11%20-%20Misc.%20Asset%20Sales%20and%20Removal%20-%20REVISE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1%20-%20Misc%20General%20Expense%20&amp;%20Rev%20Adj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4%20-%20Irrigation%20Load%20Control%20Program%20Adj.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RAM%20December%202013%20GRC%20-%20Final%20Orde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Cleaned-Up%20Copies/3%20-%20Revenues/3.6%20-%20Wheeling%20Revenu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10%20-%20Uncollectible%20Expens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6%20-%20%20DSM%20Expense%20Remov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8%20-%20Advertising%20Adjustmen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9%20-%20Memberships%20and%20Subscription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2%20-%20Environmental%20Remediati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.3%20-%20Colstrip%20%233%20Removal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(6)%20-%20Depreciation/6.3%20-%20Depreciation%20Study%20and%20Annual%20Depreciat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7%20-%20Removal%20of%20Colstrip%20%234%20AFUDC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Cleaned-Up%20Copies/6%20-%20Depreciation/6.4%20-%20Vehicle%20Depreciation%20-%20Depreciation%20Stud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6%20-%20WA%20Flow-Through%20Adj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9%20-%20Customer%20Service%20Deposit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1%20-%20Jim%20Bridger%20Mine%20Rate%20Base%20Adj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5%20-%20Misc%20Rate%20Base%20Adj%20-%20REVISED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13%20-%20Investor%20Supplied%20Working%20Capital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4%20-%20%20ADIT%20Balance%20Adj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3%20-%20Customer%20Advances%20For%20Construction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8%20-%20WA%20Trojan%20Unrecovered%20Plan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ER/WA%20GRC%20Dec%202013%20Base/Cleaned%20Up%20Adjustments/(8)%20-%20Rate%20Base/8.7%20-%20Removal%20of%20Colstrip%20%234%20AFUDC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(5)%20-%20NPC/5.1%20NPC%20-%20WA%20March%202016%20-%20REVISED%20-%2011-4-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s/3.7%20-%20Ancillary%20Revenu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.2%20-%20James%20River%20Royalty%20Offset%20Adj.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(4)%20-%20O&amp;M/4.3%20-%20Wages%20out%2012%20months%20+%20June%2014%20FTE%20+%202014%20Pension%20OPEB/FERC%20Spread%20-%20WEBA%20-%20WA%20GRC%20WCA%20Dec%202013%20-%20PF14FTEJune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12%20-%20Collection%20Agency%20Fees%20-%20REVISED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6%20-%20Powerdale%20Removal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2%20-%20Property%20Tax%20Expense%20-%20REVISED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5%20-%20WA%20Low%20Income%20Tax%20Credit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8%20-%20WA%20Public%20Utility%20Tax%20Adj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s/3.4%20-%20SO2%20Allowances%20Sales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eciation/6.1%20-%20Hydro%20Decommissioning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Cleaned-Up%20Copies/8%20-%20Rate%20Base/8.6%20-%20Powerdale%20Removal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Cleaned-Up%20Copies/7%20-%20Tax/7.3%20-%20Renewable%20Energy%20Tax%20Credit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JAM%20December%202013%20GRC%20-%20Final%20Or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1"/>
      <sheetName val="Page 3.1.1"/>
      <sheetName val="Page 3.1.2"/>
      <sheetName val="Page 3.1.3-3.1.4"/>
      <sheetName val="Page 3.1.5-3.1.6"/>
      <sheetName val="Page 3.2"/>
      <sheetName val="Page 3.3"/>
    </sheetNames>
    <sheetDataSet>
      <sheetData sheetId="0">
        <row r="14">
          <cell r="H14">
            <v>-5692761.2699999996</v>
          </cell>
        </row>
      </sheetData>
      <sheetData sheetId="1"/>
      <sheetData sheetId="2"/>
      <sheetData sheetId="3"/>
      <sheetData sheetId="4"/>
      <sheetData sheetId="5">
        <row r="14">
          <cell r="H14">
            <v>-7427584.4312790008</v>
          </cell>
        </row>
      </sheetData>
      <sheetData sheetId="6">
        <row r="14">
          <cell r="H14">
            <v>17025824.820802085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1"/>
      <sheetName val="Page 5.1.1"/>
      <sheetName val="Page 5.1.2"/>
      <sheetName val="Page 5.1.3"/>
      <sheetName val="Page 5.1.4"/>
      <sheetName val="Page 5.1.5"/>
    </sheetNames>
    <sheetDataSet>
      <sheetData sheetId="0">
        <row r="13">
          <cell r="I13">
            <v>49115714.281319283</v>
          </cell>
        </row>
        <row r="19">
          <cell r="I19">
            <v>30880913.123143163</v>
          </cell>
        </row>
        <row r="20">
          <cell r="I20">
            <v>229351.21066156149</v>
          </cell>
        </row>
        <row r="25">
          <cell r="I25">
            <v>310072.78129679535</v>
          </cell>
        </row>
        <row r="30">
          <cell r="I30">
            <v>2396809.2475024615</v>
          </cell>
        </row>
        <row r="31">
          <cell r="I31">
            <v>3783848.2440486583</v>
          </cell>
        </row>
      </sheetData>
      <sheetData sheetId="1">
        <row r="13">
          <cell r="I13">
            <v>-45206892.479056671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5"/>
      <sheetName val="Page 3.5.1"/>
    </sheetNames>
    <sheetDataSet>
      <sheetData sheetId="0">
        <row r="12">
          <cell r="I12">
            <v>-600937.01454954769</v>
          </cell>
        </row>
        <row r="14">
          <cell r="I14">
            <v>-1652402.1165229459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6"/>
      <sheetName val="Page 3.6.1-3.6.4"/>
      <sheetName val="Page 3.6.5"/>
    </sheetNames>
    <sheetDataSet>
      <sheetData sheetId="0">
        <row r="10">
          <cell r="I10">
            <v>-213923.19074152302</v>
          </cell>
        </row>
        <row r="11">
          <cell r="I11">
            <v>449017.00217965804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9"/>
      <sheetName val="Page 3.9.1"/>
    </sheetNames>
    <sheetDataSet>
      <sheetData sheetId="0">
        <row r="11">
          <cell r="H11">
            <v>-11430.308529090542</v>
          </cell>
        </row>
        <row r="13">
          <cell r="H13">
            <v>37318.889935926461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5"/>
      <sheetName val="Page 4.5.1"/>
    </sheetNames>
    <sheetDataSet>
      <sheetData sheetId="0">
        <row r="10">
          <cell r="I10">
            <v>-2677.954313646268</v>
          </cell>
        </row>
        <row r="12">
          <cell r="I12">
            <v>-158114.54708066303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0"/>
      <sheetName val="Page 8.10.1"/>
    </sheetNames>
    <sheetDataSet>
      <sheetData sheetId="0">
        <row r="10">
          <cell r="F10">
            <v>-3000000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2"/>
      <sheetName val="Page 4.3"/>
      <sheetName val="Page 4.3.1"/>
      <sheetName val="Page 4.3.2"/>
      <sheetName val="Paeg 4.3.3 - 4.3.4"/>
      <sheetName val="Page 4.3.5 - 4.3.6"/>
      <sheetName val="Page 4.3.7"/>
      <sheetName val="Page 4.3.8"/>
      <sheetName val="Page 4.3.9"/>
      <sheetName val="Page 4.3.10"/>
    </sheetNames>
    <sheetDataSet>
      <sheetData sheetId="0">
        <row r="9">
          <cell r="I9">
            <v>0</v>
          </cell>
        </row>
        <row r="10">
          <cell r="I10">
            <v>-1.2766055174784168</v>
          </cell>
        </row>
        <row r="11">
          <cell r="I11">
            <v>-1716.3080078233629</v>
          </cell>
        </row>
        <row r="12">
          <cell r="I12">
            <v>-3.3233238118496882</v>
          </cell>
        </row>
        <row r="13">
          <cell r="I13">
            <v>0</v>
          </cell>
        </row>
        <row r="14">
          <cell r="I14">
            <v>-221.99008879581694</v>
          </cell>
        </row>
        <row r="15">
          <cell r="I15">
            <v>-33.855860791561462</v>
          </cell>
        </row>
        <row r="16">
          <cell r="I16">
            <v>0</v>
          </cell>
        </row>
        <row r="17">
          <cell r="I17">
            <v>64.569682083671623</v>
          </cell>
        </row>
        <row r="18">
          <cell r="I18">
            <v>-6800.0663958112955</v>
          </cell>
        </row>
        <row r="19">
          <cell r="I19">
            <v>0</v>
          </cell>
        </row>
        <row r="20">
          <cell r="I20">
            <v>-2853.6965326377358</v>
          </cell>
        </row>
        <row r="21">
          <cell r="I21">
            <v>0</v>
          </cell>
        </row>
        <row r="22">
          <cell r="I22">
            <v>-1175.760002545004</v>
          </cell>
        </row>
        <row r="23">
          <cell r="I23">
            <v>0</v>
          </cell>
        </row>
        <row r="24">
          <cell r="I24">
            <v>-544.34001779448374</v>
          </cell>
        </row>
        <row r="25">
          <cell r="I25">
            <v>-230.35314243906456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-278.52640817215547</v>
          </cell>
        </row>
        <row r="29">
          <cell r="I29">
            <v>0</v>
          </cell>
        </row>
        <row r="30">
          <cell r="I30">
            <v>-48.809484996821958</v>
          </cell>
        </row>
        <row r="31">
          <cell r="I31">
            <v>-578.7779413168829</v>
          </cell>
        </row>
        <row r="32">
          <cell r="I32">
            <v>-3180.977863939308</v>
          </cell>
        </row>
        <row r="33">
          <cell r="I33">
            <v>0</v>
          </cell>
        </row>
        <row r="34">
          <cell r="I34">
            <v>-265.27154780024347</v>
          </cell>
        </row>
        <row r="35">
          <cell r="I35">
            <v>-10.885683045094888</v>
          </cell>
        </row>
        <row r="36">
          <cell r="I36">
            <v>-1854.5861320396023</v>
          </cell>
        </row>
        <row r="37">
          <cell r="I37">
            <v>0</v>
          </cell>
        </row>
        <row r="38">
          <cell r="I38">
            <v>-298.04236407513122</v>
          </cell>
        </row>
        <row r="39">
          <cell r="I39">
            <v>-30.108073019989249</v>
          </cell>
        </row>
        <row r="40">
          <cell r="I40">
            <v>-52.687600949931387</v>
          </cell>
        </row>
        <row r="41">
          <cell r="I41">
            <v>-2849.1167116991014</v>
          </cell>
        </row>
        <row r="42">
          <cell r="I42">
            <v>-2954.6420967812569</v>
          </cell>
        </row>
        <row r="43">
          <cell r="I43">
            <v>0</v>
          </cell>
        </row>
        <row r="44">
          <cell r="I44">
            <v>-3609.3538359642348</v>
          </cell>
        </row>
        <row r="45">
          <cell r="I45">
            <v>-578.83921668511209</v>
          </cell>
        </row>
        <row r="46">
          <cell r="I46">
            <v>-3641.4508389117395</v>
          </cell>
        </row>
        <row r="47">
          <cell r="I47">
            <v>-1767.9432368221974</v>
          </cell>
        </row>
        <row r="48">
          <cell r="I48">
            <v>-266.95706828709939</v>
          </cell>
        </row>
        <row r="49">
          <cell r="I49">
            <v>0</v>
          </cell>
        </row>
        <row r="50">
          <cell r="I50">
            <v>-563.09326962152409</v>
          </cell>
        </row>
        <row r="51">
          <cell r="I51">
            <v>-875.25760919000084</v>
          </cell>
        </row>
        <row r="52">
          <cell r="I52">
            <v>-10095.52908999801</v>
          </cell>
        </row>
        <row r="53">
          <cell r="I53">
            <v>4.4505948122099091E-2</v>
          </cell>
        </row>
        <row r="54">
          <cell r="I54">
            <v>-271.76926930662438</v>
          </cell>
        </row>
      </sheetData>
      <sheetData sheetId="1">
        <row r="9">
          <cell r="I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1 - 4.11.1"/>
      <sheetName val="Page 4.11.2"/>
      <sheetName val="Page 4.11.3"/>
      <sheetName val="Page 4.11.4"/>
    </sheetNames>
    <sheetDataSet>
      <sheetData sheetId="0">
        <row r="15">
          <cell r="I15">
            <v>12881.485824792999</v>
          </cell>
        </row>
        <row r="16">
          <cell r="I16">
            <v>-4312.258354333826</v>
          </cell>
        </row>
        <row r="20">
          <cell r="I20">
            <v>-343.38767399739129</v>
          </cell>
        </row>
        <row r="23">
          <cell r="I23">
            <v>286027.12810266158</v>
          </cell>
        </row>
        <row r="25">
          <cell r="I25">
            <v>-347578.28436985239</v>
          </cell>
        </row>
        <row r="29">
          <cell r="I29">
            <v>-5247.3435211022797</v>
          </cell>
        </row>
        <row r="32">
          <cell r="I32">
            <v>-29261.329006115837</v>
          </cell>
        </row>
        <row r="36">
          <cell r="I36">
            <v>-2949.2486031032072</v>
          </cell>
        </row>
        <row r="40">
          <cell r="I40">
            <v>194151.23851787971</v>
          </cell>
        </row>
        <row r="41">
          <cell r="I41">
            <v>0</v>
          </cell>
        </row>
        <row r="42">
          <cell r="I42">
            <v>-60037.225080471333</v>
          </cell>
        </row>
        <row r="43">
          <cell r="I43">
            <v>0</v>
          </cell>
        </row>
        <row r="44">
          <cell r="I44">
            <v>-78838.499999999985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769962.28284360585</v>
          </cell>
        </row>
        <row r="51">
          <cell r="I51">
            <v>-107.91077808531774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391011.95358539739</v>
          </cell>
        </row>
        <row r="76">
          <cell r="I76">
            <v>-805.22632796619916</v>
          </cell>
        </row>
        <row r="77">
          <cell r="I77">
            <v>-295373.69488669198</v>
          </cell>
        </row>
        <row r="78">
          <cell r="I78">
            <v>0</v>
          </cell>
        </row>
        <row r="79">
          <cell r="I79">
            <v>-613827.47000000009</v>
          </cell>
        </row>
        <row r="80">
          <cell r="I80">
            <v>0</v>
          </cell>
        </row>
        <row r="89">
          <cell r="I89">
            <v>-121532.45812772612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4"/>
      <sheetName val="Page 6.4.1"/>
      <sheetName val="Page 6.4.2"/>
      <sheetName val="Page 6.4.3"/>
    </sheetNames>
    <sheetDataSet>
      <sheetData sheetId="0">
        <row r="9">
          <cell r="I9">
            <v>0</v>
          </cell>
        </row>
        <row r="10">
          <cell r="I10">
            <v>-2.3807453095238391</v>
          </cell>
        </row>
        <row r="11">
          <cell r="I11">
            <v>-3200.7477512666783</v>
          </cell>
        </row>
        <row r="12">
          <cell r="I12">
            <v>-6.197676156623535</v>
          </cell>
        </row>
        <row r="13">
          <cell r="I13">
            <v>0</v>
          </cell>
        </row>
        <row r="14">
          <cell r="I14">
            <v>-413.989956510083</v>
          </cell>
        </row>
        <row r="15">
          <cell r="I15">
            <v>-63.137892384022791</v>
          </cell>
        </row>
        <row r="16">
          <cell r="I16">
            <v>0</v>
          </cell>
        </row>
        <row r="17">
          <cell r="I17">
            <v>-12681.46342360778</v>
          </cell>
        </row>
        <row r="18">
          <cell r="I18">
            <v>120.41618624818899</v>
          </cell>
        </row>
        <row r="19">
          <cell r="I19">
            <v>0</v>
          </cell>
        </row>
        <row r="20">
          <cell r="I20">
            <v>-5321.866889860592</v>
          </cell>
        </row>
        <row r="21">
          <cell r="I21">
            <v>-2192.6782180244495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-1015.1412683145091</v>
          </cell>
        </row>
        <row r="25">
          <cell r="I25">
            <v>-429.58623935694504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-519.42470148817324</v>
          </cell>
        </row>
        <row r="29">
          <cell r="I29">
            <v>-5932.2147880351031</v>
          </cell>
        </row>
        <row r="30">
          <cell r="I30">
            <v>0</v>
          </cell>
        </row>
        <row r="31">
          <cell r="I31">
            <v>-91.024949270143424</v>
          </cell>
        </row>
        <row r="32">
          <cell r="I32">
            <v>-1079.3646511631412</v>
          </cell>
        </row>
        <row r="33">
          <cell r="I33">
            <v>0</v>
          </cell>
        </row>
        <row r="34">
          <cell r="I34">
            <v>-494.70567417176778</v>
          </cell>
        </row>
        <row r="35">
          <cell r="I35">
            <v>-3458.6230237218842</v>
          </cell>
        </row>
        <row r="36">
          <cell r="I36">
            <v>-20.300741690168195</v>
          </cell>
        </row>
        <row r="37">
          <cell r="I37">
            <v>0</v>
          </cell>
        </row>
        <row r="38">
          <cell r="I38">
            <v>-555.82006390886636</v>
          </cell>
        </row>
        <row r="39">
          <cell r="I39">
            <v>-98.257258890261426</v>
          </cell>
        </row>
        <row r="40">
          <cell r="I40">
            <v>-56.148632165341191</v>
          </cell>
        </row>
        <row r="41">
          <cell r="I41">
            <v>-5313.3259685902149</v>
          </cell>
        </row>
        <row r="42">
          <cell r="I42">
            <v>-5510.1205634203188</v>
          </cell>
        </row>
        <row r="43">
          <cell r="I43">
            <v>-6731.0943731128018</v>
          </cell>
        </row>
        <row r="44">
          <cell r="I44">
            <v>-1079.4789237739865</v>
          </cell>
        </row>
        <row r="45">
          <cell r="I45">
            <v>-6790.9521664333133</v>
          </cell>
        </row>
        <row r="46">
          <cell r="I46">
            <v>-3297.0424386717427</v>
          </cell>
        </row>
        <row r="47">
          <cell r="I47">
            <v>-497.8490061864332</v>
          </cell>
        </row>
        <row r="48">
          <cell r="I48">
            <v>-1050.1142617053988</v>
          </cell>
        </row>
        <row r="49">
          <cell r="I49">
            <v>-1632.270438420202</v>
          </cell>
        </row>
        <row r="50">
          <cell r="I50">
            <v>-18827.181301588404</v>
          </cell>
        </row>
        <row r="51">
          <cell r="I51">
            <v>0</v>
          </cell>
        </row>
        <row r="52">
          <cell r="I52">
            <v>-506.82329373952905</v>
          </cell>
        </row>
      </sheetData>
      <sheetData sheetId="1">
        <row r="10">
          <cell r="I10">
            <v>-16.394719006165481</v>
          </cell>
        </row>
        <row r="11">
          <cell r="I11">
            <v>-9517.0031910968482</v>
          </cell>
        </row>
        <row r="12">
          <cell r="I12">
            <v>-24557.159410430668</v>
          </cell>
        </row>
        <row r="13">
          <cell r="I13">
            <v>-6342.3661251493086</v>
          </cell>
        </row>
        <row r="14">
          <cell r="I14">
            <v>-2976.0712771166905</v>
          </cell>
        </row>
      </sheetData>
      <sheetData sheetId="2">
        <row r="23">
          <cell r="I23">
            <v>-378814.10350758285</v>
          </cell>
        </row>
        <row r="55">
          <cell r="I55">
            <v>-143763.74042216278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1"/>
      <sheetName val="Page 8.11.1"/>
      <sheetName val="Page 8.11.2"/>
    </sheetNames>
    <sheetDataSet>
      <sheetData sheetId="0">
        <row r="31">
          <cell r="I31">
            <v>-6984.2305789677403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"/>
      <sheetName val="Page 4.1.1"/>
    </sheetNames>
    <sheetDataSet>
      <sheetData sheetId="0">
        <row r="15">
          <cell r="I15">
            <v>13982.398107966173</v>
          </cell>
        </row>
        <row r="22">
          <cell r="I22">
            <v>-21641.959903357409</v>
          </cell>
        </row>
        <row r="25">
          <cell r="I25">
            <v>-483.02493772478488</v>
          </cell>
        </row>
        <row r="26">
          <cell r="I26">
            <v>-571.03068678181455</v>
          </cell>
        </row>
        <row r="27">
          <cell r="I27">
            <v>-124.97292981134815</v>
          </cell>
        </row>
        <row r="28">
          <cell r="I28">
            <v>-109.93341343866049</v>
          </cell>
        </row>
        <row r="29">
          <cell r="I29">
            <v>-4191.6184738419006</v>
          </cell>
        </row>
        <row r="30">
          <cell r="I30">
            <v>1390.1806590210574</v>
          </cell>
        </row>
        <row r="31">
          <cell r="I31">
            <v>0</v>
          </cell>
        </row>
        <row r="32">
          <cell r="I32">
            <v>-1703.490610626937</v>
          </cell>
        </row>
        <row r="34">
          <cell r="I34">
            <v>2805.3918898937795</v>
          </cell>
        </row>
        <row r="35">
          <cell r="I35">
            <v>-412.22515451777014</v>
          </cell>
        </row>
        <row r="36">
          <cell r="I36">
            <v>-42.010512419318545</v>
          </cell>
        </row>
        <row r="37">
          <cell r="I37">
            <v>-382.24604052258314</v>
          </cell>
        </row>
        <row r="38">
          <cell r="I38">
            <v>-24.33695426934386</v>
          </cell>
        </row>
        <row r="39">
          <cell r="I39">
            <v>-8101.8411639346841</v>
          </cell>
        </row>
        <row r="40">
          <cell r="I40">
            <v>-10605.119115126485</v>
          </cell>
        </row>
        <row r="41">
          <cell r="I41">
            <v>8101.8411639346841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4"/>
      <sheetName val="Page 4.4.1"/>
    </sheetNames>
    <sheetDataSet>
      <sheetData sheetId="0">
        <row r="9">
          <cell r="I9">
            <v>-5011.1464766640465</v>
          </cell>
        </row>
        <row r="12">
          <cell r="I12">
            <v>-329.60724603979043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>
        <row r="384">
          <cell r="I384">
            <v>-1786546.4551077932</v>
          </cell>
        </row>
        <row r="387">
          <cell r="I387">
            <v>118385.44187176228</v>
          </cell>
        </row>
        <row r="388">
          <cell r="I388">
            <v>-313797.34437002521</v>
          </cell>
        </row>
        <row r="389">
          <cell r="I389">
            <v>-39319.478067078089</v>
          </cell>
        </row>
        <row r="391">
          <cell r="I391">
            <v>31734.482962341266</v>
          </cell>
        </row>
        <row r="392">
          <cell r="I392">
            <v>-9998.8672705613262</v>
          </cell>
        </row>
        <row r="398">
          <cell r="I398">
            <v>8867.6217848589295</v>
          </cell>
        </row>
        <row r="400">
          <cell r="I400">
            <v>1246653.4914329017</v>
          </cell>
        </row>
      </sheetData>
      <sheetData sheetId="2"/>
      <sheetData sheetId="3"/>
      <sheetData sheetId="4">
        <row r="445">
          <cell r="I445">
            <v>-491135</v>
          </cell>
        </row>
        <row r="447">
          <cell r="I447">
            <v>245568</v>
          </cell>
        </row>
      </sheetData>
      <sheetData sheetId="5">
        <row r="330">
          <cell r="I330">
            <v>21097162.679424621</v>
          </cell>
        </row>
        <row r="341">
          <cell r="I341">
            <v>-478387.71218067798</v>
          </cell>
        </row>
        <row r="352">
          <cell r="I352">
            <v>466361.64486894885</v>
          </cell>
        </row>
        <row r="1384">
          <cell r="I1384">
            <v>30505.59674909465</v>
          </cell>
        </row>
        <row r="1385">
          <cell r="I1385">
            <v>57863.307452385256</v>
          </cell>
        </row>
        <row r="1386">
          <cell r="I1386">
            <v>10382.502420557708</v>
          </cell>
        </row>
        <row r="1387">
          <cell r="I1387">
            <v>-14841.754156589159</v>
          </cell>
        </row>
        <row r="1389">
          <cell r="I1389">
            <v>291140.9440811305</v>
          </cell>
        </row>
        <row r="1390">
          <cell r="I1390">
            <v>4304528.5116698202</v>
          </cell>
        </row>
        <row r="1391">
          <cell r="I1391">
            <v>1523120.671130857</v>
          </cell>
        </row>
        <row r="1392">
          <cell r="I1392">
            <v>-2049541.0162589801</v>
          </cell>
        </row>
        <row r="1394">
          <cell r="I1394">
            <v>144715.10403872374</v>
          </cell>
        </row>
        <row r="1395">
          <cell r="I1395">
            <v>394027</v>
          </cell>
        </row>
        <row r="1396">
          <cell r="I1396">
            <v>94616</v>
          </cell>
        </row>
        <row r="1397">
          <cell r="I1397">
            <v>-124979</v>
          </cell>
        </row>
      </sheetData>
      <sheetData sheetId="6">
        <row r="19">
          <cell r="I19">
            <v>163081.06751195365</v>
          </cell>
        </row>
        <row r="30">
          <cell r="I30">
            <v>-3697.9370151566691</v>
          </cell>
        </row>
        <row r="41">
          <cell r="I41">
            <v>3604.9755148369586</v>
          </cell>
        </row>
        <row r="44">
          <cell r="I44">
            <v>168043.62256751209</v>
          </cell>
        </row>
        <row r="45">
          <cell r="I45">
            <v>338755.48895165324</v>
          </cell>
        </row>
        <row r="46">
          <cell r="I46">
            <v>4479.5370097999694</v>
          </cell>
        </row>
        <row r="47">
          <cell r="I47">
            <v>3252.5788298278349</v>
          </cell>
        </row>
        <row r="48">
          <cell r="I48">
            <v>194367.15618342906</v>
          </cell>
        </row>
        <row r="49">
          <cell r="I49">
            <v>441784.34985890239</v>
          </cell>
        </row>
        <row r="50">
          <cell r="I50">
            <v>162380.80137860775</v>
          </cell>
        </row>
        <row r="74">
          <cell r="I74">
            <v>5255.6147617389215</v>
          </cell>
        </row>
        <row r="77">
          <cell r="I77">
            <v>319.44860753373359</v>
          </cell>
        </row>
        <row r="83">
          <cell r="I83">
            <v>-5116.6170785827489</v>
          </cell>
        </row>
        <row r="86">
          <cell r="I86">
            <v>1027.3129650361952</v>
          </cell>
        </row>
        <row r="87">
          <cell r="I87">
            <v>9748.8873550083954</v>
          </cell>
        </row>
        <row r="88">
          <cell r="I88">
            <v>1118.6477542193315</v>
          </cell>
        </row>
        <row r="89">
          <cell r="I89">
            <v>0</v>
          </cell>
        </row>
        <row r="90">
          <cell r="I90">
            <v>1948.617050000001</v>
          </cell>
        </row>
        <row r="91">
          <cell r="I91">
            <v>144137.62279000133</v>
          </cell>
        </row>
        <row r="92">
          <cell r="I92">
            <v>3045.8287100000307</v>
          </cell>
        </row>
        <row r="93">
          <cell r="I93">
            <v>0</v>
          </cell>
        </row>
        <row r="94">
          <cell r="I94">
            <v>349.64336000000185</v>
          </cell>
        </row>
        <row r="95">
          <cell r="I95">
            <v>51001.867490000091</v>
          </cell>
        </row>
        <row r="96">
          <cell r="I96">
            <v>731.38168000000587</v>
          </cell>
        </row>
        <row r="97">
          <cell r="I97">
            <v>0</v>
          </cell>
        </row>
        <row r="98">
          <cell r="I98">
            <v>-499.81407000000036</v>
          </cell>
        </row>
        <row r="99">
          <cell r="I99">
            <v>-68629.112129999325</v>
          </cell>
        </row>
        <row r="100">
          <cell r="I100">
            <v>-966.08767000000807</v>
          </cell>
        </row>
        <row r="101">
          <cell r="I101">
            <v>0</v>
          </cell>
        </row>
      </sheetData>
      <sheetData sheetId="7"/>
      <sheetData sheetId="8"/>
      <sheetData sheetId="9"/>
      <sheetData sheetId="10"/>
      <sheetData sheetId="11">
        <row r="11">
          <cell r="C11">
            <v>317700179.76000005</v>
          </cell>
          <cell r="D11">
            <v>3905479.1195230857</v>
          </cell>
          <cell r="G11">
            <v>321605658.87952316</v>
          </cell>
          <cell r="H11">
            <v>0</v>
          </cell>
          <cell r="I11">
            <v>321605658.87952316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>
            <v>18487997.238930419</v>
          </cell>
          <cell r="D13">
            <v>49115714.281319283</v>
          </cell>
          <cell r="G13">
            <v>67603711.520249695</v>
          </cell>
          <cell r="H13">
            <v>-45696518.794511281</v>
          </cell>
          <cell r="I13">
            <v>21907192.725738414</v>
          </cell>
        </row>
        <row r="14">
          <cell r="C14">
            <v>11424455.922849471</v>
          </cell>
          <cell r="D14">
            <v>-5636807.1774237705</v>
          </cell>
          <cell r="G14">
            <v>5787648.7454257002</v>
          </cell>
          <cell r="H14">
            <v>1213135.1947180552</v>
          </cell>
          <cell r="I14">
            <v>7000783.9401437556</v>
          </cell>
        </row>
        <row r="15">
          <cell r="C15">
            <v>347612632.92177993</v>
          </cell>
          <cell r="D15">
            <v>47384386.223418601</v>
          </cell>
          <cell r="G15">
            <v>394997019.14519858</v>
          </cell>
          <cell r="H15">
            <v>-44483383.599793226</v>
          </cell>
          <cell r="I15">
            <v>350513635.54540533</v>
          </cell>
        </row>
        <row r="18">
          <cell r="C18">
            <v>59484321.530398287</v>
          </cell>
          <cell r="D18">
            <v>2343666.6061982932</v>
          </cell>
          <cell r="G18">
            <v>61827988.136596583</v>
          </cell>
          <cell r="H18">
            <v>10544366.101396032</v>
          </cell>
          <cell r="I18">
            <v>72372354.237992615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7355375.5656367149</v>
          </cell>
          <cell r="D20">
            <v>-28190.057298298914</v>
          </cell>
          <cell r="G20">
            <v>7327185.508338416</v>
          </cell>
          <cell r="H20">
            <v>-58308.795913521913</v>
          </cell>
          <cell r="I20">
            <v>7268876.7124248939</v>
          </cell>
        </row>
        <row r="21">
          <cell r="C21">
            <v>94996038.854480177</v>
          </cell>
          <cell r="D21">
            <v>34773731.224899374</v>
          </cell>
          <cell r="G21">
            <v>129769770.07937956</v>
          </cell>
          <cell r="H21">
            <v>-54135459.210119531</v>
          </cell>
          <cell r="I21">
            <v>75634310.869260028</v>
          </cell>
        </row>
        <row r="22">
          <cell r="C22">
            <v>27085770.889695119</v>
          </cell>
          <cell r="D22">
            <v>303885.87602022506</v>
          </cell>
          <cell r="G22">
            <v>27389656.765715346</v>
          </cell>
          <cell r="H22">
            <v>3360508.3664367702</v>
          </cell>
          <cell r="I22">
            <v>30750165.132152118</v>
          </cell>
        </row>
        <row r="23">
          <cell r="C23">
            <v>12193372.832732398</v>
          </cell>
          <cell r="D23">
            <v>-371809.61799597944</v>
          </cell>
          <cell r="G23">
            <v>11821563.214736419</v>
          </cell>
          <cell r="H23">
            <v>-144589.8911580951</v>
          </cell>
          <cell r="I23">
            <v>11676973.323578324</v>
          </cell>
        </row>
        <row r="24">
          <cell r="C24">
            <v>6347127.9129931955</v>
          </cell>
          <cell r="D24">
            <v>402258.4774248529</v>
          </cell>
          <cell r="G24">
            <v>6749386.390418048</v>
          </cell>
          <cell r="H24">
            <v>-78277.368777593787</v>
          </cell>
          <cell r="I24">
            <v>6671109.0216404544</v>
          </cell>
        </row>
        <row r="25">
          <cell r="C25">
            <v>11445806.671783183</v>
          </cell>
          <cell r="D25">
            <v>-10683512.888207437</v>
          </cell>
          <cell r="G25">
            <v>762293.7835757453</v>
          </cell>
          <cell r="H25">
            <v>-12011.355707270053</v>
          </cell>
          <cell r="I25">
            <v>750282.42786847521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13226426.289316572</v>
          </cell>
          <cell r="D27">
            <v>-1473130.1412501577</v>
          </cell>
          <cell r="G27">
            <v>11753296.148066415</v>
          </cell>
          <cell r="H27">
            <v>-140950.66735937251</v>
          </cell>
          <cell r="I27">
            <v>11612345.480707042</v>
          </cell>
        </row>
        <row r="28">
          <cell r="C28">
            <v>232134240.54703563</v>
          </cell>
          <cell r="D28">
            <v>25266899.479790874</v>
          </cell>
          <cell r="G28">
            <v>257401140.02682656</v>
          </cell>
          <cell r="H28">
            <v>-40664722.821202591</v>
          </cell>
          <cell r="I28">
            <v>216736417.20562395</v>
          </cell>
        </row>
        <row r="29">
          <cell r="C29">
            <v>42465251.825127855</v>
          </cell>
          <cell r="D29">
            <v>982571.90635064198</v>
          </cell>
          <cell r="G29">
            <v>43447823.731478497</v>
          </cell>
          <cell r="H29">
            <v>469966.6203837858</v>
          </cell>
          <cell r="I29">
            <v>43917790.351862282</v>
          </cell>
        </row>
        <row r="30">
          <cell r="C30">
            <v>5034157.1996431584</v>
          </cell>
          <cell r="D30">
            <v>0</v>
          </cell>
          <cell r="G30">
            <v>5034157.1996431584</v>
          </cell>
          <cell r="H30">
            <v>82361.759263031505</v>
          </cell>
          <cell r="I30">
            <v>5116518.9589061895</v>
          </cell>
        </row>
        <row r="31">
          <cell r="C31">
            <v>21700554.211273085</v>
          </cell>
          <cell r="D31">
            <v>-41073.316515808037</v>
          </cell>
          <cell r="G31">
            <v>21659480.894757278</v>
          </cell>
          <cell r="H31">
            <v>-659185.38848287473</v>
          </cell>
          <cell r="I31">
            <v>21000295.506274402</v>
          </cell>
        </row>
        <row r="32">
          <cell r="C32">
            <v>1000694.0075739436</v>
          </cell>
          <cell r="D32">
            <v>7614453.1022889605</v>
          </cell>
          <cell r="G32">
            <v>8615147.109862905</v>
          </cell>
          <cell r="H32">
            <v>-3785847.0344515578</v>
          </cell>
          <cell r="I32">
            <v>4829300.0754113477</v>
          </cell>
        </row>
        <row r="33">
          <cell r="C33">
            <v>0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4870544.7604143675</v>
          </cell>
          <cell r="D34">
            <v>-1131640.190756897</v>
          </cell>
          <cell r="G34">
            <v>3738904.5696574706</v>
          </cell>
          <cell r="H34">
            <v>2086148.6571185363</v>
          </cell>
          <cell r="I34">
            <v>5825053.2267760066</v>
          </cell>
        </row>
        <row r="35">
          <cell r="C35">
            <v>0</v>
          </cell>
          <cell r="D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17412.424553640729</v>
          </cell>
          <cell r="D36">
            <v>-3490.1945226639618</v>
          </cell>
          <cell r="G36">
            <v>13922.230030976767</v>
          </cell>
          <cell r="H36">
            <v>-776048.95839665306</v>
          </cell>
          <cell r="I36">
            <v>-762126.72836567624</v>
          </cell>
        </row>
        <row r="37">
          <cell r="C37">
            <v>307222854.97562164</v>
          </cell>
          <cell r="D37">
            <v>32687720.786635105</v>
          </cell>
          <cell r="G37">
            <v>339910575.7622568</v>
          </cell>
          <cell r="H37">
            <v>-43247327.165768325</v>
          </cell>
          <cell r="I37">
            <v>296663248.59648848</v>
          </cell>
        </row>
        <row r="39">
          <cell r="C39">
            <v>40389777.94615829</v>
          </cell>
          <cell r="D39">
            <v>14696665.436783496</v>
          </cell>
          <cell r="G39">
            <v>55086443.382941782</v>
          </cell>
          <cell r="H39">
            <v>-1236056.4340249002</v>
          </cell>
          <cell r="I39">
            <v>53850386.948916852</v>
          </cell>
        </row>
        <row r="42">
          <cell r="C42">
            <v>1647982661.0399942</v>
          </cell>
          <cell r="D42">
            <v>40813248.065794274</v>
          </cell>
          <cell r="G42">
            <v>1688795909.1057885</v>
          </cell>
          <cell r="H42">
            <v>21260243.746936575</v>
          </cell>
          <cell r="I42">
            <v>1710056152.852725</v>
          </cell>
        </row>
        <row r="43">
          <cell r="C43">
            <v>234061.84233843297</v>
          </cell>
          <cell r="D43">
            <v>0</v>
          </cell>
          <cell r="G43">
            <v>234061.84233843297</v>
          </cell>
          <cell r="H43">
            <v>0</v>
          </cell>
          <cell r="I43">
            <v>234061.84233843297</v>
          </cell>
        </row>
        <row r="44">
          <cell r="C44">
            <v>13696535.688252786</v>
          </cell>
          <cell r="D44">
            <v>-5468734.5442685261</v>
          </cell>
          <cell r="G44">
            <v>8227801.14398426</v>
          </cell>
          <cell r="H44">
            <v>-202651.71009212057</v>
          </cell>
          <cell r="I44">
            <v>8025149.4338921392</v>
          </cell>
        </row>
        <row r="45">
          <cell r="C45">
            <v>0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>
            <v>1743278.7185106373</v>
          </cell>
          <cell r="D47">
            <v>-1743278.7185106392</v>
          </cell>
          <cell r="G47">
            <v>-1.862645149230957E-9</v>
          </cell>
          <cell r="H47">
            <v>0</v>
          </cell>
          <cell r="I47">
            <v>-1.862645149230957E-9</v>
          </cell>
        </row>
        <row r="48">
          <cell r="C48">
            <v>6914148.5720945587</v>
          </cell>
          <cell r="D48">
            <v>-6914148.5720945681</v>
          </cell>
          <cell r="G48">
            <v>-9.3132257461547852E-9</v>
          </cell>
          <cell r="H48">
            <v>0</v>
          </cell>
          <cell r="I48">
            <v>-9.3132257461547852E-9</v>
          </cell>
        </row>
        <row r="49">
          <cell r="C49">
            <v>6926884.9267722946</v>
          </cell>
          <cell r="D49">
            <v>-6926884.9266495155</v>
          </cell>
          <cell r="G49">
            <v>1.2277904897928238E-4</v>
          </cell>
          <cell r="H49">
            <v>0</v>
          </cell>
          <cell r="I49">
            <v>1.2277904897928238E-4</v>
          </cell>
        </row>
        <row r="50">
          <cell r="C50">
            <v>2438703.9515725183</v>
          </cell>
          <cell r="D50">
            <v>28579779.133268081</v>
          </cell>
          <cell r="G50">
            <v>31018483.084840599</v>
          </cell>
          <cell r="H50">
            <v>0</v>
          </cell>
          <cell r="I50">
            <v>31018483.084840599</v>
          </cell>
        </row>
        <row r="51">
          <cell r="C51">
            <v>1932316.2836254868</v>
          </cell>
          <cell r="D51">
            <v>0</v>
          </cell>
          <cell r="G51">
            <v>1932316.2836254868</v>
          </cell>
          <cell r="H51">
            <v>0</v>
          </cell>
          <cell r="I51">
            <v>1932316.2836254868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C53">
            <v>1681868591.0231607</v>
          </cell>
          <cell r="D53">
            <v>48339980.437539101</v>
          </cell>
          <cell r="G53">
            <v>1730208571.4607</v>
          </cell>
          <cell r="H53">
            <v>21057592.036844455</v>
          </cell>
          <cell r="I53">
            <v>1751266163.4975445</v>
          </cell>
        </row>
        <row r="56">
          <cell r="C56">
            <v>-609540662.46340728</v>
          </cell>
          <cell r="D56">
            <v>-22052912.761320852</v>
          </cell>
          <cell r="G56">
            <v>-631593575.22472811</v>
          </cell>
          <cell r="H56">
            <v>-678296.13492404297</v>
          </cell>
          <cell r="I56">
            <v>-632271871.35965216</v>
          </cell>
        </row>
        <row r="57">
          <cell r="C57">
            <v>-46230330.034970716</v>
          </cell>
          <cell r="D57">
            <v>0</v>
          </cell>
          <cell r="G57">
            <v>-46230330.034970716</v>
          </cell>
          <cell r="H57">
            <v>0</v>
          </cell>
          <cell r="I57">
            <v>-46230330.034970716</v>
          </cell>
        </row>
        <row r="58">
          <cell r="C58">
            <v>-231233127.40146789</v>
          </cell>
          <cell r="D58">
            <v>-13518776.296315685</v>
          </cell>
          <cell r="G58">
            <v>-244751903.69778359</v>
          </cell>
          <cell r="H58">
            <v>-1822838.6024499815</v>
          </cell>
          <cell r="I58">
            <v>-246574742.30023357</v>
          </cell>
        </row>
        <row r="59">
          <cell r="C59">
            <v>-248420.79258380539</v>
          </cell>
          <cell r="D59">
            <v>1645.6848</v>
          </cell>
          <cell r="G59">
            <v>-246775.1077838054</v>
          </cell>
          <cell r="H59">
            <v>0</v>
          </cell>
          <cell r="I59">
            <v>-246775.1077838054</v>
          </cell>
        </row>
        <row r="60">
          <cell r="C60">
            <v>-7410.1812785572438</v>
          </cell>
          <cell r="D60">
            <v>-481414.22831967159</v>
          </cell>
          <cell r="G60">
            <v>-488824.40959822881</v>
          </cell>
          <cell r="H60">
            <v>0</v>
          </cell>
          <cell r="I60">
            <v>-488824.40959822881</v>
          </cell>
        </row>
        <row r="61">
          <cell r="C61">
            <v>0</v>
          </cell>
          <cell r="D61">
            <v>-3361133.7291666698</v>
          </cell>
          <cell r="G61">
            <v>-3361133.7291666698</v>
          </cell>
          <cell r="H61">
            <v>0</v>
          </cell>
          <cell r="I61">
            <v>-3361133.7291666698</v>
          </cell>
        </row>
        <row r="62">
          <cell r="C62">
            <v>-6352268.3274010532</v>
          </cell>
          <cell r="D62">
            <v>3501826.1956963525</v>
          </cell>
          <cell r="G62">
            <v>-2850442.1317047006</v>
          </cell>
          <cell r="H62">
            <v>-402745.59474258736</v>
          </cell>
          <cell r="I62">
            <v>-3253187.7264472879</v>
          </cell>
        </row>
        <row r="64">
          <cell r="C64">
            <v>-893612219.20110941</v>
          </cell>
          <cell r="D64">
            <v>-35910765.13462653</v>
          </cell>
          <cell r="G64">
            <v>-929522984.3357358</v>
          </cell>
          <cell r="H64">
            <v>-2903880.3321166118</v>
          </cell>
          <cell r="I64">
            <v>-932426864.66785252</v>
          </cell>
        </row>
        <row r="66">
          <cell r="C66">
            <v>788256371.82205129</v>
          </cell>
          <cell r="D66">
            <v>12429215.302912571</v>
          </cell>
          <cell r="G66">
            <v>800685587.12496424</v>
          </cell>
          <cell r="H66">
            <v>18153711.704727843</v>
          </cell>
          <cell r="I66">
            <v>818839298.82969201</v>
          </cell>
        </row>
        <row r="69">
          <cell r="C69">
            <v>5.0682103677458901E-2</v>
          </cell>
          <cell r="D69">
            <v>3.5763139727671561E-2</v>
          </cell>
          <cell r="G69">
            <v>8.6445243405130379E-2</v>
          </cell>
          <cell r="H69">
            <v>-6.1808600166034927E-3</v>
          </cell>
          <cell r="I69">
            <v>8.026438338852683E-2</v>
          </cell>
        </row>
        <row r="72">
          <cell r="C72">
            <v>46261016.714146547</v>
          </cell>
          <cell r="D72">
            <v>21179478.348315548</v>
          </cell>
          <cell r="G72">
            <v>67440495.062462091</v>
          </cell>
          <cell r="H72">
            <v>-2935754.8113579303</v>
          </cell>
          <cell r="I72">
            <v>64504740.251104176</v>
          </cell>
        </row>
        <row r="74">
          <cell r="C74">
            <v>-3560991.667928237</v>
          </cell>
          <cell r="D74">
            <v>0</v>
          </cell>
          <cell r="G74">
            <v>-3560991.667928237</v>
          </cell>
          <cell r="H74">
            <v>0</v>
          </cell>
          <cell r="I74">
            <v>-3560991.667928237</v>
          </cell>
        </row>
        <row r="75">
          <cell r="C75">
            <v>21485186.423176125</v>
          </cell>
          <cell r="D75">
            <v>-394343.38642918319</v>
          </cell>
          <cell r="G75">
            <v>21090843.036746942</v>
          </cell>
          <cell r="H75">
            <v>478186.5569400005</v>
          </cell>
          <cell r="I75">
            <v>21569029.593686942</v>
          </cell>
        </row>
        <row r="76">
          <cell r="C76">
            <v>62962240.07826855</v>
          </cell>
          <cell r="D76">
            <v>722834.51554850524</v>
          </cell>
          <cell r="G76">
            <v>63685074.593817055</v>
          </cell>
          <cell r="H76">
            <v>276747.67003499484</v>
          </cell>
          <cell r="I76">
            <v>63961822.263852052</v>
          </cell>
        </row>
        <row r="77">
          <cell r="C77">
            <v>72669281.761237845</v>
          </cell>
          <cell r="D77">
            <v>541075.95803906047</v>
          </cell>
          <cell r="G77">
            <v>73210357.719276905</v>
          </cell>
          <cell r="H77">
            <v>5773702.2720606495</v>
          </cell>
          <cell r="I77">
            <v>78984059.991337553</v>
          </cell>
        </row>
        <row r="78">
          <cell r="C78">
            <v>18629780.275929362</v>
          </cell>
          <cell r="D78">
            <v>21755580.292254176</v>
          </cell>
          <cell r="G78">
            <v>40385360.568183541</v>
          </cell>
          <cell r="H78">
            <v>-8910895.970323585</v>
          </cell>
          <cell r="I78">
            <v>31474464.597859956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18629780.275929362</v>
          </cell>
          <cell r="D81">
            <v>21755580.292254176</v>
          </cell>
          <cell r="G81">
            <v>40385360.568183541</v>
          </cell>
          <cell r="H81">
            <v>-8910895.970323585</v>
          </cell>
          <cell r="I81">
            <v>31474464.597859956</v>
          </cell>
        </row>
        <row r="83">
          <cell r="C83">
            <v>1000694.0075739436</v>
          </cell>
          <cell r="D83">
            <v>7614453.1022889605</v>
          </cell>
          <cell r="G83">
            <v>8615147.109862905</v>
          </cell>
          <cell r="H83">
            <v>-3785847.0344515578</v>
          </cell>
          <cell r="I83">
            <v>4829300.0754113477</v>
          </cell>
        </row>
        <row r="100">
          <cell r="H100">
            <v>9563202.1074177399</v>
          </cell>
        </row>
        <row r="113">
          <cell r="H113">
            <v>58431.164876322393</v>
          </cell>
        </row>
        <row r="120">
          <cell r="H120">
            <v>389509.2218351246</v>
          </cell>
        </row>
        <row r="121">
          <cell r="H121">
            <v>3190341.6022472018</v>
          </cell>
        </row>
        <row r="122">
          <cell r="H122">
            <v>0</v>
          </cell>
        </row>
        <row r="126">
          <cell r="H126">
            <v>3638281.9889586489</v>
          </cell>
        </row>
        <row r="128">
          <cell r="H128">
            <v>5924920.1184590906</v>
          </cell>
        </row>
        <row r="142">
          <cell r="H142">
            <v>0</v>
          </cell>
        </row>
        <row r="153">
          <cell r="H153">
            <v>0</v>
          </cell>
        </row>
        <row r="155">
          <cell r="H155">
            <v>0</v>
          </cell>
        </row>
        <row r="161">
          <cell r="H161">
            <v>9115261.7207062915</v>
          </cell>
        </row>
        <row r="169">
          <cell r="H169">
            <v>9115261.7207062915</v>
          </cell>
        </row>
        <row r="171">
          <cell r="H171">
            <v>3190341.6022472018</v>
          </cell>
        </row>
        <row r="1128">
          <cell r="D1128">
            <v>-343203.44280584075</v>
          </cell>
          <cell r="E1128">
            <v>-51198.372065845419</v>
          </cell>
        </row>
      </sheetData>
      <sheetData sheetId="12">
        <row r="68">
          <cell r="D68">
            <v>5972552.3775320789</v>
          </cell>
          <cell r="E68">
            <v>7792639.6260694852</v>
          </cell>
          <cell r="F68">
            <v>-17862619.85880293</v>
          </cell>
          <cell r="G68">
            <v>-806581.84509009938</v>
          </cell>
          <cell r="H68">
            <v>2364087.5396612394</v>
          </cell>
          <cell r="I68">
            <v>-364288.91271959734</v>
          </cell>
          <cell r="J68">
            <v>-43356.927757402911</v>
          </cell>
          <cell r="K68">
            <v>0</v>
          </cell>
          <cell r="L68">
            <v>-27160.968306744162</v>
          </cell>
        </row>
        <row r="85">
          <cell r="D85">
            <v>-1992466.4444999998</v>
          </cell>
          <cell r="E85">
            <v>-2599654.5509476503</v>
          </cell>
          <cell r="F85">
            <v>5959038.6872807294</v>
          </cell>
          <cell r="G85">
            <v>-680.61800753751299</v>
          </cell>
          <cell r="H85">
            <v>-788668.69587537274</v>
          </cell>
          <cell r="I85">
            <v>121528.18239446047</v>
          </cell>
          <cell r="J85">
            <v>14464.037857284064</v>
          </cell>
          <cell r="K85">
            <v>0</v>
          </cell>
          <cell r="L85">
            <v>9061.0034923925723</v>
          </cell>
        </row>
        <row r="155">
          <cell r="D155">
            <v>-23200.869581328825</v>
          </cell>
          <cell r="E155">
            <v>-49927.91176848139</v>
          </cell>
          <cell r="F155">
            <v>-722488.60169543501</v>
          </cell>
          <cell r="G155">
            <v>-5603.2441606932352</v>
          </cell>
          <cell r="H155">
            <v>163076.07989437639</v>
          </cell>
          <cell r="I155">
            <v>-11175351.688597724</v>
          </cell>
          <cell r="J155">
            <v>-2807093.5882722884</v>
          </cell>
          <cell r="K155">
            <v>-421.70172201591998</v>
          </cell>
          <cell r="L155">
            <v>1570.0796089602088</v>
          </cell>
          <cell r="M155">
            <v>443186.58707929676</v>
          </cell>
          <cell r="N155">
            <v>770438.73962750542</v>
          </cell>
          <cell r="O155">
            <v>-672007.96507167513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72">
          <cell r="D172">
            <v>7739.8993264450719</v>
          </cell>
          <cell r="E172">
            <v>16656.143396395273</v>
          </cell>
          <cell r="F172">
            <v>241024.97632791134</v>
          </cell>
          <cell r="G172">
            <v>1869.263802946343</v>
          </cell>
          <cell r="H172">
            <v>-54402.80746845586</v>
          </cell>
          <cell r="I172">
            <v>3753899.4513292802</v>
          </cell>
          <cell r="J172">
            <v>260407.38736725782</v>
          </cell>
          <cell r="K172">
            <v>140.68131639421097</v>
          </cell>
          <cell r="L172">
            <v>-523.78459631685257</v>
          </cell>
          <cell r="M172">
            <v>-147848.75001344987</v>
          </cell>
          <cell r="N172">
            <v>-257021.32676565743</v>
          </cell>
          <cell r="O172">
            <v>224184.44179393037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242">
          <cell r="D242">
            <v>-12080651.744868556</v>
          </cell>
          <cell r="E242">
            <v>4953793.0067990292</v>
          </cell>
          <cell r="F242">
            <v>-713314.4555071902</v>
          </cell>
          <cell r="G242">
            <v>-1516931.2047189083</v>
          </cell>
        </row>
        <row r="259">
          <cell r="D259">
            <v>4030151.8861333248</v>
          </cell>
          <cell r="E259">
            <v>-1652604.400118184</v>
          </cell>
          <cell r="F259">
            <v>237964.44587433519</v>
          </cell>
          <cell r="G259">
            <v>41615.709191224734</v>
          </cell>
        </row>
        <row r="329">
          <cell r="D329">
            <v>-18967.010104357076</v>
          </cell>
          <cell r="E329">
            <v>0</v>
          </cell>
          <cell r="F329">
            <v>0</v>
          </cell>
          <cell r="G329">
            <v>0</v>
          </cell>
          <cell r="H329">
            <v>1498822.5481146851</v>
          </cell>
          <cell r="I329">
            <v>-168329.30155749538</v>
          </cell>
          <cell r="J329">
            <v>-4163.8904503217818</v>
          </cell>
          <cell r="K329">
            <v>-93110.793659185903</v>
          </cell>
          <cell r="L329">
            <v>-45542.484980743749</v>
          </cell>
          <cell r="M329">
            <v>1104.1096661946692</v>
          </cell>
          <cell r="N329">
            <v>0</v>
          </cell>
        </row>
        <row r="346">
          <cell r="D346">
            <v>-44842.390369071087</v>
          </cell>
          <cell r="E346">
            <v>0</v>
          </cell>
          <cell r="F346">
            <v>0</v>
          </cell>
          <cell r="G346">
            <v>0</v>
          </cell>
          <cell r="H346">
            <v>-500012.9667531671</v>
          </cell>
          <cell r="I346">
            <v>0</v>
          </cell>
          <cell r="J346">
            <v>500012.96675316693</v>
          </cell>
          <cell r="K346">
            <v>31062.118883141571</v>
          </cell>
          <cell r="L346">
            <v>15193.148152979888</v>
          </cell>
          <cell r="M346">
            <v>-132584.93622765399</v>
          </cell>
          <cell r="N346">
            <v>0</v>
          </cell>
        </row>
        <row r="416">
          <cell r="D416">
            <v>-47365.200030322099</v>
          </cell>
          <cell r="E416">
            <v>113575.68557536634</v>
          </cell>
          <cell r="F416">
            <v>-1068383.2261475592</v>
          </cell>
          <cell r="G416">
            <v>-192886.38498522062</v>
          </cell>
          <cell r="H416">
            <v>41760.309902348468</v>
          </cell>
          <cell r="I416">
            <v>-1138563.0441859751</v>
          </cell>
          <cell r="J416">
            <v>-657975.72357007931</v>
          </cell>
          <cell r="K416">
            <v>-763793.94076345733</v>
          </cell>
          <cell r="L416">
            <v>-846919.40684704506</v>
          </cell>
        </row>
        <row r="436">
          <cell r="D436">
            <v>-29345.109678786059</v>
          </cell>
          <cell r="E436">
            <v>-37889.285537502124</v>
          </cell>
          <cell r="F436">
            <v>-661916.82775972039</v>
          </cell>
          <cell r="G436">
            <v>0</v>
          </cell>
          <cell r="H436">
            <v>-13931.4</v>
          </cell>
          <cell r="I436">
            <v>0</v>
          </cell>
          <cell r="J436">
            <v>0</v>
          </cell>
          <cell r="K436">
            <v>0</v>
          </cell>
          <cell r="L436">
            <v>282535.57150650822</v>
          </cell>
        </row>
        <row r="506">
          <cell r="D506">
            <v>3373836.2523595351</v>
          </cell>
          <cell r="E506">
            <v>247379.59758426007</v>
          </cell>
          <cell r="F506">
            <v>-56723.813521646385</v>
          </cell>
          <cell r="G506">
            <v>2918740.4435051638</v>
          </cell>
          <cell r="H506">
            <v>-53626.417040693734</v>
          </cell>
          <cell r="I506">
            <v>-2099796.1215968528</v>
          </cell>
          <cell r="J506">
            <v>-272765.16517505393</v>
          </cell>
          <cell r="K506">
            <v>105711.22725376027</v>
          </cell>
          <cell r="L506">
            <v>-71461.711640706839</v>
          </cell>
          <cell r="M506">
            <v>151167.76160452477</v>
          </cell>
          <cell r="N506">
            <v>-391659.54886916972</v>
          </cell>
          <cell r="O506">
            <v>3147445.7267371477</v>
          </cell>
          <cell r="P506">
            <v>-7327.4955634396429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3654828.9326016679</v>
          </cell>
        </row>
        <row r="523">
          <cell r="D523">
            <v>138614.57201924626</v>
          </cell>
          <cell r="E523">
            <v>-49695.367855697426</v>
          </cell>
          <cell r="F523">
            <v>0</v>
          </cell>
          <cell r="G523">
            <v>-163226.57570413209</v>
          </cell>
          <cell r="H523">
            <v>-1501520.0109886399</v>
          </cell>
          <cell r="I523">
            <v>0</v>
          </cell>
          <cell r="J523">
            <v>0</v>
          </cell>
          <cell r="K523">
            <v>-86067.544480454977</v>
          </cell>
          <cell r="L523">
            <v>0</v>
          </cell>
          <cell r="M523">
            <v>99761.9</v>
          </cell>
          <cell r="N523">
            <v>-1459.2785454545456</v>
          </cell>
          <cell r="O523">
            <v>-1050000</v>
          </cell>
          <cell r="P523">
            <v>2444.4807026387089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</row>
        <row r="593">
          <cell r="D593">
            <v>1047555.1462835451</v>
          </cell>
          <cell r="E593">
            <v>-15830.003902232142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2"/>
      <sheetData sheetId="23"/>
      <sheetData sheetId="24"/>
      <sheetData sheetId="29"/>
      <sheetData sheetId="30"/>
      <sheetData sheetId="31"/>
      <sheetData sheetId="32"/>
      <sheetData sheetId="33"/>
      <sheetData sheetId="35"/>
      <sheetData sheetId="36"/>
      <sheetData sheetId="37"/>
      <sheetData sheetId="38"/>
      <sheetData sheetId="39"/>
      <sheetData sheetId="4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6"/>
      <sheetName val="Page 3.6.1-3.6.4"/>
      <sheetName val="Page 3.6.5"/>
    </sheetNames>
    <sheetDataSet>
      <sheetData sheetId="0">
        <row r="10">
          <cell r="I10">
            <v>-213923.19074152302</v>
          </cell>
        </row>
        <row r="16">
          <cell r="I16">
            <v>-112129.56683175203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0"/>
      <sheetName val="Page 4.10.1"/>
    </sheetNames>
    <sheetDataSet>
      <sheetData sheetId="0">
        <row r="10">
          <cell r="I10">
            <v>422425.00651124539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6"/>
      <sheetName val="Page 4.6.1"/>
    </sheetNames>
    <sheetDataSet>
      <sheetData sheetId="0">
        <row r="18">
          <cell r="I18">
            <v>-10677588.59</v>
          </cell>
        </row>
        <row r="22">
          <cell r="I22">
            <v>47838.41379794394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8"/>
      <sheetName val="Page 4.8.1"/>
    </sheetNames>
    <sheetDataSet>
      <sheetData sheetId="0">
        <row r="11">
          <cell r="I11">
            <v>-96.640490930986942</v>
          </cell>
        </row>
        <row r="19">
          <cell r="I19">
            <v>-401.946618269174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9"/>
      <sheetName val="Page 4.9.1 - 4.9.2"/>
    </sheetNames>
    <sheetDataSet>
      <sheetData sheetId="0">
        <row r="25">
          <cell r="I25">
            <v>1496.5274180481501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2"/>
      <sheetName val="Page 8.2.1"/>
      <sheetName val="Page 8.2.2-8.2.3"/>
      <sheetName val="Page 8.2.4"/>
    </sheetNames>
    <sheetDataSet>
      <sheetData sheetId="0">
        <row r="15">
          <cell r="I15">
            <v>168765.87530265757</v>
          </cell>
        </row>
        <row r="21">
          <cell r="I21">
            <v>130636.84776425855</v>
          </cell>
        </row>
        <row r="24">
          <cell r="I24">
            <v>-321354.16943471832</v>
          </cell>
        </row>
        <row r="25">
          <cell r="I25">
            <v>-156381.10646837807</v>
          </cell>
        </row>
        <row r="27">
          <cell r="I27">
            <v>-161748</v>
          </cell>
        </row>
        <row r="28">
          <cell r="I28">
            <v>61385</v>
          </cell>
        </row>
        <row r="29">
          <cell r="I29">
            <v>-373047.20833333331</v>
          </cell>
        </row>
        <row r="31">
          <cell r="I31">
            <v>23554.0470343247</v>
          </cell>
        </row>
        <row r="32">
          <cell r="I32">
            <v>-8938.971253695212</v>
          </cell>
        </row>
        <row r="33">
          <cell r="I33">
            <v>-7623.9751834810877</v>
          </cell>
        </row>
      </sheetData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3"/>
      <sheetName val="Page 5.3.1"/>
      <sheetName val="Page 5.3.2"/>
      <sheetName val="Page 5.3.3"/>
    </sheetNames>
    <sheetDataSet>
      <sheetData sheetId="0">
        <row r="9">
          <cell r="I9">
            <v>-386972.30745687761</v>
          </cell>
        </row>
        <row r="10">
          <cell r="I10">
            <v>-41073.709830100743</v>
          </cell>
        </row>
        <row r="11">
          <cell r="I11">
            <v>-41073.316515808037</v>
          </cell>
        </row>
        <row r="12">
          <cell r="I12">
            <v>298029.30754214432</v>
          </cell>
        </row>
        <row r="15">
          <cell r="I15">
            <v>113105.10250531929</v>
          </cell>
        </row>
        <row r="18">
          <cell r="I18">
            <v>-25458704.43795247</v>
          </cell>
        </row>
        <row r="19">
          <cell r="I19">
            <v>-2868551.3709623404</v>
          </cell>
        </row>
        <row r="20">
          <cell r="I20">
            <v>18144350.610228166</v>
          </cell>
        </row>
        <row r="21">
          <cell r="I21">
            <v>486943.69451783679</v>
          </cell>
        </row>
        <row r="22">
          <cell r="I22">
            <v>1126970.5347474767</v>
          </cell>
        </row>
        <row r="23">
          <cell r="I23">
            <v>1645.6848</v>
          </cell>
        </row>
        <row r="26">
          <cell r="I26">
            <v>-52188</v>
          </cell>
        </row>
      </sheetData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3"/>
      <sheetName val="Page 6.3.1"/>
      <sheetName val="Page 6.3.2"/>
      <sheetName val="Page 6.3.3"/>
      <sheetName val="Page 6.3.4"/>
    </sheetNames>
    <sheetDataSet>
      <sheetData sheetId="0">
        <row r="42">
          <cell r="I42">
            <v>1428608.4764376204</v>
          </cell>
        </row>
      </sheetData>
      <sheetData sheetId="1">
        <row r="42">
          <cell r="I42">
            <v>-1428608.4764376204</v>
          </cell>
        </row>
      </sheetData>
      <sheetData sheetId="2">
        <row r="24">
          <cell r="I24">
            <v>1428608.4764376199</v>
          </cell>
        </row>
        <row r="40">
          <cell r="I40">
            <v>-542171.20289284119</v>
          </cell>
        </row>
        <row r="56">
          <cell r="I56">
            <v>542171.20289284119</v>
          </cell>
        </row>
      </sheetData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7"/>
      <sheetName val="Page 8.7.1 - 8.7.2"/>
    </sheetNames>
    <sheetDataSet>
      <sheetData sheetId="0">
        <row r="9">
          <cell r="I9">
            <v>-17990.552800000001</v>
          </cell>
        </row>
        <row r="13">
          <cell r="I13">
            <v>17990.552800000001</v>
          </cell>
        </row>
        <row r="17">
          <cell r="I17">
            <v>-360048.63899999904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4"/>
      <sheetName val="Page 6.4.1"/>
      <sheetName val="Page 6.4.2"/>
      <sheetName val="Page 6.4.3"/>
    </sheetNames>
    <sheetDataSet>
      <sheetData sheetId="0">
        <row r="9">
          <cell r="I9">
            <v>0</v>
          </cell>
        </row>
      </sheetData>
      <sheetData sheetId="1">
        <row r="10">
          <cell r="I10">
            <v>-16.394719006165481</v>
          </cell>
        </row>
      </sheetData>
      <sheetData sheetId="2">
        <row r="23">
          <cell r="I23">
            <v>-378814.10350758285</v>
          </cell>
        </row>
        <row r="39">
          <cell r="I39">
            <v>143763.74042216278</v>
          </cell>
        </row>
      </sheetData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6 - 7.6.1"/>
      <sheetName val="Page 7.6.2 - 7.6.3"/>
      <sheetName val="Page 7.6.4"/>
    </sheetNames>
    <sheetDataSet>
      <sheetData sheetId="0">
        <row r="53">
          <cell r="I53">
            <v>-9662969.1539299972</v>
          </cell>
        </row>
        <row r="107">
          <cell r="I107">
            <v>-407648.85953784268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9"/>
      <sheetName val="Page 8.9.1"/>
    </sheetNames>
    <sheetDataSet>
      <sheetData sheetId="0">
        <row r="10">
          <cell r="I10">
            <v>4169.3672727272733</v>
          </cell>
        </row>
        <row r="14">
          <cell r="I14">
            <v>-3361133.729166666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"/>
      <sheetName val="Page 8.1.1 "/>
      <sheetName val="Page 8.1.2"/>
    </sheetNames>
    <sheetDataSet>
      <sheetData sheetId="0">
        <row r="13">
          <cell r="I13">
            <v>69129707.81194602</v>
          </cell>
        </row>
        <row r="14">
          <cell r="I14">
            <v>147970.93331312164</v>
          </cell>
        </row>
        <row r="15">
          <cell r="I15">
            <v>-38451469.029369861</v>
          </cell>
        </row>
        <row r="19">
          <cell r="I19">
            <v>370844.70176306099</v>
          </cell>
        </row>
        <row r="20">
          <cell r="I20">
            <v>-48994.510566495788</v>
          </cell>
        </row>
        <row r="21">
          <cell r="I21">
            <v>-804129.56025937037</v>
          </cell>
        </row>
        <row r="25">
          <cell r="I25">
            <v>-3609058.0436743628</v>
          </cell>
        </row>
        <row r="26">
          <cell r="I26">
            <v>-28035.211745422421</v>
          </cell>
        </row>
        <row r="27">
          <cell r="I27">
            <v>-430748.94670361449</v>
          </cell>
        </row>
        <row r="28">
          <cell r="I28">
            <v>6672.1006174885006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5 - 8.5.1"/>
      <sheetName val="Page 8.5.2"/>
    </sheetNames>
    <sheetDataSet>
      <sheetData sheetId="0">
        <row r="19">
          <cell r="I19">
            <v>-2438703.9515725183</v>
          </cell>
        </row>
        <row r="25">
          <cell r="I25">
            <v>-6914148.5720945681</v>
          </cell>
        </row>
        <row r="41">
          <cell r="I41">
            <v>-6926884.9266495155</v>
          </cell>
        </row>
        <row r="44">
          <cell r="I44">
            <v>-362367.48878076219</v>
          </cell>
        </row>
        <row r="45">
          <cell r="I45">
            <v>-312893.82454850682</v>
          </cell>
        </row>
        <row r="46">
          <cell r="I46">
            <v>-20938.469976864875</v>
          </cell>
        </row>
        <row r="47">
          <cell r="I47">
            <v>-700206.01631413505</v>
          </cell>
        </row>
        <row r="48">
          <cell r="I48">
            <v>-135333.19689661873</v>
          </cell>
        </row>
        <row r="49">
          <cell r="I49">
            <v>-9464.4728285711626</v>
          </cell>
        </row>
        <row r="50">
          <cell r="I50">
            <v>0</v>
          </cell>
        </row>
        <row r="70">
          <cell r="I70">
            <v>-922.12628678230328</v>
          </cell>
        </row>
        <row r="71">
          <cell r="I71">
            <v>-201153.12287839808</v>
          </cell>
        </row>
        <row r="80">
          <cell r="I80">
            <v>-4895328.3449954558</v>
          </cell>
        </row>
        <row r="97">
          <cell r="I97">
            <v>-803019.46978395397</v>
          </cell>
        </row>
        <row r="103">
          <cell r="I103">
            <v>3358761.1158336634</v>
          </cell>
        </row>
        <row r="104">
          <cell r="I104">
            <v>226707.72777935577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3"/>
      <sheetName val="Page 8.13.1"/>
    </sheetNames>
    <sheetDataSet>
      <sheetData sheetId="0">
        <row r="10">
          <cell r="I10">
            <v>31018483.084840588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4"/>
      <sheetName val="Page 7.4.1"/>
    </sheetNames>
    <sheetDataSet>
      <sheetData sheetId="0">
        <row r="26">
          <cell r="I26">
            <v>-1637024.0885679396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3"/>
      <sheetName val="Page 8.3.1"/>
    </sheetNames>
    <sheetDataSet>
      <sheetData sheetId="0">
        <row r="24">
          <cell r="I24">
            <v>-481414.22831967368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8"/>
      <sheetName val="Page 8.8.1"/>
      <sheetName val="Page 8.8.2"/>
    </sheetNames>
    <sheetDataSet>
      <sheetData sheetId="0">
        <row r="9">
          <cell r="I9">
            <v>-83642.64791666661</v>
          </cell>
        </row>
        <row r="12">
          <cell r="I12">
            <v>-285034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7"/>
      <sheetName val="Page 8.7.1 - 8.7.2"/>
    </sheetNames>
    <sheetDataSet>
      <sheetData sheetId="0">
        <row r="13">
          <cell r="I13">
            <v>17990.552800000001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FORE DOING THIS ADJUSTMENT"/>
      <sheetName val="Cover Sheet"/>
      <sheetName val="Lead Sheet - Restating"/>
      <sheetName val="Lead Sheet - Pro Forma"/>
      <sheetName val="Summary "/>
      <sheetName val="Dec 13 Unadjusted"/>
      <sheetName val="Dec 13 Normalized"/>
      <sheetName val="Mar 2016 Pro Forma - REBUTTAL"/>
      <sheetName val="Mar 2016 Pro Forma - Final Ord"/>
      <sheetName val="Internal&gt;"/>
      <sheetName val="BU Buyoff"/>
    </sheetNames>
    <sheetDataSet>
      <sheetData sheetId="0" refreshError="1"/>
      <sheetData sheetId="1" refreshError="1"/>
      <sheetData sheetId="2" refreshError="1"/>
      <sheetData sheetId="3">
        <row r="13">
          <cell r="I13">
            <v>-45864562.417078793</v>
          </cell>
        </row>
        <row r="21">
          <cell r="I21">
            <v>-42373805.034185611</v>
          </cell>
        </row>
        <row r="27">
          <cell r="I27">
            <v>3202485.3886923781</v>
          </cell>
        </row>
        <row r="30">
          <cell r="I30">
            <v>10228653.552479658</v>
          </cell>
        </row>
        <row r="31">
          <cell r="I31">
            <v>-12200169.466584688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7"/>
      <sheetName val="Page 3.7.1"/>
    </sheetNames>
    <sheetDataSet>
      <sheetData sheetId="0">
        <row r="9">
          <cell r="I9">
            <v>41325.822449383042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2"/>
      <sheetName val="Page 5.2.1"/>
    </sheetNames>
    <sheetDataSet>
      <sheetData sheetId="0">
        <row r="9">
          <cell r="H9">
            <v>679898.4167838149</v>
          </cell>
        </row>
      </sheetData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2"/>
      <sheetName val="Page 4.3"/>
      <sheetName val="2010P RAM Input Annualization"/>
      <sheetName val="2010P RAM Input Proforma"/>
      <sheetName val="2010P FERC Spread RAM-Use ROO "/>
      <sheetName val="WCA FERC Spread RAM- Expanded"/>
      <sheetName val="WCA to WEBA Acct Split"/>
      <sheetName val="Tax Impact"/>
    </sheetNames>
    <sheetDataSet>
      <sheetData sheetId="0" refreshError="1"/>
      <sheetData sheetId="1">
        <row r="10">
          <cell r="I10">
            <v>0</v>
          </cell>
        </row>
        <row r="11">
          <cell r="I11">
            <v>-18.473292845023632</v>
          </cell>
        </row>
        <row r="12">
          <cell r="I12">
            <v>-24836.067216289564</v>
          </cell>
        </row>
        <row r="13">
          <cell r="I13">
            <v>-48.090606812043227</v>
          </cell>
        </row>
        <row r="14">
          <cell r="I14">
            <v>0</v>
          </cell>
        </row>
        <row r="15">
          <cell r="I15">
            <v>-3212.3376116359759</v>
          </cell>
        </row>
        <row r="16">
          <cell r="I16">
            <v>-489.91581374192401</v>
          </cell>
        </row>
        <row r="17">
          <cell r="I17">
            <v>0</v>
          </cell>
        </row>
        <row r="18">
          <cell r="I18">
            <v>934.36431983924001</v>
          </cell>
        </row>
        <row r="19">
          <cell r="I19">
            <v>-98401.280721043324</v>
          </cell>
        </row>
        <row r="20">
          <cell r="I20">
            <v>0</v>
          </cell>
        </row>
        <row r="21">
          <cell r="I21">
            <v>-41294.801735130924</v>
          </cell>
        </row>
        <row r="22">
          <cell r="I22">
            <v>0</v>
          </cell>
        </row>
        <row r="23">
          <cell r="I23">
            <v>-17013.994178390985</v>
          </cell>
        </row>
        <row r="24">
          <cell r="I24">
            <v>0</v>
          </cell>
        </row>
        <row r="25">
          <cell r="I25">
            <v>-7876.9458680119506</v>
          </cell>
        </row>
        <row r="26">
          <cell r="I26">
            <v>-3333.3563107682767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-4030.4540696329877</v>
          </cell>
        </row>
        <row r="30">
          <cell r="I30">
            <v>0</v>
          </cell>
        </row>
        <row r="31">
          <cell r="I31">
            <v>-706.30425579084476</v>
          </cell>
        </row>
        <row r="32">
          <cell r="I32">
            <v>-8375.2844992442588</v>
          </cell>
        </row>
        <row r="33">
          <cell r="I33">
            <v>-46030.770515671124</v>
          </cell>
        </row>
        <row r="34">
          <cell r="I34">
            <v>0</v>
          </cell>
        </row>
        <row r="35">
          <cell r="I35">
            <v>-3838.6478194501719</v>
          </cell>
        </row>
        <row r="36">
          <cell r="I36">
            <v>-157.52274916322872</v>
          </cell>
        </row>
        <row r="37">
          <cell r="I37">
            <v>-26837.039519583992</v>
          </cell>
        </row>
        <row r="38">
          <cell r="I38">
            <v>0</v>
          </cell>
        </row>
        <row r="39">
          <cell r="I39">
            <v>-4312.8623497243625</v>
          </cell>
        </row>
        <row r="40">
          <cell r="I40">
            <v>-435.68294377751658</v>
          </cell>
        </row>
        <row r="41">
          <cell r="I41">
            <v>-762.42305733750948</v>
          </cell>
        </row>
        <row r="42">
          <cell r="I42">
            <v>-41228.528816661732</v>
          </cell>
        </row>
        <row r="43">
          <cell r="I43">
            <v>-42755.54817739351</v>
          </cell>
        </row>
        <row r="44">
          <cell r="I44">
            <v>0</v>
          </cell>
        </row>
        <row r="45">
          <cell r="I45">
            <v>-52229.642971290057</v>
          </cell>
        </row>
        <row r="46">
          <cell r="I46">
            <v>-8376.1711927498018</v>
          </cell>
        </row>
        <row r="47">
          <cell r="I47">
            <v>-52694.106994654176</v>
          </cell>
        </row>
        <row r="48">
          <cell r="I48">
            <v>-25583.261782939611</v>
          </cell>
        </row>
        <row r="49">
          <cell r="I49">
            <v>-3863.0383716792412</v>
          </cell>
        </row>
        <row r="50">
          <cell r="I50">
            <v>0</v>
          </cell>
        </row>
        <row r="51">
          <cell r="I51">
            <v>-8148.3173355908129</v>
          </cell>
        </row>
        <row r="52">
          <cell r="I52">
            <v>-12665.533642169536</v>
          </cell>
        </row>
        <row r="53">
          <cell r="I53">
            <v>-146088.71946077989</v>
          </cell>
        </row>
        <row r="54">
          <cell r="I54">
            <v>0.6440293432453118</v>
          </cell>
        </row>
        <row r="55">
          <cell r="I55">
            <v>-3932.6739775462743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.12"/>
    </sheetNames>
    <sheetDataSet>
      <sheetData sheetId="0">
        <row r="10">
          <cell r="I10">
            <v>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6"/>
      <sheetName val="Page 8.6.1"/>
      <sheetName val="Page 8.6.2"/>
      <sheetName val="Page 8.6.3"/>
    </sheetNames>
    <sheetDataSet>
      <sheetData sheetId="0">
        <row r="9">
          <cell r="I9">
            <v>82361.759263031505</v>
          </cell>
        </row>
        <row r="10">
          <cell r="I10">
            <v>10295.219907879447</v>
          </cell>
        </row>
        <row r="12">
          <cell r="I12">
            <v>-212946.93000000002</v>
          </cell>
        </row>
        <row r="15">
          <cell r="I15">
            <v>82361.759263031505</v>
          </cell>
        </row>
        <row r="16">
          <cell r="I16">
            <v>-31257.166014736657</v>
          </cell>
        </row>
        <row r="17">
          <cell r="I17">
            <v>-3907.1168957350233</v>
          </cell>
        </row>
        <row r="20">
          <cell r="I20">
            <v>-14429.669471297435</v>
          </cell>
        </row>
        <row r="21">
          <cell r="I21">
            <v>216710.05655668775</v>
          </cell>
        </row>
        <row r="23">
          <cell r="I23">
            <v>-283929</v>
          </cell>
        </row>
        <row r="24">
          <cell r="I24">
            <v>107753.89479000001</v>
          </cell>
        </row>
        <row r="25">
          <cell r="I25">
            <v>87549</v>
          </cell>
        </row>
      </sheetData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2"/>
      <sheetName val="Page 7.2.1"/>
    </sheetNames>
    <sheetDataSet>
      <sheetData sheetId="0">
        <row r="9">
          <cell r="I9">
            <v>108255</v>
          </cell>
        </row>
      </sheetData>
      <sheetData sheetId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5"/>
      <sheetName val="Page 7.5.1"/>
      <sheetName val="Page 7.5.2"/>
      <sheetName val="Page 7.5.3"/>
    </sheetNames>
    <sheetDataSet>
      <sheetData sheetId="0">
        <row r="9">
          <cell r="I9">
            <v>39804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"/>
    </sheetNames>
    <sheetDataSet>
      <sheetData sheetId="0">
        <row r="9">
          <cell r="I9">
            <v>-807244.04000000097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.4"/>
      <sheetName val="Page 3.4.1-3.4.3"/>
      <sheetName val="Page 3.4.4"/>
    </sheetNames>
    <sheetDataSet>
      <sheetData sheetId="0">
        <row r="12">
          <cell r="I12">
            <v>-776048.95839665306</v>
          </cell>
        </row>
        <row r="15">
          <cell r="I15">
            <v>-402745.59474258736</v>
          </cell>
        </row>
        <row r="20">
          <cell r="I20">
            <v>152820.8753697275</v>
          </cell>
        </row>
        <row r="21">
          <cell r="I21">
            <v>58.417828750555501</v>
          </cell>
        </row>
        <row r="22">
          <cell r="I22">
            <v>778051.99910408224</v>
          </cell>
        </row>
        <row r="23">
          <cell r="I23">
            <v>-22.19877492521109</v>
          </cell>
        </row>
        <row r="24">
          <cell r="I24">
            <v>295278.49756776338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1"/>
      <sheetName val="Page 6.1.1"/>
      <sheetName val="Page 6.1.2"/>
    </sheetNames>
    <sheetDataSet>
      <sheetData sheetId="0">
        <row r="9">
          <cell r="I9">
            <v>-196210.48572820838</v>
          </cell>
        </row>
        <row r="15">
          <cell r="I15">
            <v>128121.11534020312</v>
          </cell>
        </row>
        <row r="16">
          <cell r="I16">
            <v>48623.232940317663</v>
          </cell>
        </row>
        <row r="17">
          <cell r="I17">
            <v>-16554.633195093058</v>
          </cell>
        </row>
      </sheetData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6"/>
      <sheetName val="Page 8.6.1"/>
      <sheetName val="Page 8.6.2"/>
      <sheetName val="Page 8.6.3"/>
    </sheetNames>
    <sheetDataSet>
      <sheetData sheetId="0">
        <row r="9">
          <cell r="I9">
            <v>82361.759263031505</v>
          </cell>
        </row>
        <row r="19">
          <cell r="I19">
            <v>-38021.730055842912</v>
          </cell>
        </row>
      </sheetData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3"/>
      <sheetName val="Page 7.3.1"/>
      <sheetName val="Page 7.3.2"/>
    </sheetNames>
    <sheetDataSet>
      <sheetData sheetId="0">
        <row r="9">
          <cell r="I9">
            <v>-6158571.0185487522</v>
          </cell>
        </row>
        <row r="13">
          <cell r="I13">
            <v>5496654.1907890318</v>
          </cell>
        </row>
      </sheetData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3">
          <cell r="D153">
            <v>6.11E-3</v>
          </cell>
        </row>
        <row r="154">
          <cell r="D154">
            <v>2E-3</v>
          </cell>
        </row>
        <row r="155">
          <cell r="D155">
            <v>3.8730000000000001E-2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>
        <row r="93">
          <cell r="G93">
            <v>0.50880000000000003</v>
          </cell>
          <cell r="I93">
            <v>5.1770794025157232E-2</v>
          </cell>
        </row>
        <row r="94">
          <cell r="G94">
            <v>2.0000000000000001E-4</v>
          </cell>
          <cell r="I94">
            <v>6.7500000000000004E-2</v>
          </cell>
        </row>
        <row r="95">
          <cell r="G95">
            <v>0.49099999999999999</v>
          </cell>
          <cell r="I95">
            <v>9.5000000000000001E-2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CE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147"/>
  <sheetViews>
    <sheetView tabSelected="1" zoomScale="80" zoomScaleNormal="80" workbookViewId="0">
      <selection activeCell="A8" sqref="A8"/>
    </sheetView>
  </sheetViews>
  <sheetFormatPr defaultRowHeight="12.75" x14ac:dyDescent="0.2"/>
  <cols>
    <col min="1" max="1" width="40" style="20" customWidth="1"/>
    <col min="2" max="2" width="15.7109375" style="286" customWidth="1"/>
    <col min="3" max="3" width="0.7109375" style="20" customWidth="1"/>
    <col min="4" max="4" width="15.7109375" style="20" customWidth="1"/>
    <col min="5" max="5" width="0.7109375" style="20" customWidth="1"/>
    <col min="6" max="6" width="15.7109375" style="20" customWidth="1"/>
    <col min="7" max="7" width="0.7109375" style="20" customWidth="1"/>
    <col min="8" max="8" width="15.7109375" style="20" customWidth="1"/>
    <col min="9" max="9" width="0.7109375" style="20" customWidth="1"/>
    <col min="10" max="10" width="15.7109375" style="20" customWidth="1"/>
    <col min="11" max="11" width="0.7109375" style="20" customWidth="1"/>
    <col min="12" max="12" width="15.7109375" style="20" customWidth="1"/>
    <col min="13" max="13" width="0.7109375" style="20" customWidth="1"/>
    <col min="14" max="14" width="15.85546875" style="20" customWidth="1"/>
    <col min="15" max="16384" width="9.140625" style="20"/>
  </cols>
  <sheetData>
    <row r="1" spans="1:14" x14ac:dyDescent="0.2">
      <c r="A1" s="5" t="s">
        <v>46</v>
      </c>
    </row>
    <row r="2" spans="1:14" x14ac:dyDescent="0.2">
      <c r="A2" s="1" t="s">
        <v>292</v>
      </c>
    </row>
    <row r="3" spans="1:14" x14ac:dyDescent="0.2">
      <c r="A3" s="1" t="s">
        <v>387</v>
      </c>
    </row>
    <row r="4" spans="1:14" x14ac:dyDescent="0.2">
      <c r="A4" s="1"/>
    </row>
    <row r="5" spans="1:14" x14ac:dyDescent="0.2">
      <c r="A5" s="1"/>
      <c r="B5" s="287" t="s">
        <v>123</v>
      </c>
      <c r="C5" s="46"/>
      <c r="D5" s="45" t="s">
        <v>124</v>
      </c>
      <c r="E5" s="46"/>
      <c r="F5" s="45" t="s">
        <v>125</v>
      </c>
      <c r="G5" s="47"/>
      <c r="H5" s="45" t="s">
        <v>126</v>
      </c>
      <c r="I5" s="47"/>
      <c r="J5" s="45" t="s">
        <v>127</v>
      </c>
      <c r="K5" s="47"/>
      <c r="L5" s="45" t="s">
        <v>128</v>
      </c>
      <c r="M5" s="47"/>
      <c r="N5" s="45" t="s">
        <v>144</v>
      </c>
    </row>
    <row r="6" spans="1:14" x14ac:dyDescent="0.2">
      <c r="A6" s="1"/>
      <c r="B6" s="288" t="s">
        <v>132</v>
      </c>
      <c r="C6" s="53"/>
      <c r="D6" s="53"/>
      <c r="F6" s="53" t="s">
        <v>130</v>
      </c>
      <c r="H6" s="53"/>
      <c r="J6" s="54" t="s">
        <v>131</v>
      </c>
      <c r="L6" s="54"/>
      <c r="N6" s="54" t="s">
        <v>155</v>
      </c>
    </row>
    <row r="7" spans="1:14" ht="43.5" customHeight="1" x14ac:dyDescent="0.2">
      <c r="A7" s="21"/>
      <c r="B7" s="230" t="s">
        <v>129</v>
      </c>
      <c r="C7" s="44"/>
      <c r="D7" s="230" t="s">
        <v>120</v>
      </c>
      <c r="E7" s="44"/>
      <c r="F7" s="44" t="s">
        <v>121</v>
      </c>
      <c r="G7" s="44"/>
      <c r="H7" s="230" t="s">
        <v>245</v>
      </c>
      <c r="I7" s="44"/>
      <c r="J7" s="44" t="s">
        <v>122</v>
      </c>
      <c r="K7" s="44"/>
      <c r="L7" s="44" t="s">
        <v>142</v>
      </c>
      <c r="M7" s="44"/>
      <c r="N7" s="44" t="s">
        <v>143</v>
      </c>
    </row>
    <row r="8" spans="1:14" x14ac:dyDescent="0.2">
      <c r="A8" s="11" t="s">
        <v>49</v>
      </c>
      <c r="B8" s="13"/>
      <c r="C8" s="9"/>
      <c r="D8" s="9"/>
      <c r="F8" s="9"/>
      <c r="H8" s="9"/>
      <c r="J8" s="9"/>
      <c r="L8" s="9"/>
      <c r="N8" s="9"/>
    </row>
    <row r="9" spans="1:14" x14ac:dyDescent="0.2">
      <c r="A9" s="11" t="s">
        <v>50</v>
      </c>
      <c r="B9" s="13">
        <f>[14]Results!$C11</f>
        <v>317700179.76000005</v>
      </c>
      <c r="C9" s="9"/>
      <c r="D9" s="9">
        <f>'Restating Adj'!B12</f>
        <v>3905479.1195230857</v>
      </c>
      <c r="F9" s="9">
        <f>B9+D9</f>
        <v>321605658.87952316</v>
      </c>
      <c r="H9" s="9">
        <f>'Pro Forma Adj'!B12</f>
        <v>0</v>
      </c>
      <c r="J9" s="9">
        <f>F9+H9</f>
        <v>321605658.87952316</v>
      </c>
      <c r="L9" s="9">
        <f>-(J37-(J64*Overall_ROR))/gross_up_factor-0.97</f>
        <v>9563201.6807655469</v>
      </c>
      <c r="N9" s="9">
        <f>J9+L9</f>
        <v>331168860.56028873</v>
      </c>
    </row>
    <row r="10" spans="1:14" x14ac:dyDescent="0.2">
      <c r="A10" s="11" t="s">
        <v>51</v>
      </c>
      <c r="B10" s="13">
        <f>[14]Results!$C12</f>
        <v>0</v>
      </c>
      <c r="C10" s="9"/>
      <c r="D10" s="9">
        <f>'Restating Adj'!B13</f>
        <v>0</v>
      </c>
      <c r="F10" s="9">
        <f t="shared" ref="F10:F12" si="0">B10+D10</f>
        <v>0</v>
      </c>
      <c r="H10" s="9">
        <f>'Pro Forma Adj'!B13</f>
        <v>0</v>
      </c>
      <c r="J10" s="9">
        <f t="shared" ref="J10:J12" si="1">F10+H10</f>
        <v>0</v>
      </c>
      <c r="L10" s="9"/>
      <c r="N10" s="9">
        <f t="shared" ref="N10:N12" si="2">J10+L10</f>
        <v>0</v>
      </c>
    </row>
    <row r="11" spans="1:14" x14ac:dyDescent="0.2">
      <c r="A11" s="11" t="s">
        <v>52</v>
      </c>
      <c r="B11" s="13">
        <f>[14]Results!$C13</f>
        <v>18487997.238930419</v>
      </c>
      <c r="C11" s="9"/>
      <c r="D11" s="9">
        <f>'Restating Adj'!B14</f>
        <v>49115714.281319283</v>
      </c>
      <c r="F11" s="9">
        <f t="shared" si="0"/>
        <v>67603711.520249695</v>
      </c>
      <c r="H11" s="9">
        <f>'Pro Forma Adj'!B14</f>
        <v>-45696518.794511281</v>
      </c>
      <c r="J11" s="9">
        <f t="shared" si="1"/>
        <v>21907192.725738414</v>
      </c>
      <c r="L11" s="9"/>
      <c r="N11" s="9">
        <f t="shared" si="2"/>
        <v>21907192.725738414</v>
      </c>
    </row>
    <row r="12" spans="1:14" x14ac:dyDescent="0.2">
      <c r="A12" s="11" t="s">
        <v>53</v>
      </c>
      <c r="B12" s="13">
        <f>[14]Results!$C14</f>
        <v>11424455.922849471</v>
      </c>
      <c r="C12" s="9"/>
      <c r="D12" s="9">
        <f>'Restating Adj'!B15</f>
        <v>-5636807.1774237705</v>
      </c>
      <c r="F12" s="9">
        <f t="shared" si="0"/>
        <v>5787648.7454257002</v>
      </c>
      <c r="H12" s="9">
        <f>'Pro Forma Adj'!B15</f>
        <v>1213135.1947180552</v>
      </c>
      <c r="J12" s="9">
        <f t="shared" si="1"/>
        <v>7000783.9401437556</v>
      </c>
      <c r="L12" s="9"/>
      <c r="N12" s="9">
        <f t="shared" si="2"/>
        <v>7000783.9401437556</v>
      </c>
    </row>
    <row r="13" spans="1:14" ht="13.5" thickBot="1" x14ac:dyDescent="0.25">
      <c r="A13" s="11" t="s">
        <v>54</v>
      </c>
      <c r="B13" s="229">
        <f>SUM(B9:B12)</f>
        <v>347612632.92177993</v>
      </c>
      <c r="C13" s="9"/>
      <c r="D13" s="10">
        <f>SUM(D9:D12)</f>
        <v>47384386.223418601</v>
      </c>
      <c r="F13" s="10">
        <f>SUM(F9:F12)</f>
        <v>394997019.14519858</v>
      </c>
      <c r="H13" s="10">
        <f>SUM(H9:H12)</f>
        <v>-44483383.599793226</v>
      </c>
      <c r="J13" s="10">
        <f>SUM(J9:J12)</f>
        <v>350513635.54540533</v>
      </c>
      <c r="L13" s="10">
        <f>SUM(L9:L12)</f>
        <v>9563201.6807655469</v>
      </c>
      <c r="N13" s="10">
        <f>SUM(N9:N12)</f>
        <v>360076837.2261709</v>
      </c>
    </row>
    <row r="14" spans="1:14" ht="13.5" thickTop="1" x14ac:dyDescent="0.2">
      <c r="A14" s="11"/>
      <c r="B14" s="13"/>
      <c r="C14" s="9"/>
      <c r="D14" s="9"/>
      <c r="F14" s="9"/>
      <c r="H14" s="9"/>
      <c r="J14" s="9"/>
      <c r="L14" s="9"/>
      <c r="N14" s="9"/>
    </row>
    <row r="15" spans="1:14" x14ac:dyDescent="0.2">
      <c r="A15" s="11" t="s">
        <v>55</v>
      </c>
      <c r="B15" s="13"/>
      <c r="C15" s="9"/>
      <c r="D15" s="9"/>
      <c r="F15" s="9"/>
      <c r="H15" s="9"/>
      <c r="J15" s="9"/>
      <c r="L15" s="9"/>
      <c r="N15" s="9"/>
    </row>
    <row r="16" spans="1:14" x14ac:dyDescent="0.2">
      <c r="A16" s="11" t="s">
        <v>56</v>
      </c>
      <c r="B16" s="13">
        <f>[14]Results!$C18</f>
        <v>59484321.530398287</v>
      </c>
      <c r="C16" s="9"/>
      <c r="D16" s="9">
        <f>'Restating Adj'!B19</f>
        <v>2343666.6061982932</v>
      </c>
      <c r="F16" s="9">
        <f t="shared" ref="F16:F25" si="3">B16+D16</f>
        <v>61827988.136596583</v>
      </c>
      <c r="H16" s="9">
        <f>'Pro Forma Adj'!B19</f>
        <v>10544366.101396032</v>
      </c>
      <c r="J16" s="9">
        <f t="shared" ref="J16:J25" si="4">F16+H16</f>
        <v>72372354.237992615</v>
      </c>
      <c r="L16" s="9"/>
      <c r="N16" s="9">
        <f t="shared" ref="N16:N25" si="5">J16+L16</f>
        <v>72372354.237992615</v>
      </c>
    </row>
    <row r="17" spans="1:14" x14ac:dyDescent="0.2">
      <c r="A17" s="11" t="s">
        <v>57</v>
      </c>
      <c r="B17" s="13">
        <f>[14]Results!$C19</f>
        <v>0</v>
      </c>
      <c r="C17" s="9"/>
      <c r="D17" s="9">
        <f>'Restating Adj'!B20</f>
        <v>0</v>
      </c>
      <c r="F17" s="9">
        <f t="shared" si="3"/>
        <v>0</v>
      </c>
      <c r="H17" s="9">
        <f>'Pro Forma Adj'!B20</f>
        <v>0</v>
      </c>
      <c r="J17" s="9">
        <f t="shared" si="4"/>
        <v>0</v>
      </c>
      <c r="L17" s="9"/>
      <c r="N17" s="9">
        <f t="shared" si="5"/>
        <v>0</v>
      </c>
    </row>
    <row r="18" spans="1:14" x14ac:dyDescent="0.2">
      <c r="A18" s="11" t="s">
        <v>58</v>
      </c>
      <c r="B18" s="13">
        <f>[14]Results!$C20</f>
        <v>7355375.5656367149</v>
      </c>
      <c r="C18" s="9"/>
      <c r="D18" s="9">
        <f>'Restating Adj'!B21</f>
        <v>-28190.057298298911</v>
      </c>
      <c r="F18" s="9">
        <f t="shared" si="3"/>
        <v>7327185.508338416</v>
      </c>
      <c r="H18" s="9">
        <f>'Pro Forma Adj'!B21</f>
        <v>-58308.795913521913</v>
      </c>
      <c r="J18" s="9">
        <f t="shared" si="4"/>
        <v>7268876.7124248939</v>
      </c>
      <c r="L18" s="9"/>
      <c r="N18" s="9">
        <f t="shared" si="5"/>
        <v>7268876.7124248939</v>
      </c>
    </row>
    <row r="19" spans="1:14" x14ac:dyDescent="0.2">
      <c r="A19" s="11" t="s">
        <v>59</v>
      </c>
      <c r="B19" s="13">
        <f>[14]Results!$C21</f>
        <v>94996038.854480177</v>
      </c>
      <c r="C19" s="9"/>
      <c r="D19" s="9">
        <f>'Restating Adj'!B22</f>
        <v>34773731.224899374</v>
      </c>
      <c r="F19" s="9">
        <f t="shared" si="3"/>
        <v>129769770.07937956</v>
      </c>
      <c r="H19" s="9">
        <f>'Pro Forma Adj'!B22</f>
        <v>-54135459.210119531</v>
      </c>
      <c r="J19" s="9">
        <f t="shared" si="4"/>
        <v>75634310.869260028</v>
      </c>
      <c r="L19" s="9"/>
      <c r="N19" s="9">
        <f t="shared" si="5"/>
        <v>75634310.869260028</v>
      </c>
    </row>
    <row r="20" spans="1:14" x14ac:dyDescent="0.2">
      <c r="A20" s="11" t="s">
        <v>60</v>
      </c>
      <c r="B20" s="13">
        <f>[14]Results!$C22</f>
        <v>27085770.889695119</v>
      </c>
      <c r="C20" s="9"/>
      <c r="D20" s="9">
        <f>'Restating Adj'!B23</f>
        <v>303885.87602022506</v>
      </c>
      <c r="F20" s="9">
        <f t="shared" si="3"/>
        <v>27389656.765715346</v>
      </c>
      <c r="H20" s="9">
        <f>'Pro Forma Adj'!B23</f>
        <v>3360508.3664367702</v>
      </c>
      <c r="J20" s="9">
        <f t="shared" si="4"/>
        <v>30750165.132152118</v>
      </c>
      <c r="L20" s="9"/>
      <c r="N20" s="9">
        <f t="shared" si="5"/>
        <v>30750165.132152118</v>
      </c>
    </row>
    <row r="21" spans="1:14" x14ac:dyDescent="0.2">
      <c r="A21" s="11" t="s">
        <v>61</v>
      </c>
      <c r="B21" s="13">
        <f>[14]Results!$C23</f>
        <v>12193372.832732398</v>
      </c>
      <c r="C21" s="9"/>
      <c r="D21" s="9">
        <f>'Restating Adj'!B24</f>
        <v>-371809.61799597944</v>
      </c>
      <c r="F21" s="9">
        <f t="shared" si="3"/>
        <v>11821563.214736419</v>
      </c>
      <c r="H21" s="9">
        <f>'Pro Forma Adj'!B24</f>
        <v>-144589.8911580951</v>
      </c>
      <c r="J21" s="9">
        <f t="shared" si="4"/>
        <v>11676973.323578324</v>
      </c>
      <c r="L21" s="9"/>
      <c r="N21" s="9">
        <f t="shared" si="5"/>
        <v>11676973.323578324</v>
      </c>
    </row>
    <row r="22" spans="1:14" x14ac:dyDescent="0.2">
      <c r="A22" s="11" t="s">
        <v>62</v>
      </c>
      <c r="B22" s="13">
        <f>[14]Results!$C24</f>
        <v>6347127.9129931955</v>
      </c>
      <c r="C22" s="9"/>
      <c r="D22" s="9">
        <f>'Restating Adj'!B25</f>
        <v>402258.48389767006</v>
      </c>
      <c r="F22" s="9">
        <f t="shared" si="3"/>
        <v>6749386.3968908656</v>
      </c>
      <c r="H22" s="9">
        <f>'Pro Forma Adj'!B25</f>
        <v>-78277.368777593787</v>
      </c>
      <c r="J22" s="9">
        <f t="shared" si="4"/>
        <v>6671109.028113272</v>
      </c>
      <c r="L22" s="9">
        <f>L9*uncollectible_perc</f>
        <v>58431.162269477492</v>
      </c>
      <c r="N22" s="9">
        <f t="shared" si="5"/>
        <v>6729540.1903827498</v>
      </c>
    </row>
    <row r="23" spans="1:14" x14ac:dyDescent="0.2">
      <c r="A23" s="11" t="s">
        <v>63</v>
      </c>
      <c r="B23" s="13">
        <f>[14]Results!$C25</f>
        <v>11445806.671783183</v>
      </c>
      <c r="C23" s="9"/>
      <c r="D23" s="9">
        <f>'Restating Adj'!B26</f>
        <v>-10683512.888207437</v>
      </c>
      <c r="F23" s="9">
        <f t="shared" si="3"/>
        <v>762293.7835757453</v>
      </c>
      <c r="H23" s="9">
        <f>'Pro Forma Adj'!B26</f>
        <v>-12011.355707270053</v>
      </c>
      <c r="J23" s="9">
        <f t="shared" si="4"/>
        <v>750282.42786847521</v>
      </c>
      <c r="L23" s="9"/>
      <c r="N23" s="9">
        <f t="shared" si="5"/>
        <v>750282.42786847521</v>
      </c>
    </row>
    <row r="24" spans="1:14" x14ac:dyDescent="0.2">
      <c r="A24" s="11" t="s">
        <v>64</v>
      </c>
      <c r="B24" s="13">
        <f>[14]Results!$C26</f>
        <v>0</v>
      </c>
      <c r="C24" s="9"/>
      <c r="D24" s="9">
        <f>'Restating Adj'!B27</f>
        <v>0</v>
      </c>
      <c r="F24" s="9">
        <f t="shared" si="3"/>
        <v>0</v>
      </c>
      <c r="H24" s="9">
        <f>'Pro Forma Adj'!B27</f>
        <v>0</v>
      </c>
      <c r="J24" s="9">
        <f t="shared" si="4"/>
        <v>0</v>
      </c>
      <c r="L24" s="9"/>
      <c r="N24" s="9">
        <f t="shared" si="5"/>
        <v>0</v>
      </c>
    </row>
    <row r="25" spans="1:14" x14ac:dyDescent="0.2">
      <c r="A25" s="11" t="s">
        <v>65</v>
      </c>
      <c r="B25" s="13">
        <f>[14]Results!$C27</f>
        <v>13226426.289316572</v>
      </c>
      <c r="C25" s="9"/>
      <c r="D25" s="9">
        <f>'Restating Adj'!B28</f>
        <v>-1473130.0604530582</v>
      </c>
      <c r="F25" s="9">
        <f t="shared" si="3"/>
        <v>11753296.228863515</v>
      </c>
      <c r="H25" s="9">
        <f>'Pro Forma Adj'!B28</f>
        <v>-140950.66735937251</v>
      </c>
      <c r="J25" s="9">
        <f t="shared" si="4"/>
        <v>11612345.561504142</v>
      </c>
      <c r="L25" s="9"/>
      <c r="N25" s="9">
        <f t="shared" si="5"/>
        <v>11612345.561504142</v>
      </c>
    </row>
    <row r="26" spans="1:14" x14ac:dyDescent="0.2">
      <c r="A26" s="11" t="s">
        <v>66</v>
      </c>
      <c r="B26" s="228">
        <f>SUM(B16:B25)</f>
        <v>232134240.54703563</v>
      </c>
      <c r="C26" s="9"/>
      <c r="D26" s="7">
        <f>SUM(D16:D25)</f>
        <v>25266899.567060791</v>
      </c>
      <c r="F26" s="7">
        <f>SUM(F16:F25)</f>
        <v>257401140.11409649</v>
      </c>
      <c r="H26" s="7">
        <f>SUM(H16:H25)</f>
        <v>-40664722.821202591</v>
      </c>
      <c r="J26" s="7">
        <f>SUM(J16:J25)</f>
        <v>216736417.29289389</v>
      </c>
      <c r="L26" s="7">
        <f>SUM(L16:L25)</f>
        <v>58431.162269477492</v>
      </c>
      <c r="N26" s="7">
        <f>SUM(N16:N25)</f>
        <v>216794848.45516336</v>
      </c>
    </row>
    <row r="27" spans="1:14" x14ac:dyDescent="0.2">
      <c r="A27" s="11" t="s">
        <v>67</v>
      </c>
      <c r="B27" s="13">
        <f>[14]Results!$C29</f>
        <v>42465251.825127855</v>
      </c>
      <c r="C27" s="9"/>
      <c r="D27" s="13">
        <f>'Restating Adj'!B30</f>
        <v>982571.90635064198</v>
      </c>
      <c r="F27" s="9">
        <f t="shared" ref="F27:F29" si="6">B27+D27</f>
        <v>43447823.731478497</v>
      </c>
      <c r="H27" s="9">
        <f>'Pro Forma Adj'!B30</f>
        <v>469966.6203837858</v>
      </c>
      <c r="J27" s="9">
        <f t="shared" ref="J27:J29" si="7">F27+H27</f>
        <v>43917790.351862282</v>
      </c>
      <c r="L27" s="9"/>
      <c r="N27" s="9">
        <f t="shared" ref="N27:N34" si="8">J27+L27</f>
        <v>43917790.351862282</v>
      </c>
    </row>
    <row r="28" spans="1:14" x14ac:dyDescent="0.2">
      <c r="A28" s="11" t="s">
        <v>68</v>
      </c>
      <c r="B28" s="13">
        <f>[14]Results!$C30</f>
        <v>5034157.1996431584</v>
      </c>
      <c r="C28" s="9"/>
      <c r="D28" s="13">
        <f>'Restating Adj'!B31</f>
        <v>0</v>
      </c>
      <c r="F28" s="9">
        <f t="shared" si="6"/>
        <v>5034157.1996431584</v>
      </c>
      <c r="H28" s="13">
        <f>'Pro Forma Adj'!B31</f>
        <v>82361.759263031505</v>
      </c>
      <c r="J28" s="9">
        <f t="shared" si="7"/>
        <v>5116518.9589061895</v>
      </c>
      <c r="L28" s="9"/>
      <c r="N28" s="9">
        <f t="shared" si="8"/>
        <v>5116518.9589061895</v>
      </c>
    </row>
    <row r="29" spans="1:14" x14ac:dyDescent="0.2">
      <c r="A29" s="11" t="s">
        <v>69</v>
      </c>
      <c r="B29" s="13">
        <f>[14]Results!$C31</f>
        <v>21700554.211273085</v>
      </c>
      <c r="C29" s="9"/>
      <c r="D29" s="13">
        <f>'Restating Adj'!B32</f>
        <v>-41073.316515808037</v>
      </c>
      <c r="F29" s="9">
        <f t="shared" si="6"/>
        <v>21659480.894757278</v>
      </c>
      <c r="H29" s="13">
        <f>'Pro Forma Adj'!B32</f>
        <v>-659185.04000000097</v>
      </c>
      <c r="J29" s="9">
        <f t="shared" si="7"/>
        <v>21000295.854757279</v>
      </c>
      <c r="L29" s="9">
        <f>L9*(WUTC_reg_fee_perc+WA_rev_tax_perc)</f>
        <v>389509.20445758075</v>
      </c>
      <c r="N29" s="9">
        <f t="shared" si="8"/>
        <v>21389805.05921486</v>
      </c>
    </row>
    <row r="30" spans="1:14" x14ac:dyDescent="0.2">
      <c r="A30" s="11" t="s">
        <v>70</v>
      </c>
      <c r="B30" s="13">
        <f>[14]Results!$C32</f>
        <v>1000694.0075739436</v>
      </c>
      <c r="C30" s="9"/>
      <c r="D30" s="13">
        <f>D84</f>
        <v>7614453.0733685289</v>
      </c>
      <c r="F30" s="13">
        <f>F84</f>
        <v>8615147.0809424669</v>
      </c>
      <c r="H30" s="13">
        <f>H84</f>
        <v>-3785847.1564205615</v>
      </c>
      <c r="J30" s="13">
        <f>J84</f>
        <v>4829299.989148926</v>
      </c>
      <c r="L30" s="13">
        <f>L84</f>
        <v>3190341.4599134708</v>
      </c>
      <c r="M30" s="13">
        <f>M84</f>
        <v>0</v>
      </c>
      <c r="N30" s="13">
        <f>N84</f>
        <v>8019641.3844353836</v>
      </c>
    </row>
    <row r="31" spans="1:14" x14ac:dyDescent="0.2">
      <c r="A31" s="11" t="s">
        <v>71</v>
      </c>
      <c r="B31" s="13">
        <f>[14]Results!$C33</f>
        <v>0</v>
      </c>
      <c r="C31" s="9"/>
      <c r="D31" s="13">
        <f>D79</f>
        <v>0</v>
      </c>
      <c r="F31" s="9">
        <f>F79</f>
        <v>0</v>
      </c>
      <c r="H31" s="13">
        <f>H79</f>
        <v>0</v>
      </c>
      <c r="J31" s="9">
        <f>J79</f>
        <v>0</v>
      </c>
      <c r="L31" s="9">
        <f>L79</f>
        <v>0</v>
      </c>
      <c r="N31" s="9">
        <f>N79</f>
        <v>0</v>
      </c>
    </row>
    <row r="32" spans="1:14" x14ac:dyDescent="0.2">
      <c r="A32" s="11" t="s">
        <v>72</v>
      </c>
      <c r="B32" s="13">
        <f>[14]Results!$C34</f>
        <v>4870544.7604143675</v>
      </c>
      <c r="C32" s="9"/>
      <c r="D32" s="13">
        <f>'Restating Adj'!B35</f>
        <v>-1131640.190756897</v>
      </c>
      <c r="F32" s="9">
        <f t="shared" ref="F32:F34" si="9">B32+D32</f>
        <v>3738904.5696574706</v>
      </c>
      <c r="H32" s="13">
        <f>'Pro Forma Adj'!B35</f>
        <v>2086148.6571185363</v>
      </c>
      <c r="J32" s="9">
        <f t="shared" ref="J32:J34" si="10">F32+H32</f>
        <v>5825053.2267760066</v>
      </c>
      <c r="L32" s="9"/>
      <c r="N32" s="9">
        <f t="shared" si="8"/>
        <v>5825053.2267760066</v>
      </c>
    </row>
    <row r="33" spans="1:14" x14ac:dyDescent="0.2">
      <c r="A33" s="11" t="s">
        <v>73</v>
      </c>
      <c r="B33" s="13">
        <f>[14]Results!$C35</f>
        <v>0</v>
      </c>
      <c r="C33" s="9"/>
      <c r="D33" s="13">
        <f>'Restating Adj'!B36</f>
        <v>0</v>
      </c>
      <c r="F33" s="9">
        <f t="shared" si="9"/>
        <v>0</v>
      </c>
      <c r="H33" s="13">
        <f>'Pro Forma Adj'!B36</f>
        <v>0</v>
      </c>
      <c r="J33" s="9">
        <f t="shared" si="10"/>
        <v>0</v>
      </c>
      <c r="L33" s="9"/>
      <c r="N33" s="9">
        <f t="shared" si="8"/>
        <v>0</v>
      </c>
    </row>
    <row r="34" spans="1:14" x14ac:dyDescent="0.2">
      <c r="A34" s="11" t="s">
        <v>74</v>
      </c>
      <c r="B34" s="13">
        <f>[14]Results!$C36</f>
        <v>17412.424553640729</v>
      </c>
      <c r="C34" s="9"/>
      <c r="D34" s="13">
        <f>'Restating Adj'!B37</f>
        <v>-3490.1945226639618</v>
      </c>
      <c r="F34" s="9">
        <f t="shared" si="9"/>
        <v>13922.230030976767</v>
      </c>
      <c r="H34" s="9">
        <f>'Pro Forma Adj'!B37</f>
        <v>-776048.95839665306</v>
      </c>
      <c r="J34" s="9">
        <f t="shared" si="10"/>
        <v>-762126.72836567624</v>
      </c>
      <c r="L34" s="9"/>
      <c r="N34" s="9">
        <f t="shared" si="8"/>
        <v>-762126.72836567624</v>
      </c>
    </row>
    <row r="35" spans="1:14" x14ac:dyDescent="0.2">
      <c r="A35" s="11" t="s">
        <v>75</v>
      </c>
      <c r="B35" s="228">
        <f>SUM(B26:B34)</f>
        <v>307222854.97562164</v>
      </c>
      <c r="C35" s="9"/>
      <c r="D35" s="228">
        <f>SUM(D26:D34)</f>
        <v>32687720.844984595</v>
      </c>
      <c r="F35" s="7">
        <f>SUM(F26:F34)</f>
        <v>339910575.82060623</v>
      </c>
      <c r="H35" s="7">
        <f>SUM(H26:H34)</f>
        <v>-43247326.939254448</v>
      </c>
      <c r="J35" s="7">
        <f>SUM(J26:J34)</f>
        <v>296663248.94597894</v>
      </c>
      <c r="L35" s="7">
        <f>SUM(L26:L34)</f>
        <v>3638281.8266405291</v>
      </c>
      <c r="N35" s="7">
        <f>SUM(N26:N34)</f>
        <v>300301530.70799237</v>
      </c>
    </row>
    <row r="36" spans="1:14" x14ac:dyDescent="0.2">
      <c r="A36" s="11"/>
      <c r="B36" s="13"/>
      <c r="C36" s="9"/>
      <c r="D36" s="13"/>
      <c r="F36" s="9"/>
      <c r="H36" s="9"/>
      <c r="J36" s="9"/>
      <c r="L36" s="9"/>
      <c r="N36" s="9"/>
    </row>
    <row r="37" spans="1:14" ht="13.5" thickBot="1" x14ac:dyDescent="0.25">
      <c r="A37" s="11" t="s">
        <v>76</v>
      </c>
      <c r="B37" s="229">
        <f>B13-B35</f>
        <v>40389777.94615829</v>
      </c>
      <c r="C37" s="9"/>
      <c r="D37" s="229">
        <f>D13-D35</f>
        <v>14696665.378434006</v>
      </c>
      <c r="F37" s="10">
        <f>F13-F35</f>
        <v>55086443.324592352</v>
      </c>
      <c r="H37" s="10">
        <f>H13-H35</f>
        <v>-1236056.6605387777</v>
      </c>
      <c r="J37" s="10">
        <f>J13-J35</f>
        <v>53850386.599426389</v>
      </c>
      <c r="L37" s="10">
        <f>L13-L35</f>
        <v>5924919.8541250173</v>
      </c>
      <c r="N37" s="10">
        <f>N13-N35</f>
        <v>59775306.518178523</v>
      </c>
    </row>
    <row r="38" spans="1:14" ht="13.5" thickTop="1" x14ac:dyDescent="0.2">
      <c r="A38" s="11"/>
      <c r="B38" s="13"/>
      <c r="C38" s="9"/>
      <c r="D38" s="13"/>
      <c r="F38" s="9"/>
      <c r="H38" s="9"/>
      <c r="J38" s="9"/>
      <c r="L38" s="9"/>
      <c r="N38" s="9"/>
    </row>
    <row r="39" spans="1:14" x14ac:dyDescent="0.2">
      <c r="A39" s="11" t="s">
        <v>77</v>
      </c>
      <c r="B39" s="13"/>
      <c r="C39" s="9"/>
      <c r="D39" s="9"/>
      <c r="F39" s="9"/>
      <c r="H39" s="9"/>
      <c r="J39" s="9"/>
      <c r="L39" s="9"/>
      <c r="N39" s="9"/>
    </row>
    <row r="40" spans="1:14" x14ac:dyDescent="0.2">
      <c r="A40" s="11" t="s">
        <v>78</v>
      </c>
      <c r="B40" s="13">
        <f>[14]Results!$C42</f>
        <v>1647982661.0399942</v>
      </c>
      <c r="C40" s="9"/>
      <c r="D40" s="9">
        <f>'Restating Adj'!B43</f>
        <v>40813248.065794274</v>
      </c>
      <c r="F40" s="9">
        <f t="shared" ref="F40:F50" si="11">B40+D40</f>
        <v>1688795909.1057885</v>
      </c>
      <c r="H40" s="9">
        <f>'Pro Forma Adj'!B43</f>
        <v>21260243.746936575</v>
      </c>
      <c r="J40" s="9">
        <f t="shared" ref="J40:J50" si="12">F40+H40</f>
        <v>1710056152.852725</v>
      </c>
      <c r="L40" s="9"/>
      <c r="N40" s="9">
        <f t="shared" ref="N40:N50" si="13">J40+L40</f>
        <v>1710056152.852725</v>
      </c>
    </row>
    <row r="41" spans="1:14" x14ac:dyDescent="0.2">
      <c r="A41" s="11" t="s">
        <v>79</v>
      </c>
      <c r="B41" s="13">
        <f>[14]Results!$C43</f>
        <v>234061.84233843297</v>
      </c>
      <c r="C41" s="9"/>
      <c r="D41" s="9">
        <f>'Restating Adj'!B44</f>
        <v>0</v>
      </c>
      <c r="F41" s="9">
        <f t="shared" si="11"/>
        <v>234061.84233843297</v>
      </c>
      <c r="H41" s="9">
        <f>'Pro Forma Adj'!B44</f>
        <v>0</v>
      </c>
      <c r="J41" s="9">
        <f t="shared" si="12"/>
        <v>234061.84233843297</v>
      </c>
      <c r="L41" s="9"/>
      <c r="N41" s="9">
        <f t="shared" si="13"/>
        <v>234061.84233843297</v>
      </c>
    </row>
    <row r="42" spans="1:14" x14ac:dyDescent="0.2">
      <c r="A42" s="11" t="s">
        <v>80</v>
      </c>
      <c r="B42" s="13">
        <f>[14]Results!$C44</f>
        <v>13696535.688252786</v>
      </c>
      <c r="C42" s="9"/>
      <c r="D42" s="9">
        <f>'Restating Adj'!B45</f>
        <v>-5468734.5442685261</v>
      </c>
      <c r="F42" s="9">
        <f t="shared" si="11"/>
        <v>8227801.14398426</v>
      </c>
      <c r="H42" s="9">
        <f>'Pro Forma Adj'!B45</f>
        <v>-202651.71009212057</v>
      </c>
      <c r="J42" s="9">
        <f t="shared" si="12"/>
        <v>8025149.4338921392</v>
      </c>
      <c r="L42" s="9"/>
      <c r="N42" s="9">
        <f t="shared" si="13"/>
        <v>8025149.4338921392</v>
      </c>
    </row>
    <row r="43" spans="1:14" x14ac:dyDescent="0.2">
      <c r="A43" s="11" t="s">
        <v>81</v>
      </c>
      <c r="B43" s="13">
        <f>[14]Results!$C45</f>
        <v>0</v>
      </c>
      <c r="C43" s="9"/>
      <c r="D43" s="9">
        <f>'Restating Adj'!B46</f>
        <v>0</v>
      </c>
      <c r="F43" s="9">
        <f t="shared" si="11"/>
        <v>0</v>
      </c>
      <c r="H43" s="9">
        <f>'Pro Forma Adj'!B46</f>
        <v>0</v>
      </c>
      <c r="J43" s="9">
        <f t="shared" si="12"/>
        <v>0</v>
      </c>
      <c r="L43" s="9"/>
      <c r="N43" s="9">
        <f t="shared" si="13"/>
        <v>0</v>
      </c>
    </row>
    <row r="44" spans="1:14" x14ac:dyDescent="0.2">
      <c r="A44" s="11" t="s">
        <v>82</v>
      </c>
      <c r="B44" s="13">
        <f>[14]Results!$C46</f>
        <v>0</v>
      </c>
      <c r="C44" s="9"/>
      <c r="D44" s="9">
        <f>'Restating Adj'!B47</f>
        <v>0</v>
      </c>
      <c r="F44" s="9">
        <f t="shared" si="11"/>
        <v>0</v>
      </c>
      <c r="H44" s="9">
        <f>'Pro Forma Adj'!B47</f>
        <v>0</v>
      </c>
      <c r="J44" s="9">
        <f t="shared" si="12"/>
        <v>0</v>
      </c>
      <c r="L44" s="9"/>
      <c r="N44" s="9">
        <f t="shared" si="13"/>
        <v>0</v>
      </c>
    </row>
    <row r="45" spans="1:14" x14ac:dyDescent="0.2">
      <c r="A45" s="11" t="s">
        <v>83</v>
      </c>
      <c r="B45" s="13">
        <f>[14]Results!$C47</f>
        <v>1743278.7185106373</v>
      </c>
      <c r="C45" s="9"/>
      <c r="D45" s="9">
        <f>'Restating Adj'!B48</f>
        <v>-1743278.7185106392</v>
      </c>
      <c r="F45" s="9">
        <f t="shared" si="11"/>
        <v>-1.862645149230957E-9</v>
      </c>
      <c r="H45" s="9">
        <f>'Pro Forma Adj'!B48</f>
        <v>0</v>
      </c>
      <c r="J45" s="9">
        <f t="shared" si="12"/>
        <v>-1.862645149230957E-9</v>
      </c>
      <c r="L45" s="9"/>
      <c r="N45" s="9">
        <f t="shared" si="13"/>
        <v>-1.862645149230957E-9</v>
      </c>
    </row>
    <row r="46" spans="1:14" x14ac:dyDescent="0.2">
      <c r="A46" s="11" t="s">
        <v>84</v>
      </c>
      <c r="B46" s="13">
        <f>[14]Results!$C48</f>
        <v>6914148.5720945587</v>
      </c>
      <c r="C46" s="9"/>
      <c r="D46" s="9">
        <f>'Restating Adj'!B49</f>
        <v>-6914148.5720945681</v>
      </c>
      <c r="F46" s="9">
        <f t="shared" si="11"/>
        <v>-9.3132257461547852E-9</v>
      </c>
      <c r="H46" s="9">
        <f>'Pro Forma Adj'!B49</f>
        <v>0</v>
      </c>
      <c r="J46" s="9">
        <f t="shared" si="12"/>
        <v>-9.3132257461547852E-9</v>
      </c>
      <c r="L46" s="9"/>
      <c r="N46" s="9">
        <f t="shared" si="13"/>
        <v>-9.3132257461547852E-9</v>
      </c>
    </row>
    <row r="47" spans="1:14" x14ac:dyDescent="0.2">
      <c r="A47" s="11" t="s">
        <v>85</v>
      </c>
      <c r="B47" s="13">
        <f>[14]Results!$C49</f>
        <v>6926884.9267722946</v>
      </c>
      <c r="C47" s="9"/>
      <c r="D47" s="9">
        <f>'Restating Adj'!B50</f>
        <v>-6926884.9266495155</v>
      </c>
      <c r="F47" s="9">
        <f t="shared" si="11"/>
        <v>1.2277904897928238E-4</v>
      </c>
      <c r="H47" s="9">
        <f>'Pro Forma Adj'!B50</f>
        <v>0</v>
      </c>
      <c r="J47" s="9">
        <f t="shared" si="12"/>
        <v>1.2277904897928238E-4</v>
      </c>
      <c r="L47" s="9"/>
      <c r="N47" s="9">
        <f t="shared" si="13"/>
        <v>1.2277904897928238E-4</v>
      </c>
    </row>
    <row r="48" spans="1:14" x14ac:dyDescent="0.2">
      <c r="A48" s="11" t="s">
        <v>86</v>
      </c>
      <c r="B48" s="13">
        <f>[14]Results!$C50</f>
        <v>2438703.9515725183</v>
      </c>
      <c r="C48" s="9"/>
      <c r="D48" s="9">
        <f>'Restating Adj'!B51</f>
        <v>28579779.133268069</v>
      </c>
      <c r="F48" s="9">
        <f t="shared" si="11"/>
        <v>31018483.084840588</v>
      </c>
      <c r="H48" s="9">
        <f>'Pro Forma Adj'!B51</f>
        <v>0</v>
      </c>
      <c r="J48" s="9">
        <f t="shared" si="12"/>
        <v>31018483.084840588</v>
      </c>
      <c r="L48" s="9"/>
      <c r="N48" s="9">
        <f t="shared" si="13"/>
        <v>31018483.084840588</v>
      </c>
    </row>
    <row r="49" spans="1:14" x14ac:dyDescent="0.2">
      <c r="A49" s="11" t="s">
        <v>87</v>
      </c>
      <c r="B49" s="13">
        <f>[14]Results!$C51</f>
        <v>1932316.2836254868</v>
      </c>
      <c r="C49" s="9"/>
      <c r="D49" s="9">
        <f>'Restating Adj'!B52</f>
        <v>0</v>
      </c>
      <c r="F49" s="9">
        <f t="shared" si="11"/>
        <v>1932316.2836254868</v>
      </c>
      <c r="H49" s="9">
        <f>'Pro Forma Adj'!B52</f>
        <v>0</v>
      </c>
      <c r="J49" s="9">
        <f t="shared" si="12"/>
        <v>1932316.2836254868</v>
      </c>
      <c r="L49" s="9"/>
      <c r="N49" s="9">
        <f t="shared" si="13"/>
        <v>1932316.2836254868</v>
      </c>
    </row>
    <row r="50" spans="1:14" x14ac:dyDescent="0.2">
      <c r="A50" s="11" t="s">
        <v>88</v>
      </c>
      <c r="B50" s="13">
        <f>[14]Results!$C52</f>
        <v>0</v>
      </c>
      <c r="C50" s="9"/>
      <c r="D50" s="9">
        <f>'Restating Adj'!B53</f>
        <v>0</v>
      </c>
      <c r="F50" s="9">
        <f t="shared" si="11"/>
        <v>0</v>
      </c>
      <c r="H50" s="9">
        <f>'Pro Forma Adj'!B53</f>
        <v>0</v>
      </c>
      <c r="J50" s="9">
        <f t="shared" si="12"/>
        <v>0</v>
      </c>
      <c r="L50" s="9"/>
      <c r="N50" s="9">
        <f t="shared" si="13"/>
        <v>0</v>
      </c>
    </row>
    <row r="51" spans="1:14" ht="13.5" thickBot="1" x14ac:dyDescent="0.25">
      <c r="A51" s="11" t="s">
        <v>89</v>
      </c>
      <c r="B51" s="229">
        <f>SUM(B40:B50)</f>
        <v>1681868591.0231607</v>
      </c>
      <c r="C51" s="9"/>
      <c r="D51" s="10">
        <f>SUM(D40:D50)</f>
        <v>48339980.437539093</v>
      </c>
      <c r="F51" s="10">
        <f>SUM(F40:F50)</f>
        <v>1730208571.4607</v>
      </c>
      <c r="H51" s="10">
        <f>SUM(H40:H50)</f>
        <v>21057592.036844455</v>
      </c>
      <c r="J51" s="10">
        <f>SUM(J40:J50)</f>
        <v>1751266163.4975445</v>
      </c>
      <c r="L51" s="10">
        <f>SUM(L40:L50)</f>
        <v>0</v>
      </c>
      <c r="N51" s="10">
        <f>SUM(N40:N50)</f>
        <v>1751266163.4975445</v>
      </c>
    </row>
    <row r="52" spans="1:14" ht="13.5" thickTop="1" x14ac:dyDescent="0.2">
      <c r="A52" s="11"/>
      <c r="B52" s="13"/>
      <c r="C52" s="9"/>
      <c r="D52" s="9"/>
      <c r="F52" s="9"/>
      <c r="H52" s="9"/>
      <c r="J52" s="9"/>
      <c r="L52" s="9"/>
      <c r="N52" s="9"/>
    </row>
    <row r="53" spans="1:14" x14ac:dyDescent="0.2">
      <c r="A53" s="11" t="s">
        <v>90</v>
      </c>
      <c r="B53" s="13"/>
      <c r="C53" s="9"/>
      <c r="D53" s="9"/>
      <c r="F53" s="9"/>
      <c r="H53" s="9"/>
      <c r="J53" s="9"/>
      <c r="L53" s="9"/>
      <c r="N53" s="9"/>
    </row>
    <row r="54" spans="1:14" x14ac:dyDescent="0.2">
      <c r="A54" s="11" t="s">
        <v>91</v>
      </c>
      <c r="B54" s="13">
        <f>[14]Results!$C56</f>
        <v>-609540662.46340728</v>
      </c>
      <c r="C54" s="9"/>
      <c r="D54" s="9">
        <f>'Restating Adj'!B57</f>
        <v>-22052912.761320852</v>
      </c>
      <c r="F54" s="9">
        <f t="shared" ref="F54:F60" si="14">B54+D54</f>
        <v>-631593575.22472811</v>
      </c>
      <c r="H54" s="9">
        <f>'Pro Forma Adj'!B57</f>
        <v>-678296.13492404297</v>
      </c>
      <c r="J54" s="9">
        <f t="shared" ref="J54:J60" si="15">F54+H54</f>
        <v>-632271871.35965216</v>
      </c>
      <c r="L54" s="9"/>
      <c r="N54" s="9">
        <f t="shared" ref="N54:N61" si="16">J54+L54</f>
        <v>-632271871.35965216</v>
      </c>
    </row>
    <row r="55" spans="1:14" x14ac:dyDescent="0.2">
      <c r="A55" s="11" t="s">
        <v>92</v>
      </c>
      <c r="B55" s="13">
        <f>[14]Results!$C57</f>
        <v>-46230330.034970716</v>
      </c>
      <c r="C55" s="9"/>
      <c r="D55" s="9">
        <f>'Restating Adj'!B58</f>
        <v>0</v>
      </c>
      <c r="F55" s="9">
        <f t="shared" si="14"/>
        <v>-46230330.034970716</v>
      </c>
      <c r="H55" s="9">
        <f>'Pro Forma Adj'!B58</f>
        <v>0</v>
      </c>
      <c r="J55" s="9">
        <f t="shared" si="15"/>
        <v>-46230330.034970716</v>
      </c>
      <c r="L55" s="9"/>
      <c r="N55" s="9">
        <f t="shared" si="16"/>
        <v>-46230330.034970716</v>
      </c>
    </row>
    <row r="56" spans="1:14" x14ac:dyDescent="0.2">
      <c r="A56" s="11" t="s">
        <v>93</v>
      </c>
      <c r="B56" s="13">
        <f>[14]Results!$C58</f>
        <v>-231233127.40146789</v>
      </c>
      <c r="C56" s="9"/>
      <c r="D56" s="9">
        <f>'Restating Adj'!B59</f>
        <v>-13518776.472470958</v>
      </c>
      <c r="F56" s="9">
        <f t="shared" si="14"/>
        <v>-244751903.87393886</v>
      </c>
      <c r="H56" s="9">
        <f>'Pro Forma Adj'!B59</f>
        <v>-1822838.6024499815</v>
      </c>
      <c r="J56" s="9">
        <f t="shared" si="15"/>
        <v>-246574742.47638884</v>
      </c>
      <c r="L56" s="9"/>
      <c r="N56" s="9">
        <f t="shared" si="16"/>
        <v>-246574742.47638884</v>
      </c>
    </row>
    <row r="57" spans="1:14" x14ac:dyDescent="0.2">
      <c r="A57" s="11" t="s">
        <v>94</v>
      </c>
      <c r="B57" s="13">
        <f>[14]Results!$C59</f>
        <v>-248420.79258380539</v>
      </c>
      <c r="C57" s="9"/>
      <c r="D57" s="9">
        <f>'Restating Adj'!B60</f>
        <v>1645.6848</v>
      </c>
      <c r="F57" s="9">
        <f t="shared" si="14"/>
        <v>-246775.1077838054</v>
      </c>
      <c r="H57" s="9">
        <f>'Pro Forma Adj'!B60</f>
        <v>0</v>
      </c>
      <c r="J57" s="9">
        <f t="shared" si="15"/>
        <v>-246775.1077838054</v>
      </c>
      <c r="L57" s="9"/>
      <c r="N57" s="9">
        <f t="shared" si="16"/>
        <v>-246775.1077838054</v>
      </c>
    </row>
    <row r="58" spans="1:14" x14ac:dyDescent="0.2">
      <c r="A58" s="11" t="s">
        <v>95</v>
      </c>
      <c r="B58" s="13">
        <f>[14]Results!$C60</f>
        <v>-7410.1812785572438</v>
      </c>
      <c r="C58" s="9"/>
      <c r="D58" s="9">
        <f>'Restating Adj'!B61</f>
        <v>-481414.22831967368</v>
      </c>
      <c r="F58" s="9">
        <f t="shared" si="14"/>
        <v>-488824.40959823091</v>
      </c>
      <c r="H58" s="9">
        <f>'Pro Forma Adj'!B61</f>
        <v>0</v>
      </c>
      <c r="J58" s="9">
        <f t="shared" si="15"/>
        <v>-488824.40959823091</v>
      </c>
      <c r="L58" s="9"/>
      <c r="N58" s="9">
        <f t="shared" si="16"/>
        <v>-488824.40959823091</v>
      </c>
    </row>
    <row r="59" spans="1:14" x14ac:dyDescent="0.2">
      <c r="A59" s="11" t="s">
        <v>96</v>
      </c>
      <c r="B59" s="13">
        <f>[14]Results!$C61</f>
        <v>0</v>
      </c>
      <c r="C59" s="9"/>
      <c r="D59" s="9">
        <f>'Restating Adj'!B62</f>
        <v>-3361133.729166666</v>
      </c>
      <c r="F59" s="9">
        <f t="shared" si="14"/>
        <v>-3361133.729166666</v>
      </c>
      <c r="H59" s="9">
        <f>'Pro Forma Adj'!B62</f>
        <v>0</v>
      </c>
      <c r="J59" s="9">
        <f t="shared" si="15"/>
        <v>-3361133.729166666</v>
      </c>
      <c r="L59" s="9"/>
      <c r="N59" s="9">
        <f t="shared" si="16"/>
        <v>-3361133.729166666</v>
      </c>
    </row>
    <row r="60" spans="1:14" x14ac:dyDescent="0.2">
      <c r="A60" s="11" t="s">
        <v>97</v>
      </c>
      <c r="B60" s="13">
        <f>[14]Results!$C62</f>
        <v>-6352268.3274010532</v>
      </c>
      <c r="C60" s="9"/>
      <c r="D60" s="9">
        <f>'Restating Adj'!B63</f>
        <v>3501826.1956963525</v>
      </c>
      <c r="F60" s="9">
        <f t="shared" si="14"/>
        <v>-2850442.1317047006</v>
      </c>
      <c r="H60" s="9">
        <f>'Pro Forma Adj'!B63</f>
        <v>-402745.59474258736</v>
      </c>
      <c r="J60" s="9">
        <f t="shared" si="15"/>
        <v>-3253187.7264472879</v>
      </c>
      <c r="L60" s="9"/>
      <c r="N60" s="9">
        <f t="shared" si="16"/>
        <v>-3253187.7264472879</v>
      </c>
    </row>
    <row r="61" spans="1:14" x14ac:dyDescent="0.2">
      <c r="A61" s="11"/>
      <c r="B61" s="13">
        <f>[14]Results!$C63</f>
        <v>0</v>
      </c>
      <c r="C61" s="9"/>
      <c r="D61" s="9"/>
      <c r="F61" s="9"/>
      <c r="H61" s="9"/>
      <c r="J61" s="9"/>
      <c r="L61" s="9"/>
      <c r="N61" s="9">
        <f t="shared" si="16"/>
        <v>0</v>
      </c>
    </row>
    <row r="62" spans="1:14" ht="13.5" thickBot="1" x14ac:dyDescent="0.25">
      <c r="A62" s="11" t="s">
        <v>98</v>
      </c>
      <c r="B62" s="229">
        <f>SUM(B54:B60)</f>
        <v>-893612219.20110941</v>
      </c>
      <c r="C62" s="9"/>
      <c r="D62" s="10">
        <f>SUM(D54:D60)</f>
        <v>-35910765.310781799</v>
      </c>
      <c r="F62" s="10">
        <f>SUM(F54:F60)</f>
        <v>-929522984.51189101</v>
      </c>
      <c r="H62" s="10">
        <f>SUM(H54:H60)</f>
        <v>-2903880.3321166118</v>
      </c>
      <c r="J62" s="10">
        <f>SUM(J54:J60)</f>
        <v>-932426864.84400773</v>
      </c>
      <c r="L62" s="10">
        <f>SUM(L54:L60)</f>
        <v>0</v>
      </c>
      <c r="N62" s="10">
        <f>SUM(N54:N60)</f>
        <v>-932426864.84400773</v>
      </c>
    </row>
    <row r="63" spans="1:14" ht="13.5" thickTop="1" x14ac:dyDescent="0.2">
      <c r="A63" s="11"/>
      <c r="B63" s="13"/>
      <c r="C63" s="9"/>
      <c r="D63" s="9"/>
      <c r="F63" s="9"/>
      <c r="H63" s="9"/>
      <c r="J63" s="9"/>
      <c r="L63" s="9"/>
      <c r="N63" s="9"/>
    </row>
    <row r="64" spans="1:14" ht="13.5" thickBot="1" x14ac:dyDescent="0.25">
      <c r="A64" s="11" t="s">
        <v>99</v>
      </c>
      <c r="B64" s="229">
        <f>B51+B62</f>
        <v>788256371.82205129</v>
      </c>
      <c r="C64" s="9"/>
      <c r="D64" s="10">
        <f>D51+D62</f>
        <v>12429215.126757294</v>
      </c>
      <c r="F64" s="10">
        <f>F51+F62</f>
        <v>800685586.94880903</v>
      </c>
      <c r="H64" s="10">
        <f>H51+H62</f>
        <v>18153711.704727843</v>
      </c>
      <c r="J64" s="10">
        <f>J51+J62</f>
        <v>818839298.6535368</v>
      </c>
      <c r="L64" s="10">
        <f>L51+L62</f>
        <v>0</v>
      </c>
      <c r="N64" s="10">
        <f>N51+N62</f>
        <v>818839298.6535368</v>
      </c>
    </row>
    <row r="65" spans="1:14" ht="13.5" thickTop="1" x14ac:dyDescent="0.2">
      <c r="A65" s="11"/>
      <c r="B65" s="13"/>
      <c r="C65" s="9"/>
      <c r="D65" s="9"/>
      <c r="F65" s="9"/>
      <c r="H65" s="9"/>
      <c r="J65" s="9"/>
      <c r="L65" s="9"/>
      <c r="N65" s="9"/>
    </row>
    <row r="66" spans="1:14" x14ac:dyDescent="0.2">
      <c r="A66" s="11" t="s">
        <v>48</v>
      </c>
      <c r="B66" s="289">
        <f>B37/B64</f>
        <v>5.1239392905632321E-2</v>
      </c>
      <c r="C66" s="24"/>
      <c r="D66" s="24">
        <f>F66-B66</f>
        <v>1.755970154854853E-2</v>
      </c>
      <c r="F66" s="24">
        <f>F37/F64</f>
        <v>6.8799094454180851E-2</v>
      </c>
      <c r="H66" s="24">
        <f>J66-F66</f>
        <v>-3.0348026230784808E-3</v>
      </c>
      <c r="J66" s="24">
        <f>J37/J64</f>
        <v>6.576429183110237E-2</v>
      </c>
      <c r="L66" s="24">
        <f>N66-J66</f>
        <v>7.235754229791877E-3</v>
      </c>
      <c r="N66" s="24">
        <f>N37/N64</f>
        <v>7.3000046060894247E-2</v>
      </c>
    </row>
    <row r="67" spans="1:14" x14ac:dyDescent="0.2">
      <c r="A67" s="11" t="s">
        <v>100</v>
      </c>
      <c r="B67" s="289">
        <f>(B66-Weighted_cost_debt-Weighted_cost_pref)/Percent_common</f>
        <v>5.0682103677458901E-2</v>
      </c>
      <c r="C67" s="24"/>
      <c r="D67" s="24">
        <f>F67-B67</f>
        <v>3.5763139610078473E-2</v>
      </c>
      <c r="F67" s="24">
        <f>(F66-Weighted_cost_debt-Weighted_cost_pref)/Percent_common</f>
        <v>8.6445243287537374E-2</v>
      </c>
      <c r="H67" s="24">
        <f>J67-F67</f>
        <v>-6.1808607394673726E-3</v>
      </c>
      <c r="J67" s="24">
        <f>(J66-Weighted_cost_debt-Weighted_cost_pref)/Percent_common</f>
        <v>8.0264382548070001E-2</v>
      </c>
      <c r="L67" s="24">
        <f>N67-J67</f>
        <v>1.473561745193E-2</v>
      </c>
      <c r="N67" s="24">
        <f>ROUND((N66-Weighted_cost_debt-Weighted_cost_pref)/Percent_common,3)</f>
        <v>9.5000000000000001E-2</v>
      </c>
    </row>
    <row r="68" spans="1:14" x14ac:dyDescent="0.2">
      <c r="A68" s="11" t="s">
        <v>47</v>
      </c>
      <c r="B68" s="13">
        <f>-(B37-(B64*Overall_ROR))/gross_up_factor</f>
        <v>27686122.50319013</v>
      </c>
      <c r="C68" s="9"/>
      <c r="D68" s="9">
        <f>-(D37-(D64*Overall_ROR))/gross_up_factor</f>
        <v>-22257013.435849767</v>
      </c>
      <c r="F68" s="9">
        <f>-(F37-(F64*Overall_ROR))/gross_up_factor</f>
        <v>5429109.0673403293</v>
      </c>
      <c r="H68" s="9">
        <f>-(H37-(H64*Overall_ROR))/gross_up_factor</f>
        <v>4134093.4791121138</v>
      </c>
      <c r="J68" s="9">
        <f>-(J37-(J64*Overall_ROR))/gross_up_factor</f>
        <v>9563202.6507655475</v>
      </c>
      <c r="L68" s="9"/>
      <c r="N68" s="9"/>
    </row>
    <row r="69" spans="1:14" x14ac:dyDescent="0.2">
      <c r="A69" s="11"/>
      <c r="B69" s="16"/>
      <c r="C69" s="22"/>
      <c r="D69" s="22"/>
      <c r="F69" s="22"/>
      <c r="H69" s="22"/>
      <c r="J69" s="22"/>
      <c r="L69" s="22"/>
      <c r="N69" s="22"/>
    </row>
    <row r="70" spans="1:14" x14ac:dyDescent="0.2">
      <c r="A70" s="11" t="s">
        <v>101</v>
      </c>
      <c r="B70" s="13"/>
      <c r="C70" s="9"/>
      <c r="D70" s="9"/>
      <c r="F70" s="9"/>
      <c r="H70" s="9"/>
      <c r="J70" s="9"/>
      <c r="L70" s="9"/>
      <c r="N70" s="9"/>
    </row>
    <row r="71" spans="1:14" x14ac:dyDescent="0.2">
      <c r="A71" s="11" t="s">
        <v>102</v>
      </c>
      <c r="B71" s="13">
        <f t="shared" ref="B71:N71" si="17">B13-B26-B27-B28-B29-B34</f>
        <v>46261016.714146547</v>
      </c>
      <c r="C71" s="9"/>
      <c r="D71" s="9">
        <f t="shared" si="17"/>
        <v>21179478.261045638</v>
      </c>
      <c r="F71" s="9">
        <f t="shared" si="17"/>
        <v>67440494.975192159</v>
      </c>
      <c r="H71" s="9">
        <f t="shared" si="17"/>
        <v>-2935755.1598407975</v>
      </c>
      <c r="J71" s="9">
        <f>ROUNDUP(J13-J26-J27-J28-J29-J34,0)</f>
        <v>64504740</v>
      </c>
      <c r="L71" s="9">
        <f t="shared" si="17"/>
        <v>9115261.314038489</v>
      </c>
      <c r="N71" s="9">
        <f t="shared" si="17"/>
        <v>73620001.129389882</v>
      </c>
    </row>
    <row r="72" spans="1:14" x14ac:dyDescent="0.2">
      <c r="A72" s="11" t="s">
        <v>103</v>
      </c>
      <c r="B72" s="13">
        <f>[14]Results!C73</f>
        <v>0</v>
      </c>
      <c r="C72" s="9"/>
      <c r="D72" s="9"/>
      <c r="F72" s="9">
        <f t="shared" ref="F72:F76" si="18">B72+D72</f>
        <v>0</v>
      </c>
      <c r="H72" s="9"/>
      <c r="J72" s="9"/>
      <c r="L72" s="9"/>
      <c r="N72" s="9"/>
    </row>
    <row r="73" spans="1:14" x14ac:dyDescent="0.2">
      <c r="A73" s="11" t="s">
        <v>104</v>
      </c>
      <c r="B73" s="13">
        <f>[14]Results!C74</f>
        <v>-3560991.667928237</v>
      </c>
      <c r="C73" s="9"/>
      <c r="D73" s="9">
        <f>'Restating Adj'!B76</f>
        <v>0</v>
      </c>
      <c r="F73" s="9">
        <f t="shared" si="18"/>
        <v>-3560991.667928237</v>
      </c>
      <c r="H73" s="9">
        <f>'Pro Forma Adj'!B76</f>
        <v>0</v>
      </c>
      <c r="J73" s="9">
        <f t="shared" ref="J73:J76" si="19">F73+H73</f>
        <v>-3560991.667928237</v>
      </c>
      <c r="L73" s="9"/>
      <c r="N73" s="9">
        <f t="shared" ref="N73:N76" si="20">J73+L73</f>
        <v>-3560991.667928237</v>
      </c>
    </row>
    <row r="74" spans="1:14" x14ac:dyDescent="0.2">
      <c r="A74" s="11" t="s">
        <v>105</v>
      </c>
      <c r="B74" s="13">
        <f>[14]Results!C75</f>
        <v>21485186.423176125</v>
      </c>
      <c r="C74" s="9"/>
      <c r="D74" s="9">
        <f>'Restating Adj'!B77</f>
        <v>-394343.39106928557</v>
      </c>
      <c r="F74" s="9">
        <f t="shared" si="18"/>
        <v>21090843.032106839</v>
      </c>
      <c r="H74" s="9">
        <f>'Pro Forma Adj'!B77</f>
        <v>478186.5569400005</v>
      </c>
      <c r="J74" s="9">
        <f t="shared" si="19"/>
        <v>21569029.58904684</v>
      </c>
      <c r="L74" s="9"/>
      <c r="N74" s="9">
        <f t="shared" si="20"/>
        <v>21569029.58904684</v>
      </c>
    </row>
    <row r="75" spans="1:14" x14ac:dyDescent="0.2">
      <c r="A75" s="11" t="s">
        <v>106</v>
      </c>
      <c r="B75" s="13">
        <f>[14]Results!C76</f>
        <v>62962240.07826855</v>
      </c>
      <c r="C75" s="9"/>
      <c r="D75" s="9">
        <f>'Restating Adj'!B78</f>
        <v>722834.51554850512</v>
      </c>
      <c r="E75" s="21"/>
      <c r="F75" s="9">
        <f t="shared" si="18"/>
        <v>63685074.593817055</v>
      </c>
      <c r="G75" s="21"/>
      <c r="H75" s="9">
        <f>'Pro Forma Adj'!B78</f>
        <v>276747.67003499484</v>
      </c>
      <c r="J75" s="9">
        <f t="shared" si="19"/>
        <v>63961822.263852052</v>
      </c>
      <c r="L75" s="9"/>
      <c r="N75" s="9">
        <f t="shared" si="20"/>
        <v>63961822.263852052</v>
      </c>
    </row>
    <row r="76" spans="1:14" x14ac:dyDescent="0.2">
      <c r="A76" s="11" t="s">
        <v>107</v>
      </c>
      <c r="B76" s="290">
        <f>[14]Results!C77</f>
        <v>72669281.761237845</v>
      </c>
      <c r="C76" s="9"/>
      <c r="D76" s="8">
        <f>'Restating Adj'!B79</f>
        <v>541075.95803906047</v>
      </c>
      <c r="E76" s="21"/>
      <c r="F76" s="8">
        <f t="shared" si="18"/>
        <v>73210357.719276905</v>
      </c>
      <c r="G76" s="21"/>
      <c r="H76" s="8">
        <f>'Pro Forma Adj'!B79</f>
        <v>5773702.2720606495</v>
      </c>
      <c r="J76" s="8">
        <f t="shared" si="19"/>
        <v>78984059.991337553</v>
      </c>
      <c r="L76" s="8"/>
      <c r="N76" s="8">
        <f t="shared" si="20"/>
        <v>78984059.991337553</v>
      </c>
    </row>
    <row r="77" spans="1:14" x14ac:dyDescent="0.2">
      <c r="A77" s="11" t="s">
        <v>108</v>
      </c>
      <c r="B77" s="13">
        <f t="shared" ref="B77:N77" si="21">B71-B73-B74+B75-B76</f>
        <v>18629780.275929362</v>
      </c>
      <c r="C77" s="9"/>
      <c r="D77" s="9">
        <f t="shared" si="21"/>
        <v>21755580.209624369</v>
      </c>
      <c r="E77" s="21"/>
      <c r="F77" s="9">
        <f t="shared" si="21"/>
        <v>40385360.485553712</v>
      </c>
      <c r="G77" s="21"/>
      <c r="H77" s="9">
        <f t="shared" si="21"/>
        <v>-8910896.3188064527</v>
      </c>
      <c r="J77" s="9">
        <f t="shared" si="21"/>
        <v>31474464.35139589</v>
      </c>
      <c r="L77" s="9">
        <f t="shared" si="21"/>
        <v>9115261.314038489</v>
      </c>
      <c r="N77" s="9">
        <f t="shared" si="21"/>
        <v>40589725.480785772</v>
      </c>
    </row>
    <row r="78" spans="1:14" x14ac:dyDescent="0.2">
      <c r="A78" s="11"/>
      <c r="B78" s="13"/>
      <c r="C78" s="9"/>
      <c r="D78" s="9"/>
      <c r="E78" s="21"/>
      <c r="F78" s="9"/>
      <c r="G78" s="21"/>
      <c r="H78" s="9"/>
      <c r="J78" s="9"/>
      <c r="L78" s="9"/>
      <c r="N78" s="9"/>
    </row>
    <row r="79" spans="1:14" x14ac:dyDescent="0.2">
      <c r="A79" s="11" t="s">
        <v>109</v>
      </c>
      <c r="B79" s="13">
        <v>0</v>
      </c>
      <c r="C79" s="9"/>
      <c r="D79" s="9">
        <v>0</v>
      </c>
      <c r="E79" s="21"/>
      <c r="F79" s="9">
        <v>0</v>
      </c>
      <c r="G79" s="21"/>
      <c r="H79" s="9">
        <v>0</v>
      </c>
      <c r="J79" s="9">
        <v>0</v>
      </c>
      <c r="L79" s="9">
        <v>0</v>
      </c>
      <c r="N79" s="9">
        <v>0</v>
      </c>
    </row>
    <row r="80" spans="1:14" x14ac:dyDescent="0.2">
      <c r="A80" s="11" t="s">
        <v>110</v>
      </c>
      <c r="B80" s="13">
        <f>B77-B79</f>
        <v>18629780.275929362</v>
      </c>
      <c r="C80" s="9"/>
      <c r="D80" s="9">
        <f>D77-D79</f>
        <v>21755580.209624369</v>
      </c>
      <c r="E80" s="21"/>
      <c r="F80" s="9">
        <f>F77-F79</f>
        <v>40385360.485553712</v>
      </c>
      <c r="G80" s="21"/>
      <c r="H80" s="9">
        <f>H77-H79</f>
        <v>-8910896.3188064527</v>
      </c>
      <c r="J80" s="9">
        <f>J77-J79</f>
        <v>31474464.35139589</v>
      </c>
      <c r="L80" s="9">
        <f>L77-L79</f>
        <v>9115261.314038489</v>
      </c>
      <c r="N80" s="9">
        <f>N77-N79</f>
        <v>40589725.480785772</v>
      </c>
    </row>
    <row r="81" spans="1:14" x14ac:dyDescent="0.2">
      <c r="A81" s="11"/>
      <c r="B81" s="13"/>
      <c r="C81" s="9"/>
      <c r="D81" s="9"/>
      <c r="E81" s="21"/>
      <c r="F81" s="9"/>
      <c r="G81" s="21"/>
      <c r="H81" s="9"/>
      <c r="J81" s="9"/>
      <c r="L81" s="9"/>
      <c r="N81" s="9"/>
    </row>
    <row r="82" spans="1:14" x14ac:dyDescent="0.2">
      <c r="A82" s="11" t="s">
        <v>139</v>
      </c>
      <c r="B82" s="13">
        <f>B80*0.35</f>
        <v>6520423.096575276</v>
      </c>
      <c r="C82" s="9"/>
      <c r="D82" s="9">
        <f>D80*0.35</f>
        <v>7614453.0733685289</v>
      </c>
      <c r="E82" s="21"/>
      <c r="F82" s="9">
        <f>F80*0.35</f>
        <v>14134876.169943798</v>
      </c>
      <c r="G82" s="21"/>
      <c r="H82" s="9">
        <f>H80*0.35</f>
        <v>-3118813.7115822583</v>
      </c>
      <c r="J82" s="9">
        <f>J80*0.35</f>
        <v>11016062.522988562</v>
      </c>
      <c r="L82" s="9">
        <f>L80*0.35</f>
        <v>3190341.4599134708</v>
      </c>
      <c r="N82" s="9">
        <f>N80*0.35</f>
        <v>14206403.918275019</v>
      </c>
    </row>
    <row r="83" spans="1:14" x14ac:dyDescent="0.2">
      <c r="A83" s="11" t="s">
        <v>140</v>
      </c>
      <c r="B83" s="13">
        <f>B84-B82</f>
        <v>-5519729.0890013324</v>
      </c>
      <c r="C83" s="9"/>
      <c r="D83" s="9">
        <f>'Restating Adj'!B86</f>
        <v>0</v>
      </c>
      <c r="E83" s="21"/>
      <c r="F83" s="9">
        <f t="shared" ref="F83" si="22">B83+D83</f>
        <v>-5519729.0890013324</v>
      </c>
      <c r="G83" s="21"/>
      <c r="H83" s="9">
        <f>'Pro Forma Adj'!B86</f>
        <v>-667033.44483830314</v>
      </c>
      <c r="J83" s="9">
        <f t="shared" ref="J83" si="23">F83+H83</f>
        <v>-6186762.5338396356</v>
      </c>
      <c r="L83" s="9"/>
      <c r="N83" s="9">
        <f t="shared" ref="N83" si="24">J83+L83</f>
        <v>-6186762.5338396356</v>
      </c>
    </row>
    <row r="84" spans="1:14" x14ac:dyDescent="0.2">
      <c r="A84" s="11" t="s">
        <v>141</v>
      </c>
      <c r="B84" s="13">
        <f>[14]Results!C83</f>
        <v>1000694.0075739436</v>
      </c>
      <c r="C84" s="9"/>
      <c r="D84" s="9">
        <f>D82+D83</f>
        <v>7614453.0733685289</v>
      </c>
      <c r="E84" s="21"/>
      <c r="F84" s="9">
        <f>F82+F83</f>
        <v>8615147.0809424669</v>
      </c>
      <c r="G84" s="21"/>
      <c r="H84" s="9">
        <f>H82+H83</f>
        <v>-3785847.1564205615</v>
      </c>
      <c r="J84" s="9">
        <f>J82+J83</f>
        <v>4829299.989148926</v>
      </c>
      <c r="L84" s="9">
        <f>L82+L83</f>
        <v>3190341.4599134708</v>
      </c>
      <c r="N84" s="9">
        <f>N82+N83</f>
        <v>8019641.3844353836</v>
      </c>
    </row>
    <row r="85" spans="1:14" x14ac:dyDescent="0.2">
      <c r="A85" s="11"/>
      <c r="B85" s="13"/>
      <c r="C85" s="9"/>
      <c r="D85" s="9"/>
      <c r="F85" s="9"/>
      <c r="H85" s="9"/>
      <c r="J85" s="9"/>
      <c r="L85" s="9"/>
      <c r="N85" s="9"/>
    </row>
    <row r="86" spans="1:14" x14ac:dyDescent="0.2">
      <c r="A86" s="11"/>
      <c r="B86" s="13"/>
      <c r="C86" s="9"/>
      <c r="D86" s="9"/>
      <c r="E86" s="21"/>
      <c r="F86" s="9"/>
      <c r="G86" s="21"/>
      <c r="H86" s="9"/>
      <c r="J86" s="9"/>
      <c r="L86" s="9"/>
      <c r="N86" s="9"/>
    </row>
    <row r="87" spans="1:14" x14ac:dyDescent="0.2">
      <c r="A87" s="11"/>
      <c r="B87" s="13"/>
      <c r="C87" s="9"/>
      <c r="D87" s="9"/>
      <c r="E87" s="21"/>
      <c r="F87" s="9"/>
      <c r="G87" s="21"/>
      <c r="H87" s="9"/>
      <c r="J87" s="9"/>
      <c r="L87" s="9"/>
      <c r="N87" s="9"/>
    </row>
    <row r="88" spans="1:14" x14ac:dyDescent="0.2">
      <c r="A88" s="11"/>
      <c r="B88" s="13"/>
      <c r="C88" s="9"/>
      <c r="D88" s="9"/>
      <c r="E88" s="21"/>
      <c r="F88" s="9"/>
      <c r="G88" s="21"/>
      <c r="H88" s="9"/>
      <c r="J88" s="9"/>
      <c r="L88" s="9"/>
      <c r="N88" s="9"/>
    </row>
    <row r="89" spans="1:14" x14ac:dyDescent="0.2">
      <c r="A89" s="11"/>
      <c r="B89" s="13"/>
      <c r="C89" s="9"/>
      <c r="D89" s="9"/>
      <c r="E89" s="21"/>
      <c r="F89" s="9"/>
      <c r="G89" s="21"/>
      <c r="H89" s="9"/>
      <c r="J89" s="9"/>
      <c r="L89" s="9"/>
      <c r="N89" s="9"/>
    </row>
    <row r="90" spans="1:14" x14ac:dyDescent="0.2">
      <c r="A90" s="23"/>
      <c r="B90" s="13"/>
      <c r="C90" s="9"/>
      <c r="D90" s="9"/>
      <c r="E90" s="21"/>
      <c r="F90" s="9"/>
      <c r="G90" s="21"/>
      <c r="H90" s="9"/>
      <c r="J90" s="9"/>
      <c r="L90" s="9"/>
      <c r="N90" s="9"/>
    </row>
    <row r="91" spans="1:14" x14ac:dyDescent="0.2">
      <c r="A91" s="21"/>
      <c r="B91" s="183"/>
      <c r="C91" s="6"/>
      <c r="D91" s="6"/>
      <c r="F91" s="6"/>
      <c r="H91" s="6"/>
      <c r="J91" s="6"/>
      <c r="L91" s="6"/>
      <c r="N91" s="6"/>
    </row>
    <row r="92" spans="1:14" x14ac:dyDescent="0.2">
      <c r="A92" s="21"/>
    </row>
    <row r="93" spans="1:14" x14ac:dyDescent="0.2">
      <c r="A93" s="21"/>
    </row>
    <row r="94" spans="1:14" x14ac:dyDescent="0.2">
      <c r="A94" s="21"/>
    </row>
    <row r="95" spans="1:14" x14ac:dyDescent="0.2">
      <c r="A95" s="21"/>
    </row>
    <row r="96" spans="1:14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  <row r="110" spans="1:1" x14ac:dyDescent="0.2">
      <c r="A110" s="21"/>
    </row>
    <row r="111" spans="1:1" x14ac:dyDescent="0.2">
      <c r="A111" s="21"/>
    </row>
    <row r="112" spans="1: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  <row r="142" spans="1:1" x14ac:dyDescent="0.2">
      <c r="A142" s="21"/>
    </row>
    <row r="143" spans="1:1" x14ac:dyDescent="0.2">
      <c r="A143" s="21"/>
    </row>
    <row r="144" spans="1:1" x14ac:dyDescent="0.2">
      <c r="A144" s="21"/>
    </row>
    <row r="145" spans="1:1" x14ac:dyDescent="0.2">
      <c r="A145" s="21"/>
    </row>
    <row r="146" spans="1:1" x14ac:dyDescent="0.2">
      <c r="A146" s="21"/>
    </row>
    <row r="147" spans="1:1" x14ac:dyDescent="0.2">
      <c r="A147" s="21"/>
    </row>
  </sheetData>
  <phoneticPr fontId="3" type="noConversion"/>
  <pageMargins left="0.5" right="0.5" top="0.5" bottom="0.5" header="0.5" footer="0.5"/>
  <pageSetup scale="63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Y93"/>
  <sheetViews>
    <sheetView view="pageBreakPreview" zoomScale="70" zoomScaleNormal="85" zoomScaleSheetLayoutView="70" workbookViewId="0">
      <pane xSplit="1" ySplit="9" topLeftCell="B61" activePane="bottomRight" state="frozen"/>
      <selection activeCell="A12" sqref="A12"/>
      <selection pane="topRight" activeCell="A12" sqref="A12"/>
      <selection pane="bottomLeft" activeCell="A12" sqref="A12"/>
      <selection pane="bottomRight" activeCell="K94" sqref="K94"/>
    </sheetView>
  </sheetViews>
  <sheetFormatPr defaultRowHeight="12.75" x14ac:dyDescent="0.2"/>
  <cols>
    <col min="1" max="1" width="36" style="2" customWidth="1"/>
    <col min="2" max="2" width="14.5703125" style="15" customWidth="1"/>
    <col min="3" max="4" width="16" style="15" customWidth="1"/>
    <col min="5" max="5" width="13.7109375" style="15" customWidth="1"/>
    <col min="6" max="6" width="14.42578125" style="15" bestFit="1" customWidth="1"/>
    <col min="7" max="7" width="13.7109375" style="15" customWidth="1"/>
    <col min="8" max="9" width="12.140625" style="2" bestFit="1" customWidth="1"/>
    <col min="10" max="10" width="12.140625" style="2" customWidth="1"/>
    <col min="11" max="11" width="12.140625" style="15" bestFit="1" customWidth="1"/>
    <col min="12" max="12" width="14.85546875" style="15" customWidth="1"/>
    <col min="13" max="17" width="13.7109375" style="15" customWidth="1"/>
    <col min="18" max="22" width="13.7109375" style="2" customWidth="1"/>
    <col min="23" max="24" width="16.140625" style="2" bestFit="1" customWidth="1"/>
    <col min="25" max="28" width="16.140625" style="2" customWidth="1"/>
    <col min="29" max="29" width="16.140625" style="2" bestFit="1" customWidth="1"/>
    <col min="30" max="30" width="13.7109375" style="2" customWidth="1"/>
    <col min="31" max="33" width="13.7109375" style="15" customWidth="1"/>
    <col min="34" max="37" width="18.28515625" style="2" bestFit="1" customWidth="1"/>
    <col min="38" max="42" width="18.28515625" style="15" customWidth="1"/>
    <col min="43" max="43" width="18.28515625" style="15" bestFit="1" customWidth="1"/>
    <col min="44" max="44" width="18.28515625" style="15" customWidth="1"/>
    <col min="45" max="51" width="13.7109375" style="15" customWidth="1"/>
    <col min="52" max="52" width="15.7109375" style="15" customWidth="1"/>
    <col min="53" max="54" width="13.7109375" style="15" customWidth="1"/>
    <col min="55" max="60" width="14.85546875" style="15" customWidth="1"/>
    <col min="61" max="66" width="13.7109375" style="15" customWidth="1"/>
    <col min="67" max="72" width="13.5703125" style="15" customWidth="1"/>
    <col min="73" max="73" width="13.5703125" style="2" customWidth="1"/>
    <col min="74" max="74" width="13.7109375" style="15" customWidth="1"/>
    <col min="75" max="75" width="15" style="15" customWidth="1"/>
    <col min="76" max="76" width="16" style="15" customWidth="1"/>
    <col min="77" max="77" width="12.28515625" style="177" bestFit="1" customWidth="1"/>
    <col min="78" max="16384" width="9.140625" style="15"/>
  </cols>
  <sheetData>
    <row r="1" spans="1:77" x14ac:dyDescent="0.2">
      <c r="A1" s="4" t="s">
        <v>46</v>
      </c>
    </row>
    <row r="2" spans="1:77" s="2" customFormat="1" x14ac:dyDescent="0.2">
      <c r="A2" s="178" t="s">
        <v>292</v>
      </c>
      <c r="BY2" s="72"/>
    </row>
    <row r="3" spans="1:77" s="2" customFormat="1" x14ac:dyDescent="0.2">
      <c r="A3" s="179" t="s">
        <v>347</v>
      </c>
      <c r="BY3" s="72"/>
    </row>
    <row r="4" spans="1:77" s="2" customFormat="1" x14ac:dyDescent="0.2">
      <c r="A4" s="179" t="s">
        <v>387</v>
      </c>
      <c r="BY4" s="72"/>
    </row>
    <row r="5" spans="1:77" s="2" customFormat="1" x14ac:dyDescent="0.2">
      <c r="A5" s="178"/>
      <c r="BY5" s="72"/>
    </row>
    <row r="6" spans="1:77" s="4" customFormat="1" ht="13.5" thickBot="1" x14ac:dyDescent="0.25">
      <c r="A6" s="180"/>
      <c r="G6" s="69"/>
      <c r="H6" s="69"/>
      <c r="I6" s="69"/>
      <c r="J6" s="69"/>
      <c r="K6" s="69"/>
      <c r="P6" s="69"/>
      <c r="AS6" s="69"/>
      <c r="BB6" s="69"/>
      <c r="BY6" s="73"/>
    </row>
    <row r="7" spans="1:77" s="181" customFormat="1" ht="13.5" thickBot="1" x14ac:dyDescent="0.25">
      <c r="A7" s="4"/>
      <c r="B7" s="41"/>
      <c r="C7" s="312" t="s">
        <v>37</v>
      </c>
      <c r="D7" s="314"/>
      <c r="E7" s="314"/>
      <c r="F7" s="314"/>
      <c r="G7" s="314"/>
      <c r="H7" s="314"/>
      <c r="I7" s="313"/>
      <c r="J7" s="312" t="s">
        <v>37</v>
      </c>
      <c r="K7" s="313"/>
      <c r="L7" s="312" t="s">
        <v>271</v>
      </c>
      <c r="M7" s="314"/>
      <c r="N7" s="314"/>
      <c r="O7" s="314"/>
      <c r="P7" s="314"/>
      <c r="Q7" s="313"/>
      <c r="R7" s="312" t="s">
        <v>271</v>
      </c>
      <c r="S7" s="314"/>
      <c r="T7" s="314"/>
      <c r="U7" s="314"/>
      <c r="V7" s="314"/>
      <c r="W7" s="314"/>
      <c r="X7" s="313"/>
      <c r="Y7" s="312" t="s">
        <v>271</v>
      </c>
      <c r="Z7" s="314"/>
      <c r="AA7" s="314"/>
      <c r="AB7" s="314"/>
      <c r="AC7" s="313"/>
      <c r="AD7" s="312" t="s">
        <v>331</v>
      </c>
      <c r="AE7" s="313"/>
      <c r="AF7" s="312" t="s">
        <v>331</v>
      </c>
      <c r="AG7" s="314"/>
      <c r="AH7" s="312" t="s">
        <v>254</v>
      </c>
      <c r="AI7" s="314"/>
      <c r="AJ7" s="314"/>
      <c r="AK7" s="313"/>
      <c r="AL7" s="312" t="s">
        <v>254</v>
      </c>
      <c r="AM7" s="314"/>
      <c r="AN7" s="314"/>
      <c r="AO7" s="314"/>
      <c r="AP7" s="314"/>
      <c r="AQ7" s="313"/>
      <c r="AR7" s="305" t="s">
        <v>341</v>
      </c>
      <c r="AS7" s="312" t="s">
        <v>39</v>
      </c>
      <c r="AT7" s="314"/>
      <c r="AU7" s="314"/>
      <c r="AV7" s="314"/>
      <c r="AW7" s="314"/>
      <c r="AX7" s="314"/>
      <c r="AY7" s="314" t="s">
        <v>39</v>
      </c>
      <c r="AZ7" s="314"/>
      <c r="BA7" s="313"/>
      <c r="BB7" s="312" t="s">
        <v>40</v>
      </c>
      <c r="BC7" s="314"/>
      <c r="BD7" s="314"/>
      <c r="BE7" s="314"/>
      <c r="BF7" s="314" t="s">
        <v>40</v>
      </c>
      <c r="BG7" s="314"/>
      <c r="BH7" s="314"/>
      <c r="BI7" s="314"/>
      <c r="BJ7" s="314"/>
      <c r="BK7" s="314"/>
      <c r="BL7" s="314"/>
      <c r="BM7" s="314"/>
      <c r="BN7" s="312" t="s">
        <v>40</v>
      </c>
      <c r="BO7" s="314"/>
      <c r="BP7" s="314"/>
      <c r="BQ7" s="314"/>
      <c r="BR7" s="314"/>
      <c r="BS7" s="314"/>
      <c r="BT7" s="314"/>
      <c r="BU7" s="314"/>
      <c r="BV7" s="296" t="s">
        <v>346</v>
      </c>
      <c r="BW7" s="312" t="s">
        <v>312</v>
      </c>
      <c r="BX7" s="313"/>
      <c r="BY7" s="182"/>
    </row>
    <row r="8" spans="1:77" x14ac:dyDescent="0.2">
      <c r="B8" s="83"/>
      <c r="C8" s="84" t="str">
        <f>'Restating Adj'!C8</f>
        <v>3.1</v>
      </c>
      <c r="D8" s="79" t="str">
        <f>'Restating Adj'!D8</f>
        <v>3.2</v>
      </c>
      <c r="E8" s="79" t="str">
        <f>'Restating Adj'!E8</f>
        <v>3.3</v>
      </c>
      <c r="F8" s="79" t="str">
        <f>'Restating Adj'!F8</f>
        <v>3.4</v>
      </c>
      <c r="G8" s="79" t="str">
        <f>'Restating Adj'!G8</f>
        <v>3.5</v>
      </c>
      <c r="H8" s="79" t="str">
        <f>'Restating Adj'!H8</f>
        <v>3.6</v>
      </c>
      <c r="I8" s="80" t="str">
        <f>'Restating Adj'!I8</f>
        <v>3.7</v>
      </c>
      <c r="J8" s="84" t="str">
        <f>'Restating Adj'!J8</f>
        <v>3.8</v>
      </c>
      <c r="K8" s="80" t="str">
        <f>'Restating Adj'!K8</f>
        <v>3.9</v>
      </c>
      <c r="L8" s="28" t="str">
        <f>'Restating Adj'!L8</f>
        <v>4.1</v>
      </c>
      <c r="M8" s="81" t="str">
        <f>'Restating Adj'!M8</f>
        <v>4.2</v>
      </c>
      <c r="N8" s="81" t="str">
        <f>'Restating Adj'!N8</f>
        <v>4.3</v>
      </c>
      <c r="O8" s="81" t="str">
        <f>'Restating Adj'!O8</f>
        <v>4.4</v>
      </c>
      <c r="P8" s="81" t="str">
        <f>'Restating Adj'!P8</f>
        <v>4.5</v>
      </c>
      <c r="Q8" s="82" t="str">
        <f>'Restating Adj'!Q8</f>
        <v>4.6</v>
      </c>
      <c r="R8" s="28" t="str">
        <f>'Restating Adj'!R8</f>
        <v>4.7</v>
      </c>
      <c r="S8" s="81" t="str">
        <f>'Restating Adj'!S8</f>
        <v>4.8</v>
      </c>
      <c r="T8" s="81" t="str">
        <f>'Restating Adj'!T8</f>
        <v>4.9</v>
      </c>
      <c r="U8" s="81" t="str">
        <f>'Restating Adj'!U8</f>
        <v>4.10</v>
      </c>
      <c r="V8" s="81" t="str">
        <f>'Restating Adj'!V8</f>
        <v>4.11</v>
      </c>
      <c r="W8" s="81" t="str">
        <f>'Restating Adj'!W8</f>
        <v>4.11.1</v>
      </c>
      <c r="X8" s="82" t="str">
        <f>'Restating Adj'!X8</f>
        <v>4.12</v>
      </c>
      <c r="Y8" s="28" t="str">
        <f>'Restating Adj'!Y8</f>
        <v>4.13.1</v>
      </c>
      <c r="Z8" s="81" t="str">
        <f>'Restating Adj'!Z8</f>
        <v>4.13.2</v>
      </c>
      <c r="AA8" s="81" t="str">
        <f>'Restating Adj'!AA8</f>
        <v>4.13.3</v>
      </c>
      <c r="AB8" s="81" t="str">
        <f>'Restating Adj'!AB8</f>
        <v>4.13.4</v>
      </c>
      <c r="AC8" s="82" t="str">
        <f>'Restating Adj'!AC8</f>
        <v>4.13.5</v>
      </c>
      <c r="AD8" s="28" t="str">
        <f>'Restating Adj'!AD8</f>
        <v>5.1</v>
      </c>
      <c r="AE8" s="82" t="str">
        <f>'Restating Adj'!AE8</f>
        <v>5.1.1</v>
      </c>
      <c r="AF8" s="28" t="str">
        <f>'Restating Adj'!AF8</f>
        <v>5.2</v>
      </c>
      <c r="AG8" s="81" t="str">
        <f>'Restating Adj'!AG8</f>
        <v>5.3</v>
      </c>
      <c r="AH8" s="28" t="str">
        <f>'Restating Adj'!AH8</f>
        <v>6.1</v>
      </c>
      <c r="AI8" s="79" t="str">
        <f>'Restating Adj'!AI8</f>
        <v>6.2</v>
      </c>
      <c r="AJ8" s="79" t="str">
        <f>'Restating Adj'!AJ8</f>
        <v>6.2.1</v>
      </c>
      <c r="AK8" s="80" t="str">
        <f>'Restating Adj'!AK8</f>
        <v>6.2.2</v>
      </c>
      <c r="AL8" s="84" t="str">
        <f>'Restating Adj'!AL8</f>
        <v>6.3</v>
      </c>
      <c r="AM8" s="79" t="str">
        <f>'Restating Adj'!AM8</f>
        <v>6.3.1</v>
      </c>
      <c r="AN8" s="79" t="str">
        <f>'Restating Adj'!AN8</f>
        <v>6.3.2</v>
      </c>
      <c r="AO8" s="79" t="str">
        <f>'Restating Adj'!AO8</f>
        <v>6.4</v>
      </c>
      <c r="AP8" s="79" t="str">
        <f>'Restating Adj'!AP8</f>
        <v>6.4.1</v>
      </c>
      <c r="AQ8" s="80" t="str">
        <f>'Restating Adj'!AQ8</f>
        <v>6.4.2</v>
      </c>
      <c r="AR8" s="79" t="s">
        <v>340</v>
      </c>
      <c r="AS8" s="84" t="str">
        <f>'Restating Adj'!AS8</f>
        <v>7.1</v>
      </c>
      <c r="AT8" s="79" t="str">
        <f>'Restating Adj'!AT8</f>
        <v>7.2</v>
      </c>
      <c r="AU8" s="79" t="str">
        <f>'Restating Adj'!AU8</f>
        <v>7.3</v>
      </c>
      <c r="AV8" s="79" t="str">
        <f>'Restating Adj'!AV8</f>
        <v>7.4</v>
      </c>
      <c r="AW8" s="79" t="str">
        <f>'Restating Adj'!AW8</f>
        <v>7.5</v>
      </c>
      <c r="AX8" s="79" t="str">
        <f>'Restating Adj'!AX8</f>
        <v>7.6</v>
      </c>
      <c r="AY8" s="28" t="str">
        <f>'Restating Adj'!AY8</f>
        <v>7.6.1</v>
      </c>
      <c r="AZ8" s="79" t="str">
        <f>'Restating Adj'!AZ8</f>
        <v>7.7</v>
      </c>
      <c r="BA8" s="79" t="str">
        <f>'Restating Adj'!BA8</f>
        <v>7.8</v>
      </c>
      <c r="BB8" s="28" t="str">
        <f>'Restating Adj'!BB8</f>
        <v>8.1</v>
      </c>
      <c r="BC8" s="81" t="str">
        <f>'Restating Adj'!BC8</f>
        <v>8.2</v>
      </c>
      <c r="BD8" s="81" t="str">
        <f>'Restating Adj'!BD8</f>
        <v>8.3</v>
      </c>
      <c r="BE8" s="81" t="str">
        <f>'Restating Adj'!BE8</f>
        <v>8.4</v>
      </c>
      <c r="BF8" s="28" t="str">
        <f>'Restating Adj'!BF8</f>
        <v>8.4.1</v>
      </c>
      <c r="BG8" s="81" t="str">
        <f>'Restating Adj'!BG8</f>
        <v>8.5</v>
      </c>
      <c r="BH8" s="81" t="str">
        <f>'Restating Adj'!BH8</f>
        <v>8.5.1</v>
      </c>
      <c r="BI8" s="81" t="str">
        <f>'Restating Adj'!BI8</f>
        <v>8.6</v>
      </c>
      <c r="BJ8" s="81" t="str">
        <f>'Restating Adj'!BJ8</f>
        <v>8.7</v>
      </c>
      <c r="BK8" s="81" t="str">
        <f>'Restating Adj'!BK8</f>
        <v>8.8</v>
      </c>
      <c r="BL8" s="81" t="str">
        <f>'Restating Adj'!BL8</f>
        <v>8.9</v>
      </c>
      <c r="BM8" s="81" t="str">
        <f>'Restating Adj'!BM8</f>
        <v>8.10</v>
      </c>
      <c r="BN8" s="28" t="str">
        <f>'Restating Adj'!BN8</f>
        <v>8.11</v>
      </c>
      <c r="BO8" s="81" t="str">
        <f>'Restating Adj'!BO8</f>
        <v>8.12</v>
      </c>
      <c r="BP8" s="81" t="str">
        <f>'Restating Adj'!BP8</f>
        <v>8.12.1</v>
      </c>
      <c r="BQ8" s="81" t="str">
        <f>'Restating Adj'!BQ8</f>
        <v>8.12.2</v>
      </c>
      <c r="BR8" s="81" t="str">
        <f>'Restating Adj'!BR8</f>
        <v>8.12.3</v>
      </c>
      <c r="BS8" s="81" t="str">
        <f>'Restating Adj'!BS8</f>
        <v>8.12.4</v>
      </c>
      <c r="BT8" s="81" t="str">
        <f>'Restating Adj'!BT8</f>
        <v>8.12.5</v>
      </c>
      <c r="BU8" s="81" t="str">
        <f>'Restating Adj'!BU8</f>
        <v>8.12.6</v>
      </c>
      <c r="BV8" s="297" t="str">
        <f>'Restating Adj'!BV8</f>
        <v>8.13</v>
      </c>
      <c r="BW8" s="28" t="str">
        <f>'Restating Adj'!BW8</f>
        <v>9.1</v>
      </c>
      <c r="BX8" s="82" t="str">
        <f>'Restating Adj'!BX8</f>
        <v>9.1.1</v>
      </c>
    </row>
    <row r="9" spans="1:77" s="183" customFormat="1" ht="102" x14ac:dyDescent="0.2">
      <c r="A9" s="14"/>
      <c r="B9" s="85" t="s">
        <v>172</v>
      </c>
      <c r="C9" s="113" t="str">
        <f>'Restating Adj'!C9</f>
        <v>Temperature Normalization</v>
      </c>
      <c r="D9" s="116" t="str">
        <f>'Restating Adj'!D9</f>
        <v>Revenue Normalization</v>
      </c>
      <c r="E9" s="116" t="str">
        <f>'Restating Adj'!E9</f>
        <v>Effective Price Change</v>
      </c>
      <c r="F9" s="116" t="str">
        <f>'Restating Adj'!F9</f>
        <v>SO2 Emission Allowance Sales</v>
      </c>
      <c r="G9" s="116" t="str">
        <f>'Restating Adj'!G9</f>
        <v>Renewable Energy Credit and Renewable Energy Attribute Revenue</v>
      </c>
      <c r="H9" s="116" t="str">
        <f>'Restating Adj'!H9</f>
        <v>Wheeling Revenue</v>
      </c>
      <c r="I9" s="114" t="str">
        <f>'Restating Adj'!I9</f>
        <v>Ancillary Revenue</v>
      </c>
      <c r="J9" s="113" t="str">
        <f>'Restating Adj'!J9</f>
        <v>Schedule 300 Fee Change</v>
      </c>
      <c r="K9" s="114" t="str">
        <f>'Restating Adj'!K9</f>
        <v>Wind Wake Loss Revenues</v>
      </c>
      <c r="L9" s="113" t="str">
        <f>'Restating Adj'!L9</f>
        <v>Miscellan -eous Expense &amp; Revenue</v>
      </c>
      <c r="M9" s="116" t="str">
        <f>'Restating Adj'!M9</f>
        <v>General Wage Increase - Restating</v>
      </c>
      <c r="N9" s="116" t="str">
        <f>'Restating Adj'!N9</f>
        <v>General Wage Increase - Pro Forma</v>
      </c>
      <c r="O9" s="116" t="str">
        <f>'Restating Adj'!O9</f>
        <v>Irrigation Load Control Program</v>
      </c>
      <c r="P9" s="116" t="str">
        <f>'Restating Adj'!P9</f>
        <v>Remove Non-Recurring Entries</v>
      </c>
      <c r="Q9" s="114" t="str">
        <f>'Restating Adj'!Q9</f>
        <v>DSM Revenue and Expense Removal</v>
      </c>
      <c r="R9" s="113" t="str">
        <f>'Restating Adj'!R9</f>
        <v>Insurance Expense</v>
      </c>
      <c r="S9" s="116" t="str">
        <f>'Restating Adj'!S9</f>
        <v>Advertising</v>
      </c>
      <c r="T9" s="116" t="str">
        <f>'Restating Adj'!T9</f>
        <v>Memberships &amp; Subscriptions</v>
      </c>
      <c r="U9" s="116" t="str">
        <f>'Restating Adj'!U9</f>
        <v>Uncollectible Expense</v>
      </c>
      <c r="V9" s="116" t="str">
        <f>'Restating Adj'!V9</f>
        <v>Legal Expenses</v>
      </c>
      <c r="W9" s="116" t="str">
        <f>'Restating Adj'!W9</f>
        <v>(Cont.) Legal Expenses</v>
      </c>
      <c r="X9" s="114" t="str">
        <f>'Restating Adj'!X9</f>
        <v xml:space="preserve">Collection Agency Fees </v>
      </c>
      <c r="Y9" s="113" t="str">
        <f>'Restating Adj'!Y9</f>
        <v xml:space="preserve">IHS Global Insight Escalation </v>
      </c>
      <c r="Z9" s="116" t="str">
        <f>'Restating Adj'!Z9</f>
        <v xml:space="preserve">(Cont.) IHS Global Insight Escalation </v>
      </c>
      <c r="AA9" s="116" t="str">
        <f>'Restating Adj'!AA9</f>
        <v>(Cont. 2) IHS Global Insight Escalation</v>
      </c>
      <c r="AB9" s="116" t="str">
        <f>'Restating Adj'!AB9</f>
        <v>(Cont. 3) IHS Global Insight Escalation</v>
      </c>
      <c r="AC9" s="114" t="str">
        <f>'Restating Adj'!AC9</f>
        <v xml:space="preserve">(Cont. 4) IHS Global Insight Escalation </v>
      </c>
      <c r="AD9" s="113" t="str">
        <f>'Restating Adj'!AD9</f>
        <v>Net Power Costs - Restating</v>
      </c>
      <c r="AE9" s="114" t="str">
        <f>'Restating Adj'!AE9</f>
        <v>Net Power Costs - Pro Forma</v>
      </c>
      <c r="AF9" s="113" t="str">
        <f>'Restating Adj'!AF9</f>
        <v>James River Royalty Offset</v>
      </c>
      <c r="AG9" s="116" t="str">
        <f>'Restating Adj'!AG9</f>
        <v>Colstrip #3 Removal</v>
      </c>
      <c r="AH9" s="113" t="str">
        <f>'Restating Adj'!AH9</f>
        <v>Hydro Decommission -ing</v>
      </c>
      <c r="AI9" s="116" t="str">
        <f>'Restating Adj'!AI9</f>
        <v>Depreciation and Amortization Reserve to December 2013 Balance</v>
      </c>
      <c r="AJ9" s="116" t="str">
        <f>'Restating Adj'!AJ9</f>
        <v>(cont.) Depreciation and Amortization Reserve to December 2013 Balance</v>
      </c>
      <c r="AK9" s="114" t="str">
        <f>'Restating Adj'!AK9</f>
        <v>(cont. 2) Depreciation and Amortization Reserve to December 2013 Balance</v>
      </c>
      <c r="AL9" s="113" t="str">
        <f>'Restating Adj'!AL9</f>
        <v>Depreciation Study &amp; Annual Depreciation</v>
      </c>
      <c r="AM9" s="116" t="str">
        <f>'Restating Adj'!AM9</f>
        <v>(Cont.) Depreciation Study</v>
      </c>
      <c r="AN9" s="116" t="str">
        <f>'Restating Adj'!AN9</f>
        <v>(Cont. 2) Depreciation Study</v>
      </c>
      <c r="AO9" s="116" t="str">
        <f>'Restating Adj'!AO9</f>
        <v>Vehicle Depreciation -  Depreciation Study</v>
      </c>
      <c r="AP9" s="116" t="str">
        <f>'Restating Adj'!AP9</f>
        <v>(Cont.) Vehicle Depreication - Depreciation Study</v>
      </c>
      <c r="AQ9" s="114" t="str">
        <f>'Restating Adj'!AQ9</f>
        <v>(Cont. 2) Vehicle Depreciation -  Depreciation Study</v>
      </c>
      <c r="AR9" s="116" t="str">
        <f>'Restating Adj'!AR9</f>
        <v xml:space="preserve">Retired Assets Depreciation Expense Removal </v>
      </c>
      <c r="AS9" s="308" t="str">
        <f>'Restating Adj'!AS9</f>
        <v>Interest True Up</v>
      </c>
      <c r="AT9" s="116" t="str">
        <f>'Restating Adj'!AT9</f>
        <v>Property Tax Expense</v>
      </c>
      <c r="AU9" s="116" t="str">
        <f>'Restating Adj'!AU9</f>
        <v>Renewable Energy Tax Credit</v>
      </c>
      <c r="AV9" s="116" t="str">
        <f>'Restating Adj'!AV9</f>
        <v>PowerTax ADIT Balance</v>
      </c>
      <c r="AW9" s="116" t="str">
        <f>'Restating Adj'!AW9</f>
        <v>WA Low Income Tax Credit</v>
      </c>
      <c r="AX9" s="116" t="str">
        <f>'Restating Adj'!AX9</f>
        <v>Flow-Through Adjustment</v>
      </c>
      <c r="AY9" s="113" t="str">
        <f>'Restating Adj'!AY9</f>
        <v>(cont.) Flow-Through Adjustment</v>
      </c>
      <c r="AZ9" s="116" t="str">
        <f>'Restating Adj'!AZ9</f>
        <v>Remove Deferred State Tax Expense &amp; Balance</v>
      </c>
      <c r="BA9" s="116" t="str">
        <f>'Restating Adj'!BA9</f>
        <v>WA Public Utility Tax Adjustment</v>
      </c>
      <c r="BB9" s="113" t="str">
        <f>'Restating Adj'!BB9</f>
        <v>Jim Bridger Mine Rate Base</v>
      </c>
      <c r="BC9" s="116" t="str">
        <f>'Restating Adj'!BC9</f>
        <v>Environmental Remediation</v>
      </c>
      <c r="BD9" s="116" t="str">
        <f>'Restating Adj'!BD9</f>
        <v>Customer Advances for Construction</v>
      </c>
      <c r="BE9" s="116" t="str">
        <f>'Restating Adj'!BE9</f>
        <v>Major Plant Additions</v>
      </c>
      <c r="BF9" s="113" t="str">
        <f>'Restating Adj'!BF9</f>
        <v>(Cont.) Major Plant Additions</v>
      </c>
      <c r="BG9" s="116" t="str">
        <f>'Restating Adj'!BG9</f>
        <v>Miscellan -eous Rate Base</v>
      </c>
      <c r="BH9" s="116" t="str">
        <f>'Restating Adj'!BH9</f>
        <v>(cont.) Miscellaneous Rate Base</v>
      </c>
      <c r="BI9" s="116" t="str">
        <f>'Restating Adj'!BI9</f>
        <v>Powerdale Hydro Removal</v>
      </c>
      <c r="BJ9" s="116" t="str">
        <f>'Restating Adj'!BJ9</f>
        <v>Removal of Colstrip #4 AFUDC</v>
      </c>
      <c r="BK9" s="116" t="str">
        <f>'Restating Adj'!BK9</f>
        <v>Trojan Unrecover -ed Plant</v>
      </c>
      <c r="BL9" s="116" t="str">
        <f>'Restating Adj'!BL9</f>
        <v>Customer Service Deposits</v>
      </c>
      <c r="BM9" s="116" t="str">
        <f>'Restating Adj'!BM9</f>
        <v>Reg Asset Amortiz -ation</v>
      </c>
      <c r="BN9" s="113" t="str">
        <f>'Restating Adj'!BN9</f>
        <v>Misc. Asset Sales and Removals</v>
      </c>
      <c r="BO9" s="116" t="str">
        <f>'Restating Adj'!BO9</f>
        <v>Adjust December 2013 AMA Plant Balances to December 2013 Balance</v>
      </c>
      <c r="BP9" s="116" t="str">
        <f>'Restating Adj'!BP9</f>
        <v>(cont.) Adjust December 2013 AMA Plant Balances to December 2013 Balance</v>
      </c>
      <c r="BQ9" s="116" t="str">
        <f>'Restating Adj'!BQ9</f>
        <v>(cont. 2) Adjust December 2013 AMA Plant Balances to December 2013 Balance</v>
      </c>
      <c r="BR9" s="116" t="str">
        <f>'Restating Adj'!BR9</f>
        <v>(cont. 3) Adjust December 2013 AMA Plant Balances to December 2013 Balance</v>
      </c>
      <c r="BS9" s="116" t="str">
        <f>'Restating Adj'!BS9</f>
        <v>(cont. 4) Adjust December 2013 AMA Plant Balances to December 2013 Balance</v>
      </c>
      <c r="BT9" s="116" t="str">
        <f>'Restating Adj'!BT9</f>
        <v>(cont. 5) Adjust December 2013 AMA Plant Balances to December 2013 Balance</v>
      </c>
      <c r="BU9" s="116" t="str">
        <f>'Restating Adj'!BU9</f>
        <v>(cont. 6) Adjust December 2013 AMA Plant Balances to December 2013 Balance</v>
      </c>
      <c r="BV9" s="298" t="str">
        <f>'Restating Adj'!BV9</f>
        <v>Investor Supplied Working Capital</v>
      </c>
      <c r="BW9" s="113" t="str">
        <f>'Restating Adj'!BW9</f>
        <v>Production Factor</v>
      </c>
      <c r="BX9" s="114" t="str">
        <f>'Restating Adj'!BX9</f>
        <v>(Cont.) Production Factor</v>
      </c>
      <c r="BY9" s="184"/>
    </row>
    <row r="10" spans="1:77" x14ac:dyDescent="0.2">
      <c r="B10" s="185"/>
      <c r="C10" s="39"/>
      <c r="D10" s="12"/>
      <c r="E10" s="12"/>
      <c r="F10" s="12"/>
      <c r="G10" s="12"/>
      <c r="H10" s="65"/>
      <c r="I10" s="87"/>
      <c r="J10" s="89"/>
      <c r="K10" s="87"/>
      <c r="L10" s="29"/>
      <c r="M10" s="12"/>
      <c r="N10" s="12"/>
      <c r="O10" s="12"/>
      <c r="P10" s="65"/>
      <c r="Q10" s="86"/>
      <c r="R10" s="89"/>
      <c r="S10" s="65"/>
      <c r="T10" s="65"/>
      <c r="U10" s="65"/>
      <c r="V10" s="65"/>
      <c r="W10" s="65"/>
      <c r="X10" s="87"/>
      <c r="Y10" s="89"/>
      <c r="Z10" s="65"/>
      <c r="AA10" s="65"/>
      <c r="AB10" s="65"/>
      <c r="AC10" s="87"/>
      <c r="AD10" s="29"/>
      <c r="AE10" s="86"/>
      <c r="AF10" s="29"/>
      <c r="AG10" s="12"/>
      <c r="AH10" s="29"/>
      <c r="AI10" s="12"/>
      <c r="AJ10" s="12"/>
      <c r="AK10" s="86"/>
      <c r="AL10" s="29"/>
      <c r="AM10" s="12"/>
      <c r="AN10" s="12"/>
      <c r="AO10" s="12"/>
      <c r="AP10" s="12"/>
      <c r="AQ10" s="86"/>
      <c r="AR10" s="12"/>
      <c r="AS10" s="89"/>
      <c r="AT10" s="65"/>
      <c r="AU10" s="12"/>
      <c r="AV10" s="12"/>
      <c r="AW10" s="12"/>
      <c r="AX10" s="12"/>
      <c r="AY10" s="29"/>
      <c r="AZ10" s="12"/>
      <c r="BA10" s="12"/>
      <c r="BB10" s="29"/>
      <c r="BC10" s="65"/>
      <c r="BD10" s="65"/>
      <c r="BE10" s="65"/>
      <c r="BF10" s="89"/>
      <c r="BG10" s="65"/>
      <c r="BH10" s="12"/>
      <c r="BI10" s="65"/>
      <c r="BJ10" s="65"/>
      <c r="BK10" s="65"/>
      <c r="BL10" s="65"/>
      <c r="BM10" s="65"/>
      <c r="BN10" s="89"/>
      <c r="BO10" s="65"/>
      <c r="BP10" s="65"/>
      <c r="BQ10" s="65"/>
      <c r="BR10" s="65"/>
      <c r="BS10" s="65"/>
      <c r="BT10" s="65"/>
      <c r="BU10" s="65"/>
      <c r="BV10" s="185"/>
      <c r="BW10" s="89"/>
      <c r="BX10" s="87"/>
    </row>
    <row r="11" spans="1:77" x14ac:dyDescent="0.2">
      <c r="A11" s="14" t="s">
        <v>49</v>
      </c>
      <c r="B11" s="88"/>
      <c r="C11" s="29"/>
      <c r="D11" s="12"/>
      <c r="E11" s="12"/>
      <c r="F11" s="12"/>
      <c r="G11" s="12"/>
      <c r="H11" s="12"/>
      <c r="I11" s="86"/>
      <c r="J11" s="29"/>
      <c r="K11" s="86"/>
      <c r="L11" s="29"/>
      <c r="M11" s="12"/>
      <c r="N11" s="12"/>
      <c r="O11" s="12"/>
      <c r="P11" s="12"/>
      <c r="Q11" s="86"/>
      <c r="R11" s="29"/>
      <c r="S11" s="12"/>
      <c r="T11" s="12"/>
      <c r="U11" s="12"/>
      <c r="V11" s="12"/>
      <c r="W11" s="12"/>
      <c r="X11" s="86"/>
      <c r="Y11" s="29"/>
      <c r="Z11" s="12"/>
      <c r="AA11" s="12"/>
      <c r="AB11" s="12"/>
      <c r="AC11" s="86"/>
      <c r="AD11" s="29"/>
      <c r="AE11" s="86"/>
      <c r="AF11" s="29"/>
      <c r="AG11" s="12"/>
      <c r="AH11" s="29"/>
      <c r="AI11" s="12"/>
      <c r="AJ11" s="12"/>
      <c r="AK11" s="86"/>
      <c r="AL11" s="29"/>
      <c r="AM11" s="12"/>
      <c r="AN11" s="12"/>
      <c r="AO11" s="12"/>
      <c r="AP11" s="12"/>
      <c r="AQ11" s="86"/>
      <c r="AR11" s="12"/>
      <c r="AS11" s="29"/>
      <c r="AT11" s="12"/>
      <c r="AU11" s="12"/>
      <c r="AV11" s="12"/>
      <c r="AW11" s="12"/>
      <c r="AX11" s="12"/>
      <c r="AY11" s="29"/>
      <c r="AZ11" s="12"/>
      <c r="BA11" s="12"/>
      <c r="BB11" s="29"/>
      <c r="BC11" s="12"/>
      <c r="BD11" s="12"/>
      <c r="BE11" s="12"/>
      <c r="BF11" s="29"/>
      <c r="BG11" s="12"/>
      <c r="BH11" s="12"/>
      <c r="BI11" s="12"/>
      <c r="BJ11" s="12"/>
      <c r="BK11" s="12"/>
      <c r="BL11" s="12"/>
      <c r="BM11" s="12"/>
      <c r="BN11" s="29"/>
      <c r="BO11" s="12"/>
      <c r="BP11" s="12"/>
      <c r="BQ11" s="12"/>
      <c r="BR11" s="12"/>
      <c r="BS11" s="12"/>
      <c r="BT11" s="12"/>
      <c r="BU11" s="12"/>
      <c r="BV11" s="88"/>
      <c r="BW11" s="29"/>
      <c r="BX11" s="86"/>
    </row>
    <row r="12" spans="1:77" x14ac:dyDescent="0.2">
      <c r="A12" s="14" t="s">
        <v>50</v>
      </c>
      <c r="B12" s="100">
        <f>SUM(C12:BX12)</f>
        <v>3905479.1195230857</v>
      </c>
      <c r="C12" s="31">
        <f>'Restating Adj'!C12+'Pro Forma Adj'!C12</f>
        <v>-5692761.2699999996</v>
      </c>
      <c r="D12" s="90">
        <f>'Restating Adj'!D12+'Pro Forma Adj'!D12</f>
        <v>-7427584.4312790008</v>
      </c>
      <c r="E12" s="90">
        <f>'Restating Adj'!E12+'Pro Forma Adj'!E12</f>
        <v>17025824.820802085</v>
      </c>
      <c r="F12" s="90">
        <f>'Restating Adj'!F12+'Pro Forma Adj'!F12</f>
        <v>0</v>
      </c>
      <c r="G12" s="90">
        <f>'Restating Adj'!G12+'Pro Forma Adj'!G12</f>
        <v>0</v>
      </c>
      <c r="H12" s="90">
        <f>'Restating Adj'!H12+'Pro Forma Adj'!H12</f>
        <v>0</v>
      </c>
      <c r="I12" s="91">
        <f>'Restating Adj'!I12+'Pro Forma Adj'!I12</f>
        <v>0</v>
      </c>
      <c r="J12" s="30">
        <f>'Restating Adj'!J12+'Pro Forma Adj'!J12</f>
        <v>0</v>
      </c>
      <c r="K12" s="91">
        <f>'Restating Adj'!K12+'Pro Forma Adj'!K12</f>
        <v>0</v>
      </c>
      <c r="L12" s="30">
        <f>'Restating Adj'!L12+'Pro Forma Adj'!L12</f>
        <v>0</v>
      </c>
      <c r="M12" s="90">
        <f>'Restating Adj'!M12+'Pro Forma Adj'!M12</f>
        <v>0</v>
      </c>
      <c r="N12" s="90">
        <f>'Restating Adj'!N12+'Pro Forma Adj'!N12</f>
        <v>0</v>
      </c>
      <c r="O12" s="90">
        <f>'Restating Adj'!O12+'Pro Forma Adj'!O12</f>
        <v>0</v>
      </c>
      <c r="P12" s="92">
        <f>'Restating Adj'!P12+'Pro Forma Adj'!P12</f>
        <v>0</v>
      </c>
      <c r="Q12" s="91">
        <f>'Restating Adj'!Q12+'Pro Forma Adj'!Q12</f>
        <v>0</v>
      </c>
      <c r="R12" s="30">
        <f>'Restating Adj'!R12+'Pro Forma Adj'!R12</f>
        <v>0</v>
      </c>
      <c r="S12" s="90">
        <f>'Restating Adj'!S12+'Pro Forma Adj'!S12</f>
        <v>0</v>
      </c>
      <c r="T12" s="90">
        <f>'Restating Adj'!T12+'Pro Forma Adj'!T12</f>
        <v>0</v>
      </c>
      <c r="U12" s="90">
        <f>'Restating Adj'!U12+'Pro Forma Adj'!U12</f>
        <v>0</v>
      </c>
      <c r="V12" s="90">
        <f>'Restating Adj'!V12+'Pro Forma Adj'!V12</f>
        <v>0</v>
      </c>
      <c r="W12" s="90">
        <f>'Restating Adj'!W12+'Pro Forma Adj'!W12</f>
        <v>0</v>
      </c>
      <c r="X12" s="91">
        <f>'Restating Adj'!X12+'Pro Forma Adj'!X12</f>
        <v>0</v>
      </c>
      <c r="Y12" s="30">
        <f>'Restating Adj'!Y12+'Pro Forma Adj'!Y12</f>
        <v>0</v>
      </c>
      <c r="Z12" s="90">
        <f>'Restating Adj'!Z12+'Pro Forma Adj'!Z12</f>
        <v>0</v>
      </c>
      <c r="AA12" s="90">
        <f>'Restating Adj'!AA12+'Pro Forma Adj'!AA12</f>
        <v>0</v>
      </c>
      <c r="AB12" s="90">
        <f>'Restating Adj'!AB12+'Pro Forma Adj'!AB12</f>
        <v>0</v>
      </c>
      <c r="AC12" s="91">
        <f>'Restating Adj'!AC12+'Pro Forma Adj'!AC12</f>
        <v>0</v>
      </c>
      <c r="AD12" s="30">
        <f>'Restating Adj'!AD12+'Pro Forma Adj'!AD12</f>
        <v>0</v>
      </c>
      <c r="AE12" s="91">
        <f>'Restating Adj'!AE12+'Pro Forma Adj'!AE12</f>
        <v>0</v>
      </c>
      <c r="AF12" s="30">
        <f>'Restating Adj'!AF12+'Pro Forma Adj'!AF12</f>
        <v>0</v>
      </c>
      <c r="AG12" s="90">
        <f>'Restating Adj'!AG12+'Pro Forma Adj'!AG12</f>
        <v>0</v>
      </c>
      <c r="AH12" s="31">
        <f>'Restating Adj'!AH12+'Pro Forma Adj'!AH12</f>
        <v>0</v>
      </c>
      <c r="AI12" s="92">
        <f>'Restating Adj'!AI12+'Pro Forma Adj'!AI12</f>
        <v>0</v>
      </c>
      <c r="AJ12" s="92">
        <f>'Restating Adj'!AJ12+'Pro Forma Adj'!AJ12</f>
        <v>0</v>
      </c>
      <c r="AK12" s="93">
        <f>'Restating Adj'!AK12+'Pro Forma Adj'!AK12</f>
        <v>0</v>
      </c>
      <c r="AL12" s="31">
        <f>'Restating Adj'!AL12+'Pro Forma Adj'!AL12</f>
        <v>0</v>
      </c>
      <c r="AM12" s="92">
        <f>'Restating Adj'!AM12+'Pro Forma Adj'!AM12</f>
        <v>0</v>
      </c>
      <c r="AN12" s="92">
        <f>'Restating Adj'!AN12+'Pro Forma Adj'!AN12</f>
        <v>0</v>
      </c>
      <c r="AO12" s="92">
        <f>'Restating Adj'!AO12+'Pro Forma Adj'!AO12</f>
        <v>0</v>
      </c>
      <c r="AP12" s="92">
        <f>'Restating Adj'!AP12+'Pro Forma Adj'!AP12</f>
        <v>0</v>
      </c>
      <c r="AQ12" s="93">
        <f>'Restating Adj'!AQ12+'Pro Forma Adj'!AQ12</f>
        <v>0</v>
      </c>
      <c r="AR12" s="92">
        <f>'Restating Adj'!AR12+'Pro Forma Adj'!AR12</f>
        <v>0</v>
      </c>
      <c r="AS12" s="31">
        <f>'Restating Adj'!AS12+'Pro Forma Adj'!AS12</f>
        <v>0</v>
      </c>
      <c r="AT12" s="92">
        <f>'Restating Adj'!AT12+'Pro Forma Adj'!AT12</f>
        <v>0</v>
      </c>
      <c r="AU12" s="92">
        <f>'Restating Adj'!AU12+'Pro Forma Adj'!AU12</f>
        <v>0</v>
      </c>
      <c r="AV12" s="92">
        <f>'Restating Adj'!AV12+'Pro Forma Adj'!AV12</f>
        <v>0</v>
      </c>
      <c r="AW12" s="92">
        <f>'Restating Adj'!AW12+'Pro Forma Adj'!AW12</f>
        <v>0</v>
      </c>
      <c r="AX12" s="92">
        <f>'Restating Adj'!AX12+'Pro Forma Adj'!AX12</f>
        <v>0</v>
      </c>
      <c r="AY12" s="31">
        <f>'Restating Adj'!AY12+'Pro Forma Adj'!AY12</f>
        <v>0</v>
      </c>
      <c r="AZ12" s="92">
        <f>'Restating Adj'!AZ12+'Pro Forma Adj'!AZ12</f>
        <v>0</v>
      </c>
      <c r="BA12" s="92">
        <f>'Restating Adj'!BA12+'Pro Forma Adj'!BA12</f>
        <v>0</v>
      </c>
      <c r="BB12" s="30">
        <f>'Restating Adj'!BB12+'Pro Forma Adj'!BB12</f>
        <v>0</v>
      </c>
      <c r="BC12" s="90">
        <f>'Restating Adj'!BC12+'Pro Forma Adj'!BC12</f>
        <v>0</v>
      </c>
      <c r="BD12" s="90">
        <f>'Restating Adj'!BD12+'Pro Forma Adj'!BD12</f>
        <v>0</v>
      </c>
      <c r="BE12" s="90">
        <f>'Restating Adj'!BE12+'Pro Forma Adj'!BE12</f>
        <v>0</v>
      </c>
      <c r="BF12" s="30">
        <f>'Restating Adj'!BF12+'Pro Forma Adj'!BF12</f>
        <v>0</v>
      </c>
      <c r="BG12" s="90">
        <f>'Restating Adj'!BG12+'Pro Forma Adj'!BG12</f>
        <v>0</v>
      </c>
      <c r="BH12" s="12">
        <f>'Restating Adj'!BH12+'Pro Forma Adj'!BH12</f>
        <v>0</v>
      </c>
      <c r="BI12" s="90">
        <f>'Restating Adj'!BI12+'Pro Forma Adj'!BI12</f>
        <v>0</v>
      </c>
      <c r="BJ12" s="92">
        <f>'Restating Adj'!BJ12+'Pro Forma Adj'!BJ12</f>
        <v>0</v>
      </c>
      <c r="BK12" s="92">
        <f>'Restating Adj'!BK12+'Pro Forma Adj'!BK12</f>
        <v>0</v>
      </c>
      <c r="BL12" s="92">
        <f>'Restating Adj'!BL12+'Pro Forma Adj'!BL12</f>
        <v>0</v>
      </c>
      <c r="BM12" s="92">
        <f>'Restating Adj'!BM12+'Pro Forma Adj'!BM12</f>
        <v>0</v>
      </c>
      <c r="BN12" s="31">
        <f>'Restating Adj'!BN12+'Pro Forma Adj'!BN12</f>
        <v>0</v>
      </c>
      <c r="BO12" s="92">
        <f>'Restating Adj'!BO12+'Pro Forma Adj'!BO12</f>
        <v>0</v>
      </c>
      <c r="BP12" s="92">
        <f>'Restating Adj'!BP12+'Pro Forma Adj'!BP12</f>
        <v>0</v>
      </c>
      <c r="BQ12" s="92">
        <f>'Restating Adj'!BQ12+'Pro Forma Adj'!BQ12</f>
        <v>0</v>
      </c>
      <c r="BR12" s="92">
        <f>'Restating Adj'!BR12+'Pro Forma Adj'!BR12</f>
        <v>0</v>
      </c>
      <c r="BS12" s="92">
        <f>'Restating Adj'!BS12+'Pro Forma Adj'!BS12</f>
        <v>0</v>
      </c>
      <c r="BT12" s="92">
        <f>'Restating Adj'!BT12+'Pro Forma Adj'!BT12</f>
        <v>0</v>
      </c>
      <c r="BU12" s="92">
        <f>'Restating Adj'!BU12+'Pro Forma Adj'!BU12</f>
        <v>0</v>
      </c>
      <c r="BV12" s="299">
        <f>'Restating Adj'!BV12+'Pro Forma Adj'!BV12</f>
        <v>0</v>
      </c>
      <c r="BW12" s="31">
        <f>'Restating Adj'!BW12+'Pro Forma Adj'!BW12</f>
        <v>0</v>
      </c>
      <c r="BX12" s="93">
        <f>'Restating Adj'!BX12+'Pro Forma Adj'!BX12</f>
        <v>0</v>
      </c>
    </row>
    <row r="13" spans="1:77" x14ac:dyDescent="0.2">
      <c r="A13" s="14" t="s">
        <v>51</v>
      </c>
      <c r="B13" s="100">
        <f>SUM(C13:BX13)</f>
        <v>0</v>
      </c>
      <c r="C13" s="31">
        <f>'Restating Adj'!C13+'Pro Forma Adj'!C13</f>
        <v>0</v>
      </c>
      <c r="D13" s="92">
        <f>'Restating Adj'!D13+'Pro Forma Adj'!D13</f>
        <v>0</v>
      </c>
      <c r="E13" s="92">
        <f>'Restating Adj'!E13+'Pro Forma Adj'!E13</f>
        <v>0</v>
      </c>
      <c r="F13" s="92">
        <f>'Restating Adj'!F13+'Pro Forma Adj'!F13</f>
        <v>0</v>
      </c>
      <c r="G13" s="92">
        <f>'Restating Adj'!G13+'Pro Forma Adj'!G13</f>
        <v>0</v>
      </c>
      <c r="H13" s="90">
        <f>'Restating Adj'!H13+'Pro Forma Adj'!H13</f>
        <v>0</v>
      </c>
      <c r="I13" s="91">
        <f>'Restating Adj'!I13+'Pro Forma Adj'!I13</f>
        <v>0</v>
      </c>
      <c r="J13" s="30">
        <f>'Restating Adj'!J13+'Pro Forma Adj'!J13</f>
        <v>0</v>
      </c>
      <c r="K13" s="91">
        <f>'Restating Adj'!K13+'Pro Forma Adj'!K13</f>
        <v>0</v>
      </c>
      <c r="L13" s="31">
        <f>'Restating Adj'!L13+'Pro Forma Adj'!L13</f>
        <v>0</v>
      </c>
      <c r="M13" s="92">
        <f>'Restating Adj'!M13+'Pro Forma Adj'!M13</f>
        <v>0</v>
      </c>
      <c r="N13" s="92">
        <f>'Restating Adj'!N13+'Pro Forma Adj'!N13</f>
        <v>0</v>
      </c>
      <c r="O13" s="92">
        <f>'Restating Adj'!O13+'Pro Forma Adj'!O13</f>
        <v>0</v>
      </c>
      <c r="P13" s="92">
        <f>'Restating Adj'!P13+'Pro Forma Adj'!P13</f>
        <v>0</v>
      </c>
      <c r="Q13" s="93">
        <f>'Restating Adj'!Q13+'Pro Forma Adj'!Q13</f>
        <v>0</v>
      </c>
      <c r="R13" s="30">
        <f>'Restating Adj'!R13+'Pro Forma Adj'!R13</f>
        <v>0</v>
      </c>
      <c r="S13" s="90">
        <f>'Restating Adj'!S13+'Pro Forma Adj'!S13</f>
        <v>0</v>
      </c>
      <c r="T13" s="90">
        <f>'Restating Adj'!T13+'Pro Forma Adj'!T13</f>
        <v>0</v>
      </c>
      <c r="U13" s="90">
        <f>'Restating Adj'!U13+'Pro Forma Adj'!U13</f>
        <v>0</v>
      </c>
      <c r="V13" s="90">
        <f>'Restating Adj'!V13+'Pro Forma Adj'!V13</f>
        <v>0</v>
      </c>
      <c r="W13" s="90">
        <f>'Restating Adj'!W13+'Pro Forma Adj'!W13</f>
        <v>0</v>
      </c>
      <c r="X13" s="91">
        <f>'Restating Adj'!X13+'Pro Forma Adj'!X13</f>
        <v>0</v>
      </c>
      <c r="Y13" s="30">
        <f>'Restating Adj'!Y13+'Pro Forma Adj'!Y13</f>
        <v>0</v>
      </c>
      <c r="Z13" s="90">
        <f>'Restating Adj'!Z13+'Pro Forma Adj'!Z13</f>
        <v>0</v>
      </c>
      <c r="AA13" s="90">
        <f>'Restating Adj'!AA13+'Pro Forma Adj'!AA13</f>
        <v>0</v>
      </c>
      <c r="AB13" s="90">
        <f>'Restating Adj'!AB13+'Pro Forma Adj'!AB13</f>
        <v>0</v>
      </c>
      <c r="AC13" s="91">
        <f>'Restating Adj'!AC13+'Pro Forma Adj'!AC13</f>
        <v>0</v>
      </c>
      <c r="AD13" s="31">
        <f>'Restating Adj'!AD13+'Pro Forma Adj'!AD13</f>
        <v>0</v>
      </c>
      <c r="AE13" s="93">
        <f>'Restating Adj'!AE13+'Pro Forma Adj'!AE13</f>
        <v>0</v>
      </c>
      <c r="AF13" s="31">
        <f>'Restating Adj'!AF13+'Pro Forma Adj'!AF13</f>
        <v>0</v>
      </c>
      <c r="AG13" s="92">
        <f>'Restating Adj'!AG13+'Pro Forma Adj'!AG13</f>
        <v>0</v>
      </c>
      <c r="AH13" s="31">
        <f>'Restating Adj'!AH13+'Pro Forma Adj'!AH13</f>
        <v>0</v>
      </c>
      <c r="AI13" s="92">
        <f>'Restating Adj'!AI13+'Pro Forma Adj'!AI13</f>
        <v>0</v>
      </c>
      <c r="AJ13" s="92">
        <f>'Restating Adj'!AJ13+'Pro Forma Adj'!AJ13</f>
        <v>0</v>
      </c>
      <c r="AK13" s="93">
        <f>'Restating Adj'!AK13+'Pro Forma Adj'!AK13</f>
        <v>0</v>
      </c>
      <c r="AL13" s="31">
        <f>'Restating Adj'!AL13+'Pro Forma Adj'!AL13</f>
        <v>0</v>
      </c>
      <c r="AM13" s="92">
        <f>'Restating Adj'!AM13+'Pro Forma Adj'!AM13</f>
        <v>0</v>
      </c>
      <c r="AN13" s="92">
        <f>'Restating Adj'!AN13+'Pro Forma Adj'!AN13</f>
        <v>0</v>
      </c>
      <c r="AO13" s="92">
        <f>'Restating Adj'!AO13+'Pro Forma Adj'!AO13</f>
        <v>0</v>
      </c>
      <c r="AP13" s="92">
        <f>'Restating Adj'!AP13+'Pro Forma Adj'!AP13</f>
        <v>0</v>
      </c>
      <c r="AQ13" s="93">
        <f>'Restating Adj'!AQ13+'Pro Forma Adj'!AQ13</f>
        <v>0</v>
      </c>
      <c r="AR13" s="92">
        <f>'Restating Adj'!AR13+'Pro Forma Adj'!AR13</f>
        <v>0</v>
      </c>
      <c r="AS13" s="31">
        <f>'Restating Adj'!AS13+'Pro Forma Adj'!AS13</f>
        <v>0</v>
      </c>
      <c r="AT13" s="92">
        <f>'Restating Adj'!AT13+'Pro Forma Adj'!AT13</f>
        <v>0</v>
      </c>
      <c r="AU13" s="92">
        <f>'Restating Adj'!AU13+'Pro Forma Adj'!AU13</f>
        <v>0</v>
      </c>
      <c r="AV13" s="92">
        <f>'Restating Adj'!AV13+'Pro Forma Adj'!AV13</f>
        <v>0</v>
      </c>
      <c r="AW13" s="92">
        <f>'Restating Adj'!AW13+'Pro Forma Adj'!AW13</f>
        <v>0</v>
      </c>
      <c r="AX13" s="92">
        <f>'Restating Adj'!AX13+'Pro Forma Adj'!AX13</f>
        <v>0</v>
      </c>
      <c r="AY13" s="31">
        <f>'Restating Adj'!AY13+'Pro Forma Adj'!AY13</f>
        <v>0</v>
      </c>
      <c r="AZ13" s="92">
        <f>'Restating Adj'!AZ13+'Pro Forma Adj'!AZ13</f>
        <v>0</v>
      </c>
      <c r="BA13" s="92">
        <f>'Restating Adj'!BA13+'Pro Forma Adj'!BA13</f>
        <v>0</v>
      </c>
      <c r="BB13" s="31">
        <f>'Restating Adj'!BB13+'Pro Forma Adj'!BB13</f>
        <v>0</v>
      </c>
      <c r="BC13" s="90">
        <f>'Restating Adj'!BC13+'Pro Forma Adj'!BC13</f>
        <v>0</v>
      </c>
      <c r="BD13" s="90">
        <f>'Restating Adj'!BD13+'Pro Forma Adj'!BD13</f>
        <v>0</v>
      </c>
      <c r="BE13" s="90">
        <f>'Restating Adj'!BE13+'Pro Forma Adj'!BE13</f>
        <v>0</v>
      </c>
      <c r="BF13" s="30">
        <f>'Restating Adj'!BF13+'Pro Forma Adj'!BF13</f>
        <v>0</v>
      </c>
      <c r="BG13" s="90">
        <f>'Restating Adj'!BG13+'Pro Forma Adj'!BG13</f>
        <v>0</v>
      </c>
      <c r="BH13" s="12">
        <f>'Restating Adj'!BH13+'Pro Forma Adj'!BH13</f>
        <v>0</v>
      </c>
      <c r="BI13" s="90">
        <f>'Restating Adj'!BI13+'Pro Forma Adj'!BI13</f>
        <v>0</v>
      </c>
      <c r="BJ13" s="92">
        <f>'Restating Adj'!BJ13+'Pro Forma Adj'!BJ13</f>
        <v>0</v>
      </c>
      <c r="BK13" s="92">
        <f>'Restating Adj'!BK13+'Pro Forma Adj'!BK13</f>
        <v>0</v>
      </c>
      <c r="BL13" s="92">
        <f>'Restating Adj'!BL13+'Pro Forma Adj'!BL13</f>
        <v>0</v>
      </c>
      <c r="BM13" s="92">
        <f>'Restating Adj'!BM13+'Pro Forma Adj'!BM13</f>
        <v>0</v>
      </c>
      <c r="BN13" s="31">
        <f>'Restating Adj'!BN13+'Pro Forma Adj'!BN13</f>
        <v>0</v>
      </c>
      <c r="BO13" s="92">
        <f>'Restating Adj'!BO13+'Pro Forma Adj'!BO13</f>
        <v>0</v>
      </c>
      <c r="BP13" s="92">
        <f>'Restating Adj'!BP13+'Pro Forma Adj'!BP13</f>
        <v>0</v>
      </c>
      <c r="BQ13" s="92">
        <f>'Restating Adj'!BQ13+'Pro Forma Adj'!BQ13</f>
        <v>0</v>
      </c>
      <c r="BR13" s="92">
        <f>'Restating Adj'!BR13+'Pro Forma Adj'!BR13</f>
        <v>0</v>
      </c>
      <c r="BS13" s="92">
        <f>'Restating Adj'!BS13+'Pro Forma Adj'!BS13</f>
        <v>0</v>
      </c>
      <c r="BT13" s="92">
        <f>'Restating Adj'!BT13+'Pro Forma Adj'!BT13</f>
        <v>0</v>
      </c>
      <c r="BU13" s="92">
        <f>'Restating Adj'!BU13+'Pro Forma Adj'!BU13</f>
        <v>0</v>
      </c>
      <c r="BV13" s="299">
        <f>'Restating Adj'!BV13+'Pro Forma Adj'!BV13</f>
        <v>0</v>
      </c>
      <c r="BW13" s="31">
        <f>'Restating Adj'!BW13+'Pro Forma Adj'!BW13</f>
        <v>0</v>
      </c>
      <c r="BX13" s="93">
        <f>'Restating Adj'!BX13+'Pro Forma Adj'!BX13</f>
        <v>0</v>
      </c>
    </row>
    <row r="14" spans="1:77" x14ac:dyDescent="0.2">
      <c r="A14" s="14" t="s">
        <v>52</v>
      </c>
      <c r="B14" s="100">
        <f>SUM(C14:BX14)</f>
        <v>3419195.486808002</v>
      </c>
      <c r="C14" s="31">
        <f>'Restating Adj'!C14+'Pro Forma Adj'!C14</f>
        <v>0</v>
      </c>
      <c r="D14" s="92">
        <f>'Restating Adj'!D14+'Pro Forma Adj'!D14</f>
        <v>0</v>
      </c>
      <c r="E14" s="92">
        <f>'Restating Adj'!E14+'Pro Forma Adj'!E14</f>
        <v>0</v>
      </c>
      <c r="F14" s="92">
        <f>'Restating Adj'!F14+'Pro Forma Adj'!F14</f>
        <v>0</v>
      </c>
      <c r="G14" s="92">
        <f>'Restating Adj'!G14+'Pro Forma Adj'!G14</f>
        <v>0</v>
      </c>
      <c r="H14" s="90">
        <f>'Restating Adj'!H14+'Pro Forma Adj'!H14</f>
        <v>0</v>
      </c>
      <c r="I14" s="91">
        <f>'Restating Adj'!I14+'Pro Forma Adj'!I14</f>
        <v>0</v>
      </c>
      <c r="J14" s="30">
        <f>'Restating Adj'!J14+'Pro Forma Adj'!J14</f>
        <v>0</v>
      </c>
      <c r="K14" s="91">
        <f>'Restating Adj'!K14+'Pro Forma Adj'!K14</f>
        <v>0</v>
      </c>
      <c r="L14" s="31">
        <f>'Restating Adj'!L14+'Pro Forma Adj'!L14</f>
        <v>0</v>
      </c>
      <c r="M14" s="92">
        <f>'Restating Adj'!M14+'Pro Forma Adj'!M14</f>
        <v>0</v>
      </c>
      <c r="N14" s="92">
        <f>'Restating Adj'!N14+'Pro Forma Adj'!N14</f>
        <v>0</v>
      </c>
      <c r="O14" s="92">
        <f>'Restating Adj'!O14+'Pro Forma Adj'!O14</f>
        <v>0</v>
      </c>
      <c r="P14" s="92">
        <f>'Restating Adj'!P14+'Pro Forma Adj'!P14</f>
        <v>0</v>
      </c>
      <c r="Q14" s="93">
        <f>'Restating Adj'!Q14+'Pro Forma Adj'!Q14</f>
        <v>0</v>
      </c>
      <c r="R14" s="30">
        <f>'Restating Adj'!R14+'Pro Forma Adj'!R14</f>
        <v>0</v>
      </c>
      <c r="S14" s="90">
        <f>'Restating Adj'!S14+'Pro Forma Adj'!S14</f>
        <v>0</v>
      </c>
      <c r="T14" s="90">
        <f>'Restating Adj'!T14+'Pro Forma Adj'!T14</f>
        <v>0</v>
      </c>
      <c r="U14" s="90">
        <f>'Restating Adj'!U14+'Pro Forma Adj'!U14</f>
        <v>0</v>
      </c>
      <c r="V14" s="90">
        <f>'Restating Adj'!V14+'Pro Forma Adj'!V14</f>
        <v>0</v>
      </c>
      <c r="W14" s="90">
        <f>'Restating Adj'!W14+'Pro Forma Adj'!W14</f>
        <v>0</v>
      </c>
      <c r="X14" s="91">
        <f>'Restating Adj'!X14+'Pro Forma Adj'!X14</f>
        <v>0</v>
      </c>
      <c r="Y14" s="30">
        <f>'Restating Adj'!Y14+'Pro Forma Adj'!Y14</f>
        <v>0</v>
      </c>
      <c r="Z14" s="90">
        <f>'Restating Adj'!Z14+'Pro Forma Adj'!Z14</f>
        <v>0</v>
      </c>
      <c r="AA14" s="90">
        <f>'Restating Adj'!AA14+'Pro Forma Adj'!AA14</f>
        <v>0</v>
      </c>
      <c r="AB14" s="90">
        <f>'Restating Adj'!AB14+'Pro Forma Adj'!AB14</f>
        <v>0</v>
      </c>
      <c r="AC14" s="91">
        <f>'Restating Adj'!AC14+'Pro Forma Adj'!AC14</f>
        <v>0</v>
      </c>
      <c r="AD14" s="31">
        <f>'Restating Adj'!AD14+'Pro Forma Adj'!AD14</f>
        <v>49115714.281319283</v>
      </c>
      <c r="AE14" s="93">
        <f>'Restating Adj'!AE14+'Pro Forma Adj'!AE14</f>
        <v>-45864562.417078793</v>
      </c>
      <c r="AF14" s="31">
        <f>'Restating Adj'!AF14+'Pro Forma Adj'!AF14</f>
        <v>0</v>
      </c>
      <c r="AG14" s="92">
        <f>'Restating Adj'!AG14+'Pro Forma Adj'!AG14</f>
        <v>0</v>
      </c>
      <c r="AH14" s="31">
        <f>'Restating Adj'!AH14+'Pro Forma Adj'!AH14</f>
        <v>0</v>
      </c>
      <c r="AI14" s="92">
        <f>'Restating Adj'!AI14+'Pro Forma Adj'!AI14</f>
        <v>0</v>
      </c>
      <c r="AJ14" s="92">
        <f>'Restating Adj'!AJ14+'Pro Forma Adj'!AJ14</f>
        <v>0</v>
      </c>
      <c r="AK14" s="93">
        <f>'Restating Adj'!AK14+'Pro Forma Adj'!AK14</f>
        <v>0</v>
      </c>
      <c r="AL14" s="31">
        <f>'Restating Adj'!AL14+'Pro Forma Adj'!AL14</f>
        <v>0</v>
      </c>
      <c r="AM14" s="92">
        <f>'Restating Adj'!AM14+'Pro Forma Adj'!AM14</f>
        <v>0</v>
      </c>
      <c r="AN14" s="92">
        <f>'Restating Adj'!AN14+'Pro Forma Adj'!AN14</f>
        <v>0</v>
      </c>
      <c r="AO14" s="92">
        <f>'Restating Adj'!AO14+'Pro Forma Adj'!AO14</f>
        <v>0</v>
      </c>
      <c r="AP14" s="92">
        <f>'Restating Adj'!AP14+'Pro Forma Adj'!AP14</f>
        <v>0</v>
      </c>
      <c r="AQ14" s="93">
        <f>'Restating Adj'!AQ14+'Pro Forma Adj'!AQ14</f>
        <v>0</v>
      </c>
      <c r="AR14" s="92">
        <f>'Restating Adj'!AR14+'Pro Forma Adj'!AR14</f>
        <v>0</v>
      </c>
      <c r="AS14" s="31">
        <f>'Restating Adj'!AS14+'Pro Forma Adj'!AS14</f>
        <v>0</v>
      </c>
      <c r="AT14" s="92">
        <f>'Restating Adj'!AT14+'Pro Forma Adj'!AT14</f>
        <v>0</v>
      </c>
      <c r="AU14" s="92">
        <f>'Restating Adj'!AU14+'Pro Forma Adj'!AU14</f>
        <v>0</v>
      </c>
      <c r="AV14" s="92">
        <f>'Restating Adj'!AV14+'Pro Forma Adj'!AV14</f>
        <v>0</v>
      </c>
      <c r="AW14" s="92">
        <f>'Restating Adj'!AW14+'Pro Forma Adj'!AW14</f>
        <v>0</v>
      </c>
      <c r="AX14" s="92">
        <f>'Restating Adj'!AX14+'Pro Forma Adj'!AX14</f>
        <v>0</v>
      </c>
      <c r="AY14" s="31">
        <f>'Restating Adj'!AY14+'Pro Forma Adj'!AY14</f>
        <v>0</v>
      </c>
      <c r="AZ14" s="92">
        <f>'Restating Adj'!AZ14+'Pro Forma Adj'!AZ14</f>
        <v>0</v>
      </c>
      <c r="BA14" s="92">
        <f>'Restating Adj'!BA14+'Pro Forma Adj'!BA14</f>
        <v>0</v>
      </c>
      <c r="BB14" s="31">
        <f>'Restating Adj'!BB14+'Pro Forma Adj'!BB14</f>
        <v>0</v>
      </c>
      <c r="BC14" s="90">
        <f>'Restating Adj'!BC14+'Pro Forma Adj'!BC14</f>
        <v>0</v>
      </c>
      <c r="BD14" s="90">
        <f>'Restating Adj'!BD14+'Pro Forma Adj'!BD14</f>
        <v>0</v>
      </c>
      <c r="BE14" s="90">
        <f>'Restating Adj'!BE14+'Pro Forma Adj'!BE14</f>
        <v>0</v>
      </c>
      <c r="BF14" s="30">
        <f>'Restating Adj'!BF14+'Pro Forma Adj'!BF14</f>
        <v>0</v>
      </c>
      <c r="BG14" s="90">
        <f>'Restating Adj'!BG14+'Pro Forma Adj'!BG14</f>
        <v>0</v>
      </c>
      <c r="BH14" s="12">
        <f>'Restating Adj'!BH14+'Pro Forma Adj'!BH14</f>
        <v>0</v>
      </c>
      <c r="BI14" s="90">
        <f>'Restating Adj'!BI14+'Pro Forma Adj'!BI14</f>
        <v>0</v>
      </c>
      <c r="BJ14" s="92">
        <f>'Restating Adj'!BJ14+'Pro Forma Adj'!BJ14</f>
        <v>0</v>
      </c>
      <c r="BK14" s="92">
        <f>'Restating Adj'!BK14+'Pro Forma Adj'!BK14</f>
        <v>0</v>
      </c>
      <c r="BL14" s="92">
        <f>'Restating Adj'!BL14+'Pro Forma Adj'!BL14</f>
        <v>0</v>
      </c>
      <c r="BM14" s="92">
        <f>'Restating Adj'!BM14+'Pro Forma Adj'!BM14</f>
        <v>0</v>
      </c>
      <c r="BN14" s="31">
        <f>'Restating Adj'!BN14+'Pro Forma Adj'!BN14</f>
        <v>0</v>
      </c>
      <c r="BO14" s="92">
        <f>'Restating Adj'!BO14+'Pro Forma Adj'!BO14</f>
        <v>0</v>
      </c>
      <c r="BP14" s="92">
        <f>'Restating Adj'!BP14+'Pro Forma Adj'!BP14</f>
        <v>0</v>
      </c>
      <c r="BQ14" s="92">
        <f>'Restating Adj'!BQ14+'Pro Forma Adj'!BQ14</f>
        <v>0</v>
      </c>
      <c r="BR14" s="92">
        <f>'Restating Adj'!BR14+'Pro Forma Adj'!BR14</f>
        <v>0</v>
      </c>
      <c r="BS14" s="92">
        <f>'Restating Adj'!BS14+'Pro Forma Adj'!BS14</f>
        <v>0</v>
      </c>
      <c r="BT14" s="92">
        <f>'Restating Adj'!BT14+'Pro Forma Adj'!BT14</f>
        <v>0</v>
      </c>
      <c r="BU14" s="92">
        <f>'Restating Adj'!BU14+'Pro Forma Adj'!BU14</f>
        <v>0</v>
      </c>
      <c r="BV14" s="299">
        <f>'Restating Adj'!BV14+'Pro Forma Adj'!BV14</f>
        <v>0</v>
      </c>
      <c r="BW14" s="31">
        <f>'Restating Adj'!BW14+'Pro Forma Adj'!BW14</f>
        <v>168043.62256751209</v>
      </c>
      <c r="BX14" s="93">
        <f>'Restating Adj'!BX14+'Pro Forma Adj'!BX14</f>
        <v>0</v>
      </c>
    </row>
    <row r="15" spans="1:77" x14ac:dyDescent="0.2">
      <c r="A15" s="14" t="s">
        <v>53</v>
      </c>
      <c r="B15" s="100">
        <f>SUM(C15:BX15)</f>
        <v>-4423671.982705716</v>
      </c>
      <c r="C15" s="31">
        <f>'Restating Adj'!C15+'Pro Forma Adj'!C15</f>
        <v>0</v>
      </c>
      <c r="D15" s="92">
        <f>'Restating Adj'!D15+'Pro Forma Adj'!D15</f>
        <v>0</v>
      </c>
      <c r="E15" s="92">
        <f>'Restating Adj'!E15+'Pro Forma Adj'!E15</f>
        <v>0</v>
      </c>
      <c r="F15" s="92">
        <f>'Restating Adj'!F15+'Pro Forma Adj'!F15</f>
        <v>0</v>
      </c>
      <c r="G15" s="92">
        <f>'Restating Adj'!G15+'Pro Forma Adj'!G15</f>
        <v>-2253339.1310724937</v>
      </c>
      <c r="H15" s="90">
        <f>'Restating Adj'!H15+'Pro Forma Adj'!H15</f>
        <v>235093.81143813502</v>
      </c>
      <c r="I15" s="91">
        <f>'Restating Adj'!I15+'Pro Forma Adj'!I15</f>
        <v>41325.822449383042</v>
      </c>
      <c r="J15" s="30">
        <f>'Restating Adj'!J15+'Pro Forma Adj'!J15</f>
        <v>0</v>
      </c>
      <c r="K15" s="91">
        <f>'Restating Adj'!K15+'Pro Forma Adj'!K15</f>
        <v>25888.581406835918</v>
      </c>
      <c r="L15" s="31">
        <f>'Restating Adj'!L15+'Pro Forma Adj'!L15</f>
        <v>0</v>
      </c>
      <c r="M15" s="92">
        <f>'Restating Adj'!M15+'Pro Forma Adj'!M15</f>
        <v>0</v>
      </c>
      <c r="N15" s="92">
        <f>'Restating Adj'!N15+'Pro Forma Adj'!N15</f>
        <v>0</v>
      </c>
      <c r="O15" s="92">
        <f>'Restating Adj'!O15+'Pro Forma Adj'!O15</f>
        <v>0</v>
      </c>
      <c r="P15" s="92">
        <f>'Restating Adj'!P15+'Pro Forma Adj'!P15</f>
        <v>-158114.54708066303</v>
      </c>
      <c r="Q15" s="93">
        <f>'Restating Adj'!Q15+'Pro Forma Adj'!Q15</f>
        <v>0</v>
      </c>
      <c r="R15" s="30">
        <f>'Restating Adj'!R15+'Pro Forma Adj'!R15</f>
        <v>0</v>
      </c>
      <c r="S15" s="90">
        <f>'Restating Adj'!S15+'Pro Forma Adj'!S15</f>
        <v>0</v>
      </c>
      <c r="T15" s="90">
        <f>'Restating Adj'!T15+'Pro Forma Adj'!T15</f>
        <v>0</v>
      </c>
      <c r="U15" s="90">
        <f>'Restating Adj'!U15+'Pro Forma Adj'!U15</f>
        <v>0</v>
      </c>
      <c r="V15" s="90">
        <f>'Restating Adj'!V15+'Pro Forma Adj'!V15</f>
        <v>0</v>
      </c>
      <c r="W15" s="90">
        <f>'Restating Adj'!W15+'Pro Forma Adj'!W15</f>
        <v>0</v>
      </c>
      <c r="X15" s="91">
        <f>'Restating Adj'!X15+'Pro Forma Adj'!X15</f>
        <v>0</v>
      </c>
      <c r="Y15" s="30">
        <f>'Restating Adj'!Y15+'Pro Forma Adj'!Y15</f>
        <v>0</v>
      </c>
      <c r="Z15" s="90">
        <f>'Restating Adj'!Z15+'Pro Forma Adj'!Z15</f>
        <v>0</v>
      </c>
      <c r="AA15" s="90">
        <f>'Restating Adj'!AA15+'Pro Forma Adj'!AA15</f>
        <v>0</v>
      </c>
      <c r="AB15" s="90">
        <f>'Restating Adj'!AB15+'Pro Forma Adj'!AB15</f>
        <v>0</v>
      </c>
      <c r="AC15" s="91">
        <f>'Restating Adj'!AC15+'Pro Forma Adj'!AC15</f>
        <v>0</v>
      </c>
      <c r="AD15" s="31">
        <f>'Restating Adj'!AD15+'Pro Forma Adj'!AD15</f>
        <v>0</v>
      </c>
      <c r="AE15" s="93">
        <f>'Restating Adj'!AE15+'Pro Forma Adj'!AE15</f>
        <v>0</v>
      </c>
      <c r="AF15" s="31">
        <f>'Restating Adj'!AF15+'Pro Forma Adj'!AF15</f>
        <v>679898.4167838149</v>
      </c>
      <c r="AG15" s="92">
        <f>'Restating Adj'!AG15+'Pro Forma Adj'!AG15</f>
        <v>0</v>
      </c>
      <c r="AH15" s="31">
        <f>'Restating Adj'!AH15+'Pro Forma Adj'!AH15</f>
        <v>0</v>
      </c>
      <c r="AI15" s="92">
        <f>'Restating Adj'!AI15+'Pro Forma Adj'!AI15</f>
        <v>0</v>
      </c>
      <c r="AJ15" s="92">
        <f>'Restating Adj'!AJ15+'Pro Forma Adj'!AJ15</f>
        <v>0</v>
      </c>
      <c r="AK15" s="93">
        <f>'Restating Adj'!AK15+'Pro Forma Adj'!AK15</f>
        <v>0</v>
      </c>
      <c r="AL15" s="31">
        <f>'Restating Adj'!AL15+'Pro Forma Adj'!AL15</f>
        <v>0</v>
      </c>
      <c r="AM15" s="92">
        <f>'Restating Adj'!AM15+'Pro Forma Adj'!AM15</f>
        <v>0</v>
      </c>
      <c r="AN15" s="92">
        <f>'Restating Adj'!AN15+'Pro Forma Adj'!AN15</f>
        <v>0</v>
      </c>
      <c r="AO15" s="92">
        <f>'Restating Adj'!AO15+'Pro Forma Adj'!AO15</f>
        <v>0</v>
      </c>
      <c r="AP15" s="92">
        <f>'Restating Adj'!AP15+'Pro Forma Adj'!AP15</f>
        <v>0</v>
      </c>
      <c r="AQ15" s="93">
        <f>'Restating Adj'!AQ15+'Pro Forma Adj'!AQ15</f>
        <v>0</v>
      </c>
      <c r="AR15" s="92">
        <f>'Restating Adj'!AR15+'Pro Forma Adj'!AR15</f>
        <v>0</v>
      </c>
      <c r="AS15" s="31">
        <f>'Restating Adj'!AS15+'Pro Forma Adj'!AS15</f>
        <v>0</v>
      </c>
      <c r="AT15" s="92">
        <f>'Restating Adj'!AT15+'Pro Forma Adj'!AT15</f>
        <v>0</v>
      </c>
      <c r="AU15" s="92">
        <f>'Restating Adj'!AU15+'Pro Forma Adj'!AU15</f>
        <v>0</v>
      </c>
      <c r="AV15" s="92">
        <f>'Restating Adj'!AV15+'Pro Forma Adj'!AV15</f>
        <v>0</v>
      </c>
      <c r="AW15" s="92">
        <f>'Restating Adj'!AW15+'Pro Forma Adj'!AW15</f>
        <v>0</v>
      </c>
      <c r="AX15" s="92">
        <f>'Restating Adj'!AX15+'Pro Forma Adj'!AX15</f>
        <v>0</v>
      </c>
      <c r="AY15" s="31">
        <f>'Restating Adj'!AY15+'Pro Forma Adj'!AY15</f>
        <v>0</v>
      </c>
      <c r="AZ15" s="92">
        <f>'Restating Adj'!AZ15+'Pro Forma Adj'!AZ15</f>
        <v>0</v>
      </c>
      <c r="BA15" s="92">
        <f>'Restating Adj'!BA15+'Pro Forma Adj'!BA15</f>
        <v>0</v>
      </c>
      <c r="BB15" s="31">
        <f>'Restating Adj'!BB15+'Pro Forma Adj'!BB15</f>
        <v>0</v>
      </c>
      <c r="BC15" s="90">
        <f>'Restating Adj'!BC15+'Pro Forma Adj'!BC15</f>
        <v>0</v>
      </c>
      <c r="BD15" s="90">
        <f>'Restating Adj'!BD15+'Pro Forma Adj'!BD15</f>
        <v>0</v>
      </c>
      <c r="BE15" s="90">
        <f>'Restating Adj'!BE15+'Pro Forma Adj'!BE15</f>
        <v>0</v>
      </c>
      <c r="BF15" s="30">
        <f>'Restating Adj'!BF15+'Pro Forma Adj'!BF15</f>
        <v>0</v>
      </c>
      <c r="BG15" s="90">
        <f>'Restating Adj'!BG15+'Pro Forma Adj'!BG15</f>
        <v>0</v>
      </c>
      <c r="BH15" s="12">
        <f>'Restating Adj'!BH15+'Pro Forma Adj'!BH15</f>
        <v>0</v>
      </c>
      <c r="BI15" s="90">
        <f>'Restating Adj'!BI15+'Pro Forma Adj'!BI15</f>
        <v>0</v>
      </c>
      <c r="BJ15" s="92">
        <f>'Restating Adj'!BJ15+'Pro Forma Adj'!BJ15</f>
        <v>0</v>
      </c>
      <c r="BK15" s="92">
        <f>'Restating Adj'!BK15+'Pro Forma Adj'!BK15</f>
        <v>0</v>
      </c>
      <c r="BL15" s="92">
        <f>'Restating Adj'!BL15+'Pro Forma Adj'!BL15</f>
        <v>0</v>
      </c>
      <c r="BM15" s="92">
        <f>'Restating Adj'!BM15+'Pro Forma Adj'!BM15</f>
        <v>-3000000</v>
      </c>
      <c r="BN15" s="31">
        <f>'Restating Adj'!BN15+'Pro Forma Adj'!BN15</f>
        <v>0</v>
      </c>
      <c r="BO15" s="92">
        <f>'Restating Adj'!BO15+'Pro Forma Adj'!BO15</f>
        <v>0</v>
      </c>
      <c r="BP15" s="92">
        <f>'Restating Adj'!BP15+'Pro Forma Adj'!BP15</f>
        <v>0</v>
      </c>
      <c r="BQ15" s="92">
        <f>'Restating Adj'!BQ15+'Pro Forma Adj'!BQ15</f>
        <v>0</v>
      </c>
      <c r="BR15" s="92">
        <f>'Restating Adj'!BR15+'Pro Forma Adj'!BR15</f>
        <v>0</v>
      </c>
      <c r="BS15" s="92">
        <f>'Restating Adj'!BS15+'Pro Forma Adj'!BS15</f>
        <v>0</v>
      </c>
      <c r="BT15" s="92">
        <f>'Restating Adj'!BT15+'Pro Forma Adj'!BT15</f>
        <v>0</v>
      </c>
      <c r="BU15" s="92">
        <f>'Restating Adj'!BU15+'Pro Forma Adj'!BU15</f>
        <v>0</v>
      </c>
      <c r="BV15" s="299">
        <f>'Restating Adj'!BV15+'Pro Forma Adj'!BV15</f>
        <v>0</v>
      </c>
      <c r="BW15" s="31">
        <f>'Restating Adj'!BW15+'Pro Forma Adj'!BW15</f>
        <v>0</v>
      </c>
      <c r="BX15" s="93">
        <f>'Restating Adj'!BX15+'Pro Forma Adj'!BX15</f>
        <v>5575.0633692726551</v>
      </c>
    </row>
    <row r="16" spans="1:77" x14ac:dyDescent="0.2">
      <c r="A16" s="14" t="s">
        <v>54</v>
      </c>
      <c r="B16" s="186">
        <f>SUM(C16:BX16)</f>
        <v>2901002.6236253721</v>
      </c>
      <c r="C16" s="32">
        <f>SUM(C12:C15)</f>
        <v>-5692761.2699999996</v>
      </c>
      <c r="D16" s="94">
        <f t="shared" ref="D16:BE16" si="0">SUM(D12:D15)</f>
        <v>-7427584.4312790008</v>
      </c>
      <c r="E16" s="94">
        <f t="shared" si="0"/>
        <v>17025824.820802085</v>
      </c>
      <c r="F16" s="94">
        <f t="shared" si="0"/>
        <v>0</v>
      </c>
      <c r="G16" s="94">
        <f t="shared" si="0"/>
        <v>-2253339.1310724937</v>
      </c>
      <c r="H16" s="94">
        <f t="shared" si="0"/>
        <v>235093.81143813502</v>
      </c>
      <c r="I16" s="95">
        <f t="shared" si="0"/>
        <v>41325.822449383042</v>
      </c>
      <c r="J16" s="32">
        <f t="shared" ref="J16:K16" si="1">SUM(J12:J15)</f>
        <v>0</v>
      </c>
      <c r="K16" s="95">
        <f t="shared" si="1"/>
        <v>25888.581406835918</v>
      </c>
      <c r="L16" s="32">
        <f t="shared" si="0"/>
        <v>0</v>
      </c>
      <c r="M16" s="94">
        <f t="shared" si="0"/>
        <v>0</v>
      </c>
      <c r="N16" s="94">
        <f t="shared" si="0"/>
        <v>0</v>
      </c>
      <c r="O16" s="94">
        <f t="shared" si="0"/>
        <v>0</v>
      </c>
      <c r="P16" s="94">
        <f t="shared" si="0"/>
        <v>-158114.54708066303</v>
      </c>
      <c r="Q16" s="95">
        <f t="shared" si="0"/>
        <v>0</v>
      </c>
      <c r="R16" s="32">
        <f t="shared" si="0"/>
        <v>0</v>
      </c>
      <c r="S16" s="94">
        <f t="shared" si="0"/>
        <v>0</v>
      </c>
      <c r="T16" s="94">
        <f t="shared" si="0"/>
        <v>0</v>
      </c>
      <c r="U16" s="94">
        <f t="shared" si="0"/>
        <v>0</v>
      </c>
      <c r="V16" s="94">
        <f t="shared" si="0"/>
        <v>0</v>
      </c>
      <c r="W16" s="94">
        <f t="shared" si="0"/>
        <v>0</v>
      </c>
      <c r="X16" s="95">
        <f t="shared" si="0"/>
        <v>0</v>
      </c>
      <c r="Y16" s="32">
        <f t="shared" ref="Y16:AB16" si="2">SUM(Y12:Y15)</f>
        <v>0</v>
      </c>
      <c r="Z16" s="94">
        <f t="shared" si="2"/>
        <v>0</v>
      </c>
      <c r="AA16" s="94">
        <f t="shared" si="2"/>
        <v>0</v>
      </c>
      <c r="AB16" s="94">
        <f t="shared" si="2"/>
        <v>0</v>
      </c>
      <c r="AC16" s="95">
        <f t="shared" ref="AC16" si="3">SUM(AC12:AC15)</f>
        <v>0</v>
      </c>
      <c r="AD16" s="32">
        <f t="shared" si="0"/>
        <v>49115714.281319283</v>
      </c>
      <c r="AE16" s="95">
        <f t="shared" ref="AE16" si="4">SUM(AE12:AE15)</f>
        <v>-45864562.417078793</v>
      </c>
      <c r="AF16" s="32">
        <f t="shared" si="0"/>
        <v>679898.4167838149</v>
      </c>
      <c r="AG16" s="94">
        <f t="shared" si="0"/>
        <v>0</v>
      </c>
      <c r="AH16" s="32">
        <f t="shared" si="0"/>
        <v>0</v>
      </c>
      <c r="AI16" s="94">
        <f t="shared" si="0"/>
        <v>0</v>
      </c>
      <c r="AJ16" s="94">
        <f t="shared" si="0"/>
        <v>0</v>
      </c>
      <c r="AK16" s="95">
        <f t="shared" si="0"/>
        <v>0</v>
      </c>
      <c r="AL16" s="32">
        <f t="shared" si="0"/>
        <v>0</v>
      </c>
      <c r="AM16" s="94">
        <f t="shared" ref="AM16:AQ16" si="5">SUM(AM12:AM15)</f>
        <v>0</v>
      </c>
      <c r="AN16" s="94">
        <f t="shared" ref="AN16:AP16" si="6">SUM(AN12:AN15)</f>
        <v>0</v>
      </c>
      <c r="AO16" s="94">
        <f t="shared" si="6"/>
        <v>0</v>
      </c>
      <c r="AP16" s="94">
        <f t="shared" si="6"/>
        <v>0</v>
      </c>
      <c r="AQ16" s="95">
        <f t="shared" si="5"/>
        <v>0</v>
      </c>
      <c r="AR16" s="94">
        <f t="shared" ref="AR16" si="7">SUM(AR12:AR15)</f>
        <v>0</v>
      </c>
      <c r="AS16" s="32">
        <f t="shared" si="0"/>
        <v>0</v>
      </c>
      <c r="AT16" s="94">
        <f t="shared" si="0"/>
        <v>0</v>
      </c>
      <c r="AU16" s="94">
        <f t="shared" si="0"/>
        <v>0</v>
      </c>
      <c r="AV16" s="94">
        <f t="shared" si="0"/>
        <v>0</v>
      </c>
      <c r="AW16" s="94">
        <f t="shared" si="0"/>
        <v>0</v>
      </c>
      <c r="AX16" s="94">
        <f t="shared" si="0"/>
        <v>0</v>
      </c>
      <c r="AY16" s="32">
        <f t="shared" si="0"/>
        <v>0</v>
      </c>
      <c r="AZ16" s="94">
        <f t="shared" si="0"/>
        <v>0</v>
      </c>
      <c r="BA16" s="94">
        <f t="shared" si="0"/>
        <v>0</v>
      </c>
      <c r="BB16" s="32">
        <f t="shared" si="0"/>
        <v>0</v>
      </c>
      <c r="BC16" s="94">
        <f t="shared" si="0"/>
        <v>0</v>
      </c>
      <c r="BD16" s="94">
        <f t="shared" si="0"/>
        <v>0</v>
      </c>
      <c r="BE16" s="94">
        <f t="shared" si="0"/>
        <v>0</v>
      </c>
      <c r="BF16" s="32">
        <f t="shared" ref="BF16:BX16" si="8">SUM(BF12:BF15)</f>
        <v>0</v>
      </c>
      <c r="BG16" s="94">
        <f t="shared" si="8"/>
        <v>0</v>
      </c>
      <c r="BH16" s="94">
        <f t="shared" si="8"/>
        <v>0</v>
      </c>
      <c r="BI16" s="94">
        <f t="shared" si="8"/>
        <v>0</v>
      </c>
      <c r="BJ16" s="94">
        <f t="shared" si="8"/>
        <v>0</v>
      </c>
      <c r="BK16" s="94">
        <f t="shared" si="8"/>
        <v>0</v>
      </c>
      <c r="BL16" s="94">
        <f t="shared" si="8"/>
        <v>0</v>
      </c>
      <c r="BM16" s="94">
        <f t="shared" si="8"/>
        <v>-3000000</v>
      </c>
      <c r="BN16" s="32">
        <f t="shared" si="8"/>
        <v>0</v>
      </c>
      <c r="BO16" s="94">
        <f t="shared" si="8"/>
        <v>0</v>
      </c>
      <c r="BP16" s="94">
        <f t="shared" si="8"/>
        <v>0</v>
      </c>
      <c r="BQ16" s="94">
        <f t="shared" si="8"/>
        <v>0</v>
      </c>
      <c r="BR16" s="94">
        <f t="shared" si="8"/>
        <v>0</v>
      </c>
      <c r="BS16" s="94">
        <f t="shared" si="8"/>
        <v>0</v>
      </c>
      <c r="BT16" s="94">
        <f t="shared" si="8"/>
        <v>0</v>
      </c>
      <c r="BU16" s="94">
        <f t="shared" si="8"/>
        <v>0</v>
      </c>
      <c r="BV16" s="186">
        <f t="shared" si="8"/>
        <v>0</v>
      </c>
      <c r="BW16" s="32">
        <f t="shared" si="8"/>
        <v>168043.62256751209</v>
      </c>
      <c r="BX16" s="95">
        <f t="shared" si="8"/>
        <v>5575.0633692726551</v>
      </c>
    </row>
    <row r="17" spans="1:77" x14ac:dyDescent="0.2">
      <c r="A17" s="14"/>
      <c r="B17" s="88"/>
      <c r="C17" s="29"/>
      <c r="D17" s="12"/>
      <c r="E17" s="12"/>
      <c r="F17" s="12"/>
      <c r="G17" s="12"/>
      <c r="H17" s="12"/>
      <c r="I17" s="86"/>
      <c r="J17" s="29"/>
      <c r="K17" s="86"/>
      <c r="L17" s="29"/>
      <c r="M17" s="12"/>
      <c r="N17" s="12"/>
      <c r="O17" s="12"/>
      <c r="P17" s="12"/>
      <c r="Q17" s="86"/>
      <c r="R17" s="29"/>
      <c r="S17" s="12"/>
      <c r="T17" s="12"/>
      <c r="U17" s="12"/>
      <c r="V17" s="12"/>
      <c r="W17" s="12"/>
      <c r="X17" s="86"/>
      <c r="Y17" s="29"/>
      <c r="Z17" s="12"/>
      <c r="AA17" s="12"/>
      <c r="AB17" s="12"/>
      <c r="AC17" s="86"/>
      <c r="AD17" s="29"/>
      <c r="AE17" s="86"/>
      <c r="AF17" s="29"/>
      <c r="AG17" s="12"/>
      <c r="AH17" s="29"/>
      <c r="AI17" s="12"/>
      <c r="AJ17" s="12"/>
      <c r="AK17" s="86"/>
      <c r="AL17" s="29"/>
      <c r="AM17" s="12"/>
      <c r="AN17" s="12"/>
      <c r="AO17" s="12"/>
      <c r="AP17" s="12"/>
      <c r="AQ17" s="86"/>
      <c r="AR17" s="12"/>
      <c r="AS17" s="29"/>
      <c r="AT17" s="12"/>
      <c r="AU17" s="12"/>
      <c r="AV17" s="12"/>
      <c r="AW17" s="12"/>
      <c r="AX17" s="12"/>
      <c r="AY17" s="29"/>
      <c r="AZ17" s="12"/>
      <c r="BA17" s="12"/>
      <c r="BB17" s="29"/>
      <c r="BC17" s="12"/>
      <c r="BD17" s="12"/>
      <c r="BE17" s="12"/>
      <c r="BF17" s="29"/>
      <c r="BG17" s="12"/>
      <c r="BH17" s="12"/>
      <c r="BI17" s="12"/>
      <c r="BJ17" s="12"/>
      <c r="BK17" s="12"/>
      <c r="BL17" s="12"/>
      <c r="BM17" s="12"/>
      <c r="BN17" s="29"/>
      <c r="BO17" s="12"/>
      <c r="BP17" s="12"/>
      <c r="BQ17" s="12"/>
      <c r="BR17" s="12"/>
      <c r="BS17" s="12"/>
      <c r="BT17" s="12"/>
      <c r="BU17" s="12"/>
      <c r="BV17" s="88"/>
      <c r="BW17" s="29"/>
      <c r="BX17" s="86"/>
      <c r="BY17" s="15"/>
    </row>
    <row r="18" spans="1:77" x14ac:dyDescent="0.2">
      <c r="A18" s="14" t="s">
        <v>55</v>
      </c>
      <c r="B18" s="88">
        <f t="shared" ref="B18:B40" si="9">SUM(C18:BX18)</f>
        <v>0</v>
      </c>
      <c r="C18" s="29"/>
      <c r="D18" s="12"/>
      <c r="E18" s="12"/>
      <c r="F18" s="12"/>
      <c r="G18" s="12"/>
      <c r="H18" s="12"/>
      <c r="I18" s="86"/>
      <c r="J18" s="29"/>
      <c r="K18" s="86"/>
      <c r="L18" s="29"/>
      <c r="M18" s="12"/>
      <c r="N18" s="12"/>
      <c r="O18" s="12"/>
      <c r="P18" s="12"/>
      <c r="Q18" s="86"/>
      <c r="R18" s="29"/>
      <c r="S18" s="12"/>
      <c r="T18" s="12"/>
      <c r="U18" s="12"/>
      <c r="V18" s="12"/>
      <c r="W18" s="12"/>
      <c r="X18" s="86"/>
      <c r="Y18" s="29"/>
      <c r="Z18" s="12"/>
      <c r="AA18" s="12"/>
      <c r="AB18" s="12"/>
      <c r="AC18" s="86"/>
      <c r="AD18" s="29"/>
      <c r="AE18" s="86"/>
      <c r="AF18" s="29"/>
      <c r="AG18" s="12"/>
      <c r="AH18" s="29"/>
      <c r="AI18" s="12"/>
      <c r="AJ18" s="12"/>
      <c r="AK18" s="86"/>
      <c r="AL18" s="29"/>
      <c r="AM18" s="12"/>
      <c r="AN18" s="12"/>
      <c r="AO18" s="12"/>
      <c r="AP18" s="12"/>
      <c r="AQ18" s="86"/>
      <c r="AR18" s="12"/>
      <c r="AS18" s="30"/>
      <c r="AT18" s="12"/>
      <c r="AU18" s="12"/>
      <c r="AV18" s="12"/>
      <c r="AW18" s="12"/>
      <c r="AX18" s="12"/>
      <c r="AY18" s="29"/>
      <c r="AZ18" s="12"/>
      <c r="BA18" s="12"/>
      <c r="BB18" s="29"/>
      <c r="BC18" s="12"/>
      <c r="BD18" s="12"/>
      <c r="BE18" s="12"/>
      <c r="BF18" s="29"/>
      <c r="BG18" s="12"/>
      <c r="BH18" s="12"/>
      <c r="BI18" s="12"/>
      <c r="BJ18" s="12"/>
      <c r="BK18" s="12"/>
      <c r="BL18" s="12"/>
      <c r="BM18" s="12"/>
      <c r="BN18" s="29"/>
      <c r="BO18" s="12"/>
      <c r="BP18" s="12"/>
      <c r="BQ18" s="12"/>
      <c r="BR18" s="12"/>
      <c r="BS18" s="12"/>
      <c r="BT18" s="12"/>
      <c r="BU18" s="12"/>
      <c r="BV18" s="88"/>
      <c r="BW18" s="29"/>
      <c r="BX18" s="86"/>
      <c r="BY18" s="15"/>
    </row>
    <row r="19" spans="1:77" x14ac:dyDescent="0.2">
      <c r="A19" s="14" t="s">
        <v>56</v>
      </c>
      <c r="B19" s="100">
        <f t="shared" si="9"/>
        <v>12888032.707594326</v>
      </c>
      <c r="C19" s="31">
        <f>'Restating Adj'!C19+'Pro Forma Adj'!C19</f>
        <v>0</v>
      </c>
      <c r="D19" s="92">
        <f>'Restating Adj'!D19+'Pro Forma Adj'!D19</f>
        <v>0</v>
      </c>
      <c r="E19" s="92">
        <f>'Restating Adj'!E19+'Pro Forma Adj'!E19</f>
        <v>0</v>
      </c>
      <c r="F19" s="92">
        <f>'Restating Adj'!F19+'Pro Forma Adj'!F19</f>
        <v>0</v>
      </c>
      <c r="G19" s="92">
        <f>'Restating Adj'!G19+'Pro Forma Adj'!G19</f>
        <v>0</v>
      </c>
      <c r="H19" s="90">
        <f>'Restating Adj'!H19+'Pro Forma Adj'!H19</f>
        <v>0</v>
      </c>
      <c r="I19" s="91">
        <f>'Restating Adj'!I19+'Pro Forma Adj'!I19</f>
        <v>0</v>
      </c>
      <c r="J19" s="30">
        <f>'Restating Adj'!J19+'Pro Forma Adj'!J19</f>
        <v>0</v>
      </c>
      <c r="K19" s="91">
        <f>'Restating Adj'!K19+'Pro Forma Adj'!K19</f>
        <v>0</v>
      </c>
      <c r="L19" s="31">
        <f>'Restating Adj'!L19+'Pro Forma Adj'!L19</f>
        <v>0</v>
      </c>
      <c r="M19" s="92">
        <f>'Restating Adj'!M19+'Pro Forma Adj'!M19</f>
        <v>-8712.2506004676943</v>
      </c>
      <c r="N19" s="92">
        <f>'Restating Adj'!N19+'Pro Forma Adj'!N19</f>
        <v>-126071.80094252861</v>
      </c>
      <c r="O19" s="92">
        <f>'Restating Adj'!O19+'Pro Forma Adj'!O19</f>
        <v>0</v>
      </c>
      <c r="P19" s="92">
        <f>'Restating Adj'!P19+'Pro Forma Adj'!P19</f>
        <v>-2677.954313646268</v>
      </c>
      <c r="Q19" s="93">
        <f>'Restating Adj'!Q19+'Pro Forma Adj'!Q19</f>
        <v>0</v>
      </c>
      <c r="R19" s="30">
        <f>'Restating Adj'!R19+'Pro Forma Adj'!R19</f>
        <v>0</v>
      </c>
      <c r="S19" s="90">
        <f>'Restating Adj'!S19+'Pro Forma Adj'!S19</f>
        <v>0</v>
      </c>
      <c r="T19" s="90">
        <f>'Restating Adj'!T19+'Pro Forma Adj'!T19</f>
        <v>0</v>
      </c>
      <c r="U19" s="90">
        <f>'Restating Adj'!U19+'Pro Forma Adj'!U19</f>
        <v>0</v>
      </c>
      <c r="V19" s="90">
        <f>'Restating Adj'!V19+'Pro Forma Adj'!V19</f>
        <v>8569.2274704591728</v>
      </c>
      <c r="W19" s="90">
        <f>'Restating Adj'!W19+'Pro Forma Adj'!W19</f>
        <v>0</v>
      </c>
      <c r="X19" s="91">
        <f>'Restating Adj'!X19+'Pro Forma Adj'!X19</f>
        <v>0</v>
      </c>
      <c r="Y19" s="30">
        <f>'Restating Adj'!Y19+'Pro Forma Adj'!Y19</f>
        <v>0</v>
      </c>
      <c r="Z19" s="90">
        <f>'Restating Adj'!Z19+'Pro Forma Adj'!Z19</f>
        <v>0</v>
      </c>
      <c r="AA19" s="90">
        <f>'Restating Adj'!AA19+'Pro Forma Adj'!AA19</f>
        <v>0</v>
      </c>
      <c r="AB19" s="90">
        <f>'Restating Adj'!AB19+'Pro Forma Adj'!AB19</f>
        <v>0</v>
      </c>
      <c r="AC19" s="91">
        <f>'Restating Adj'!AC19+'Pro Forma Adj'!AC19</f>
        <v>0</v>
      </c>
      <c r="AD19" s="31">
        <f>'Restating Adj'!AD19+'Pro Forma Adj'!AD19</f>
        <v>2396809.2475024615</v>
      </c>
      <c r="AE19" s="93">
        <f>'Restating Adj'!AE19+'Pro Forma Adj'!AE19</f>
        <v>10228653.552479658</v>
      </c>
      <c r="AF19" s="31">
        <f>'Restating Adj'!AF19+'Pro Forma Adj'!AF19</f>
        <v>0</v>
      </c>
      <c r="AG19" s="92">
        <f>'Restating Adj'!AG19+'Pro Forma Adj'!AG19</f>
        <v>0</v>
      </c>
      <c r="AH19" s="31">
        <f>'Restating Adj'!AH19+'Pro Forma Adj'!AH19</f>
        <v>0</v>
      </c>
      <c r="AI19" s="92">
        <f>'Restating Adj'!AI19+'Pro Forma Adj'!AI19</f>
        <v>0</v>
      </c>
      <c r="AJ19" s="92">
        <f>'Restating Adj'!AJ19+'Pro Forma Adj'!AJ19</f>
        <v>0</v>
      </c>
      <c r="AK19" s="93">
        <f>'Restating Adj'!AK19+'Pro Forma Adj'!AK19</f>
        <v>0</v>
      </c>
      <c r="AL19" s="31">
        <f>'Restating Adj'!AL19+'Pro Forma Adj'!AL19</f>
        <v>0</v>
      </c>
      <c r="AM19" s="92">
        <f>'Restating Adj'!AM19+'Pro Forma Adj'!AM19</f>
        <v>0</v>
      </c>
      <c r="AN19" s="92">
        <f>'Restating Adj'!AN19+'Pro Forma Adj'!AN19</f>
        <v>0</v>
      </c>
      <c r="AO19" s="92">
        <f>'Restating Adj'!AO19+'Pro Forma Adj'!AO19</f>
        <v>-16247.501258986522</v>
      </c>
      <c r="AP19" s="92">
        <f>'Restating Adj'!AP19+'Pro Forma Adj'!AP19</f>
        <v>-34074.162601527518</v>
      </c>
      <c r="AQ19" s="93">
        <f>'Restating Adj'!AQ19+'Pro Forma Adj'!AQ19</f>
        <v>0</v>
      </c>
      <c r="AR19" s="92">
        <f>'Restating Adj'!AR19+'Pro Forma Adj'!AR19</f>
        <v>0</v>
      </c>
      <c r="AS19" s="31">
        <f>'Restating Adj'!AS19+'Pro Forma Adj'!AS19</f>
        <v>0</v>
      </c>
      <c r="AT19" s="92">
        <f>'Restating Adj'!AT19+'Pro Forma Adj'!AT19</f>
        <v>0</v>
      </c>
      <c r="AU19" s="92">
        <f>'Restating Adj'!AU19+'Pro Forma Adj'!AU19</f>
        <v>0</v>
      </c>
      <c r="AV19" s="92">
        <f>'Restating Adj'!AV19+'Pro Forma Adj'!AV19</f>
        <v>0</v>
      </c>
      <c r="AW19" s="92">
        <f>'Restating Adj'!AW19+'Pro Forma Adj'!AW19</f>
        <v>0</v>
      </c>
      <c r="AX19" s="92">
        <f>'Restating Adj'!AX19+'Pro Forma Adj'!AX19</f>
        <v>0</v>
      </c>
      <c r="AY19" s="31">
        <f>'Restating Adj'!AY19+'Pro Forma Adj'!AY19</f>
        <v>0</v>
      </c>
      <c r="AZ19" s="92">
        <f>'Restating Adj'!AZ19+'Pro Forma Adj'!AZ19</f>
        <v>0</v>
      </c>
      <c r="BA19" s="92">
        <f>'Restating Adj'!BA19+'Pro Forma Adj'!BA19</f>
        <v>0</v>
      </c>
      <c r="BB19" s="31">
        <f>'Restating Adj'!BB19+'Pro Forma Adj'!BB19</f>
        <v>0</v>
      </c>
      <c r="BC19" s="90">
        <f>'Restating Adj'!BC19+'Pro Forma Adj'!BC19</f>
        <v>0</v>
      </c>
      <c r="BD19" s="90">
        <f>'Restating Adj'!BD19+'Pro Forma Adj'!BD19</f>
        <v>0</v>
      </c>
      <c r="BE19" s="90">
        <f>'Restating Adj'!BE19+'Pro Forma Adj'!BE19</f>
        <v>0</v>
      </c>
      <c r="BF19" s="30">
        <f>'Restating Adj'!BF19+'Pro Forma Adj'!BF19</f>
        <v>0</v>
      </c>
      <c r="BG19" s="90">
        <f>'Restating Adj'!BG19+'Pro Forma Adj'!BG19</f>
        <v>0</v>
      </c>
      <c r="BH19" s="12">
        <f>'Restating Adj'!BH19+'Pro Forma Adj'!BH19</f>
        <v>0</v>
      </c>
      <c r="BI19" s="90">
        <f>'Restating Adj'!BI19+'Pro Forma Adj'!BI19</f>
        <v>0</v>
      </c>
      <c r="BJ19" s="92">
        <f>'Restating Adj'!BJ19+'Pro Forma Adj'!BJ19</f>
        <v>0</v>
      </c>
      <c r="BK19" s="92">
        <f>'Restating Adj'!BK19+'Pro Forma Adj'!BK19</f>
        <v>0</v>
      </c>
      <c r="BL19" s="92">
        <f>'Restating Adj'!BL19+'Pro Forma Adj'!BL19</f>
        <v>0</v>
      </c>
      <c r="BM19" s="92">
        <f>'Restating Adj'!BM19+'Pro Forma Adj'!BM19</f>
        <v>0</v>
      </c>
      <c r="BN19" s="31">
        <f>'Restating Adj'!BN19+'Pro Forma Adj'!BN19</f>
        <v>0</v>
      </c>
      <c r="BO19" s="92">
        <f>'Restating Adj'!BO19+'Pro Forma Adj'!BO19</f>
        <v>0</v>
      </c>
      <c r="BP19" s="92">
        <f>'Restating Adj'!BP19+'Pro Forma Adj'!BP19</f>
        <v>0</v>
      </c>
      <c r="BQ19" s="92">
        <f>'Restating Adj'!BQ19+'Pro Forma Adj'!BQ19</f>
        <v>0</v>
      </c>
      <c r="BR19" s="92">
        <f>'Restating Adj'!BR19+'Pro Forma Adj'!BR19</f>
        <v>0</v>
      </c>
      <c r="BS19" s="92">
        <f>'Restating Adj'!BS19+'Pro Forma Adj'!BS19</f>
        <v>0</v>
      </c>
      <c r="BT19" s="92">
        <f>'Restating Adj'!BT19+'Pro Forma Adj'!BT19</f>
        <v>0</v>
      </c>
      <c r="BU19" s="92">
        <f>'Restating Adj'!BU19+'Pro Forma Adj'!BU19</f>
        <v>0</v>
      </c>
      <c r="BV19" s="299">
        <f>'Restating Adj'!BV19+'Pro Forma Adj'!BV19</f>
        <v>0</v>
      </c>
      <c r="BW19" s="31">
        <f>'Restating Adj'!BW19+'Pro Forma Adj'!BW19</f>
        <v>441784.34985890239</v>
      </c>
      <c r="BX19" s="93">
        <f>'Restating Adj'!BX19+'Pro Forma Adj'!BX19</f>
        <v>0</v>
      </c>
      <c r="BY19" s="15"/>
    </row>
    <row r="20" spans="1:77" x14ac:dyDescent="0.2">
      <c r="A20" s="14" t="s">
        <v>57</v>
      </c>
      <c r="B20" s="100">
        <f t="shared" si="9"/>
        <v>0</v>
      </c>
      <c r="C20" s="31">
        <f>'Restating Adj'!C20+'Pro Forma Adj'!C20</f>
        <v>0</v>
      </c>
      <c r="D20" s="92">
        <f>'Restating Adj'!D20+'Pro Forma Adj'!D20</f>
        <v>0</v>
      </c>
      <c r="E20" s="92">
        <f>'Restating Adj'!E20+'Pro Forma Adj'!E20</f>
        <v>0</v>
      </c>
      <c r="F20" s="92">
        <f>'Restating Adj'!F20+'Pro Forma Adj'!F20</f>
        <v>0</v>
      </c>
      <c r="G20" s="92">
        <f>'Restating Adj'!G20+'Pro Forma Adj'!G20</f>
        <v>0</v>
      </c>
      <c r="H20" s="90">
        <f>'Restating Adj'!H20+'Pro Forma Adj'!H20</f>
        <v>0</v>
      </c>
      <c r="I20" s="91">
        <f>'Restating Adj'!I20+'Pro Forma Adj'!I20</f>
        <v>0</v>
      </c>
      <c r="J20" s="30">
        <f>'Restating Adj'!J20+'Pro Forma Adj'!J20</f>
        <v>0</v>
      </c>
      <c r="K20" s="91">
        <f>'Restating Adj'!K20+'Pro Forma Adj'!K20</f>
        <v>0</v>
      </c>
      <c r="L20" s="31">
        <f>'Restating Adj'!L20+'Pro Forma Adj'!L20</f>
        <v>0</v>
      </c>
      <c r="M20" s="92">
        <f>'Restating Adj'!M20+'Pro Forma Adj'!M20</f>
        <v>0</v>
      </c>
      <c r="N20" s="92">
        <f>'Restating Adj'!N20+'Pro Forma Adj'!N20</f>
        <v>0</v>
      </c>
      <c r="O20" s="92">
        <f>'Restating Adj'!O20+'Pro Forma Adj'!O20</f>
        <v>0</v>
      </c>
      <c r="P20" s="92">
        <f>'Restating Adj'!P20+'Pro Forma Adj'!P20</f>
        <v>0</v>
      </c>
      <c r="Q20" s="93">
        <f>'Restating Adj'!Q20+'Pro Forma Adj'!Q20</f>
        <v>0</v>
      </c>
      <c r="R20" s="30">
        <f>'Restating Adj'!R20+'Pro Forma Adj'!R20</f>
        <v>0</v>
      </c>
      <c r="S20" s="90">
        <f>'Restating Adj'!S20+'Pro Forma Adj'!S20</f>
        <v>0</v>
      </c>
      <c r="T20" s="90">
        <f>'Restating Adj'!T20+'Pro Forma Adj'!T20</f>
        <v>0</v>
      </c>
      <c r="U20" s="90">
        <f>'Restating Adj'!U20+'Pro Forma Adj'!U20</f>
        <v>0</v>
      </c>
      <c r="V20" s="90">
        <f>'Restating Adj'!V20+'Pro Forma Adj'!V20</f>
        <v>0</v>
      </c>
      <c r="W20" s="90">
        <f>'Restating Adj'!W20+'Pro Forma Adj'!W20</f>
        <v>0</v>
      </c>
      <c r="X20" s="91">
        <f>'Restating Adj'!X20+'Pro Forma Adj'!X20</f>
        <v>0</v>
      </c>
      <c r="Y20" s="30">
        <f>'Restating Adj'!Y20+'Pro Forma Adj'!Y20</f>
        <v>0</v>
      </c>
      <c r="Z20" s="90">
        <f>'Restating Adj'!Z20+'Pro Forma Adj'!Z20</f>
        <v>0</v>
      </c>
      <c r="AA20" s="90">
        <f>'Restating Adj'!AA20+'Pro Forma Adj'!AA20</f>
        <v>0</v>
      </c>
      <c r="AB20" s="90">
        <f>'Restating Adj'!AB20+'Pro Forma Adj'!AB20</f>
        <v>0</v>
      </c>
      <c r="AC20" s="91">
        <f>'Restating Adj'!AC20+'Pro Forma Adj'!AC20</f>
        <v>0</v>
      </c>
      <c r="AD20" s="31">
        <f>'Restating Adj'!AD20+'Pro Forma Adj'!AD20</f>
        <v>0</v>
      </c>
      <c r="AE20" s="93">
        <f>'Restating Adj'!AE20+'Pro Forma Adj'!AE20</f>
        <v>0</v>
      </c>
      <c r="AF20" s="31">
        <f>'Restating Adj'!AF20+'Pro Forma Adj'!AF20</f>
        <v>0</v>
      </c>
      <c r="AG20" s="92">
        <f>'Restating Adj'!AG20+'Pro Forma Adj'!AG20</f>
        <v>0</v>
      </c>
      <c r="AH20" s="31">
        <f>'Restating Adj'!AH20+'Pro Forma Adj'!AH20</f>
        <v>0</v>
      </c>
      <c r="AI20" s="92">
        <f>'Restating Adj'!AI20+'Pro Forma Adj'!AI20</f>
        <v>0</v>
      </c>
      <c r="AJ20" s="92">
        <f>'Restating Adj'!AJ20+'Pro Forma Adj'!AJ20</f>
        <v>0</v>
      </c>
      <c r="AK20" s="93">
        <f>'Restating Adj'!AK20+'Pro Forma Adj'!AK20</f>
        <v>0</v>
      </c>
      <c r="AL20" s="31">
        <f>'Restating Adj'!AL20+'Pro Forma Adj'!AL20</f>
        <v>0</v>
      </c>
      <c r="AM20" s="92">
        <f>'Restating Adj'!AM20+'Pro Forma Adj'!AM20</f>
        <v>0</v>
      </c>
      <c r="AN20" s="92">
        <f>'Restating Adj'!AN20+'Pro Forma Adj'!AN20</f>
        <v>0</v>
      </c>
      <c r="AO20" s="92">
        <f>'Restating Adj'!AO20+'Pro Forma Adj'!AO20</f>
        <v>0</v>
      </c>
      <c r="AP20" s="92">
        <f>'Restating Adj'!AP20+'Pro Forma Adj'!AP20</f>
        <v>0</v>
      </c>
      <c r="AQ20" s="93">
        <f>'Restating Adj'!AQ20+'Pro Forma Adj'!AQ20</f>
        <v>0</v>
      </c>
      <c r="AR20" s="92">
        <f>'Restating Adj'!AR20+'Pro Forma Adj'!AR20</f>
        <v>0</v>
      </c>
      <c r="AS20" s="31">
        <f>'Restating Adj'!AS20+'Pro Forma Adj'!AS20</f>
        <v>0</v>
      </c>
      <c r="AT20" s="92">
        <f>'Restating Adj'!AT20+'Pro Forma Adj'!AT20</f>
        <v>0</v>
      </c>
      <c r="AU20" s="92">
        <f>'Restating Adj'!AU20+'Pro Forma Adj'!AU20</f>
        <v>0</v>
      </c>
      <c r="AV20" s="92">
        <f>'Restating Adj'!AV20+'Pro Forma Adj'!AV20</f>
        <v>0</v>
      </c>
      <c r="AW20" s="92">
        <f>'Restating Adj'!AW20+'Pro Forma Adj'!AW20</f>
        <v>0</v>
      </c>
      <c r="AX20" s="92">
        <f>'Restating Adj'!AX20+'Pro Forma Adj'!AX20</f>
        <v>0</v>
      </c>
      <c r="AY20" s="31">
        <f>'Restating Adj'!AY20+'Pro Forma Adj'!AY20</f>
        <v>0</v>
      </c>
      <c r="AZ20" s="92">
        <f>'Restating Adj'!AZ20+'Pro Forma Adj'!AZ20</f>
        <v>0</v>
      </c>
      <c r="BA20" s="92">
        <f>'Restating Adj'!BA20+'Pro Forma Adj'!BA20</f>
        <v>0</v>
      </c>
      <c r="BB20" s="31">
        <f>'Restating Adj'!BB20+'Pro Forma Adj'!BB20</f>
        <v>0</v>
      </c>
      <c r="BC20" s="90">
        <f>'Restating Adj'!BC20+'Pro Forma Adj'!BC20</f>
        <v>0</v>
      </c>
      <c r="BD20" s="90">
        <f>'Restating Adj'!BD20+'Pro Forma Adj'!BD20</f>
        <v>0</v>
      </c>
      <c r="BE20" s="90">
        <f>'Restating Adj'!BE20+'Pro Forma Adj'!BE20</f>
        <v>0</v>
      </c>
      <c r="BF20" s="30">
        <f>'Restating Adj'!BF20+'Pro Forma Adj'!BF20</f>
        <v>0</v>
      </c>
      <c r="BG20" s="90">
        <f>'Restating Adj'!BG20+'Pro Forma Adj'!BG20</f>
        <v>0</v>
      </c>
      <c r="BH20" s="12">
        <f>'Restating Adj'!BH20+'Pro Forma Adj'!BH20</f>
        <v>0</v>
      </c>
      <c r="BI20" s="90">
        <f>'Restating Adj'!BI20+'Pro Forma Adj'!BI20</f>
        <v>0</v>
      </c>
      <c r="BJ20" s="92">
        <f>'Restating Adj'!BJ20+'Pro Forma Adj'!BJ20</f>
        <v>0</v>
      </c>
      <c r="BK20" s="92">
        <f>'Restating Adj'!BK20+'Pro Forma Adj'!BK20</f>
        <v>0</v>
      </c>
      <c r="BL20" s="92">
        <f>'Restating Adj'!BL20+'Pro Forma Adj'!BL20</f>
        <v>0</v>
      </c>
      <c r="BM20" s="92">
        <f>'Restating Adj'!BM20+'Pro Forma Adj'!BM20</f>
        <v>0</v>
      </c>
      <c r="BN20" s="31">
        <f>'Restating Adj'!BN20+'Pro Forma Adj'!BN20</f>
        <v>0</v>
      </c>
      <c r="BO20" s="92">
        <f>'Restating Adj'!BO20+'Pro Forma Adj'!BO20</f>
        <v>0</v>
      </c>
      <c r="BP20" s="92">
        <f>'Restating Adj'!BP20+'Pro Forma Adj'!BP20</f>
        <v>0</v>
      </c>
      <c r="BQ20" s="92">
        <f>'Restating Adj'!BQ20+'Pro Forma Adj'!BQ20</f>
        <v>0</v>
      </c>
      <c r="BR20" s="92">
        <f>'Restating Adj'!BR20+'Pro Forma Adj'!BR20</f>
        <v>0</v>
      </c>
      <c r="BS20" s="92">
        <f>'Restating Adj'!BS20+'Pro Forma Adj'!BS20</f>
        <v>0</v>
      </c>
      <c r="BT20" s="92">
        <f>'Restating Adj'!BT20+'Pro Forma Adj'!BT20</f>
        <v>0</v>
      </c>
      <c r="BU20" s="92">
        <f>'Restating Adj'!BU20+'Pro Forma Adj'!BU20</f>
        <v>0</v>
      </c>
      <c r="BV20" s="299">
        <f>'Restating Adj'!BV20+'Pro Forma Adj'!BV20</f>
        <v>0</v>
      </c>
      <c r="BW20" s="31">
        <f>'Restating Adj'!BW20+'Pro Forma Adj'!BW20</f>
        <v>0</v>
      </c>
      <c r="BX20" s="93">
        <f>'Restating Adj'!BX20+'Pro Forma Adj'!BX20</f>
        <v>0</v>
      </c>
      <c r="BY20" s="15"/>
    </row>
    <row r="21" spans="1:77" x14ac:dyDescent="0.2">
      <c r="A21" s="14" t="s">
        <v>58</v>
      </c>
      <c r="B21" s="100">
        <f t="shared" si="9"/>
        <v>-86498.853211820824</v>
      </c>
      <c r="C21" s="31">
        <f>'Restating Adj'!C21+'Pro Forma Adj'!C21</f>
        <v>0</v>
      </c>
      <c r="D21" s="92">
        <f>'Restating Adj'!D21+'Pro Forma Adj'!D21</f>
        <v>0</v>
      </c>
      <c r="E21" s="92">
        <f>'Restating Adj'!E21+'Pro Forma Adj'!E21</f>
        <v>0</v>
      </c>
      <c r="F21" s="92">
        <f>'Restating Adj'!F21+'Pro Forma Adj'!F21</f>
        <v>0</v>
      </c>
      <c r="G21" s="92">
        <f>'Restating Adj'!G21+'Pro Forma Adj'!G21</f>
        <v>0</v>
      </c>
      <c r="H21" s="90">
        <f>'Restating Adj'!H21+'Pro Forma Adj'!H21</f>
        <v>0</v>
      </c>
      <c r="I21" s="91">
        <f>'Restating Adj'!I21+'Pro Forma Adj'!I21</f>
        <v>0</v>
      </c>
      <c r="J21" s="30">
        <f>'Restating Adj'!J21+'Pro Forma Adj'!J21</f>
        <v>0</v>
      </c>
      <c r="K21" s="91">
        <f>'Restating Adj'!K21+'Pro Forma Adj'!K21</f>
        <v>0</v>
      </c>
      <c r="L21" s="31">
        <f>'Restating Adj'!L21+'Pro Forma Adj'!L21</f>
        <v>0</v>
      </c>
      <c r="M21" s="92">
        <f>'Restating Adj'!M21+'Pro Forma Adj'!M21</f>
        <v>-4029.4565351827396</v>
      </c>
      <c r="N21" s="92">
        <f>'Restating Adj'!N21+'Pro Forma Adj'!N21</f>
        <v>-58308.795913521913</v>
      </c>
      <c r="O21" s="92">
        <f>'Restating Adj'!O21+'Pro Forma Adj'!O21</f>
        <v>0</v>
      </c>
      <c r="P21" s="92">
        <f>'Restating Adj'!P21+'Pro Forma Adj'!P21</f>
        <v>0</v>
      </c>
      <c r="Q21" s="93">
        <f>'Restating Adj'!Q21+'Pro Forma Adj'!Q21</f>
        <v>0</v>
      </c>
      <c r="R21" s="39">
        <f>'Restating Adj'!R21+'Pro Forma Adj'!R21</f>
        <v>0</v>
      </c>
      <c r="S21" s="2">
        <f>'Restating Adj'!S21+'Pro Forma Adj'!S21</f>
        <v>0</v>
      </c>
      <c r="T21" s="2">
        <f>'Restating Adj'!T21+'Pro Forma Adj'!T21</f>
        <v>0</v>
      </c>
      <c r="U21" s="2">
        <f>'Restating Adj'!U21+'Pro Forma Adj'!U21</f>
        <v>0</v>
      </c>
      <c r="V21" s="2">
        <f>'Restating Adj'!V21+'Pro Forma Adj'!V21</f>
        <v>-343.38767399739129</v>
      </c>
      <c r="W21" s="2">
        <f>'Restating Adj'!W21+'Pro Forma Adj'!W21</f>
        <v>0</v>
      </c>
      <c r="X21" s="309">
        <f>'Restating Adj'!X21+'Pro Forma Adj'!X21</f>
        <v>0</v>
      </c>
      <c r="Y21" s="39">
        <f>'Restating Adj'!Y21+'Pro Forma Adj'!Y21</f>
        <v>0</v>
      </c>
      <c r="Z21" s="2">
        <f>'Restating Adj'!Z21+'Pro Forma Adj'!Z21</f>
        <v>0</v>
      </c>
      <c r="AA21" s="2">
        <f>'Restating Adj'!AA21+'Pro Forma Adj'!AA21</f>
        <v>0</v>
      </c>
      <c r="AB21" s="2">
        <f>'Restating Adj'!AB21+'Pro Forma Adj'!AB21</f>
        <v>0</v>
      </c>
      <c r="AC21" s="309">
        <f>'Restating Adj'!AC21+'Pro Forma Adj'!AC21</f>
        <v>0</v>
      </c>
      <c r="AD21" s="31">
        <f>'Restating Adj'!AD21+'Pro Forma Adj'!AD21</f>
        <v>0</v>
      </c>
      <c r="AE21" s="93">
        <f>'Restating Adj'!AE21+'Pro Forma Adj'!AE21</f>
        <v>0</v>
      </c>
      <c r="AF21" s="31">
        <f>'Restating Adj'!AF21+'Pro Forma Adj'!AF21</f>
        <v>0</v>
      </c>
      <c r="AG21" s="92">
        <f>'Restating Adj'!AG21+'Pro Forma Adj'!AG21</f>
        <v>0</v>
      </c>
      <c r="AH21" s="31">
        <f>'Restating Adj'!AH21+'Pro Forma Adj'!AH21</f>
        <v>0</v>
      </c>
      <c r="AI21" s="92">
        <f>'Restating Adj'!AI21+'Pro Forma Adj'!AI21</f>
        <v>0</v>
      </c>
      <c r="AJ21" s="92">
        <f>'Restating Adj'!AJ21+'Pro Forma Adj'!AJ21</f>
        <v>0</v>
      </c>
      <c r="AK21" s="93">
        <f>'Restating Adj'!AK21+'Pro Forma Adj'!AK21</f>
        <v>0</v>
      </c>
      <c r="AL21" s="31">
        <f>'Restating Adj'!AL21+'Pro Forma Adj'!AL21</f>
        <v>0</v>
      </c>
      <c r="AM21" s="92">
        <f>'Restating Adj'!AM21+'Pro Forma Adj'!AM21</f>
        <v>0</v>
      </c>
      <c r="AN21" s="92">
        <f>'Restating Adj'!AN21+'Pro Forma Adj'!AN21</f>
        <v>0</v>
      </c>
      <c r="AO21" s="92">
        <f>'Restating Adj'!AO21+'Pro Forma Adj'!AO21</f>
        <v>-7514.5451078850419</v>
      </c>
      <c r="AP21" s="92">
        <f>'Restating Adj'!AP21+'Pro Forma Adj'!AP21</f>
        <v>-9318.4374022659995</v>
      </c>
      <c r="AQ21" s="93">
        <f>'Restating Adj'!AQ21+'Pro Forma Adj'!AQ21</f>
        <v>0</v>
      </c>
      <c r="AR21" s="92">
        <f>'Restating Adj'!AR21+'Pro Forma Adj'!AR21</f>
        <v>0</v>
      </c>
      <c r="AS21" s="31">
        <f>'Restating Adj'!AS21+'Pro Forma Adj'!AS21</f>
        <v>0</v>
      </c>
      <c r="AT21" s="92">
        <f>'Restating Adj'!AT21+'Pro Forma Adj'!AT21</f>
        <v>0</v>
      </c>
      <c r="AU21" s="92">
        <f>'Restating Adj'!AU21+'Pro Forma Adj'!AU21</f>
        <v>0</v>
      </c>
      <c r="AV21" s="92">
        <f>'Restating Adj'!AV21+'Pro Forma Adj'!AV21</f>
        <v>0</v>
      </c>
      <c r="AW21" s="92">
        <f>'Restating Adj'!AW21+'Pro Forma Adj'!AW21</f>
        <v>0</v>
      </c>
      <c r="AX21" s="92">
        <f>'Restating Adj'!AX21+'Pro Forma Adj'!AX21</f>
        <v>0</v>
      </c>
      <c r="AY21" s="31">
        <f>'Restating Adj'!AY21+'Pro Forma Adj'!AY21</f>
        <v>0</v>
      </c>
      <c r="AZ21" s="92">
        <f>'Restating Adj'!AZ21+'Pro Forma Adj'!AZ21</f>
        <v>0</v>
      </c>
      <c r="BA21" s="92">
        <f>'Restating Adj'!BA21+'Pro Forma Adj'!BA21</f>
        <v>0</v>
      </c>
      <c r="BB21" s="31">
        <f>'Restating Adj'!BB21+'Pro Forma Adj'!BB21</f>
        <v>0</v>
      </c>
      <c r="BC21" s="90">
        <f>'Restating Adj'!BC21+'Pro Forma Adj'!BC21</f>
        <v>0</v>
      </c>
      <c r="BD21" s="90">
        <f>'Restating Adj'!BD21+'Pro Forma Adj'!BD21</f>
        <v>0</v>
      </c>
      <c r="BE21" s="90">
        <f>'Restating Adj'!BE21+'Pro Forma Adj'!BE21</f>
        <v>0</v>
      </c>
      <c r="BF21" s="30">
        <f>'Restating Adj'!BF21+'Pro Forma Adj'!BF21</f>
        <v>0</v>
      </c>
      <c r="BG21" s="90">
        <f>'Restating Adj'!BG21+'Pro Forma Adj'!BG21</f>
        <v>0</v>
      </c>
      <c r="BH21" s="12">
        <f>'Restating Adj'!BH21+'Pro Forma Adj'!BH21</f>
        <v>0</v>
      </c>
      <c r="BI21" s="90">
        <f>'Restating Adj'!BI21+'Pro Forma Adj'!BI21</f>
        <v>0</v>
      </c>
      <c r="BJ21" s="92">
        <f>'Restating Adj'!BJ21+'Pro Forma Adj'!BJ21</f>
        <v>0</v>
      </c>
      <c r="BK21" s="92">
        <f>'Restating Adj'!BK21+'Pro Forma Adj'!BK21</f>
        <v>0</v>
      </c>
      <c r="BL21" s="92">
        <f>'Restating Adj'!BL21+'Pro Forma Adj'!BL21</f>
        <v>0</v>
      </c>
      <c r="BM21" s="92">
        <f>'Restating Adj'!BM21+'Pro Forma Adj'!BM21</f>
        <v>0</v>
      </c>
      <c r="BN21" s="31">
        <f>'Restating Adj'!BN21+'Pro Forma Adj'!BN21</f>
        <v>-6984.2305789677403</v>
      </c>
      <c r="BO21" s="92">
        <f>'Restating Adj'!BO21+'Pro Forma Adj'!BO21</f>
        <v>0</v>
      </c>
      <c r="BP21" s="92">
        <f>'Restating Adj'!BP21+'Pro Forma Adj'!BP21</f>
        <v>0</v>
      </c>
      <c r="BQ21" s="92">
        <f>'Restating Adj'!BQ21+'Pro Forma Adj'!BQ21</f>
        <v>0</v>
      </c>
      <c r="BR21" s="92">
        <f>'Restating Adj'!BR21+'Pro Forma Adj'!BR21</f>
        <v>0</v>
      </c>
      <c r="BS21" s="92">
        <f>'Restating Adj'!BS21+'Pro Forma Adj'!BS21</f>
        <v>0</v>
      </c>
      <c r="BT21" s="92">
        <f>'Restating Adj'!BT21+'Pro Forma Adj'!BT21</f>
        <v>0</v>
      </c>
      <c r="BU21" s="92">
        <f>'Restating Adj'!BU21+'Pro Forma Adj'!BU21</f>
        <v>0</v>
      </c>
      <c r="BV21" s="299">
        <f>'Restating Adj'!BV21+'Pro Forma Adj'!BV21</f>
        <v>0</v>
      </c>
      <c r="BW21" s="31">
        <f>'Restating Adj'!BW21+'Pro Forma Adj'!BW21</f>
        <v>0</v>
      </c>
      <c r="BX21" s="93">
        <f>'Restating Adj'!BX21+'Pro Forma Adj'!BX21</f>
        <v>0</v>
      </c>
      <c r="BY21" s="15"/>
    </row>
    <row r="22" spans="1:77" x14ac:dyDescent="0.2">
      <c r="A22" s="14" t="s">
        <v>59</v>
      </c>
      <c r="B22" s="100">
        <f t="shared" si="9"/>
        <v>-19361727.985220149</v>
      </c>
      <c r="C22" s="31">
        <f>'Restating Adj'!C22+'Pro Forma Adj'!C22</f>
        <v>0</v>
      </c>
      <c r="D22" s="92">
        <f>'Restating Adj'!D22+'Pro Forma Adj'!D22</f>
        <v>0</v>
      </c>
      <c r="E22" s="92">
        <f>'Restating Adj'!E22+'Pro Forma Adj'!E22</f>
        <v>0</v>
      </c>
      <c r="F22" s="92">
        <f>'Restating Adj'!F22+'Pro Forma Adj'!F22</f>
        <v>0</v>
      </c>
      <c r="G22" s="92">
        <f>'Restating Adj'!G22+'Pro Forma Adj'!G22</f>
        <v>0</v>
      </c>
      <c r="H22" s="90">
        <f>'Restating Adj'!H22+'Pro Forma Adj'!H22</f>
        <v>0</v>
      </c>
      <c r="I22" s="91">
        <f>'Restating Adj'!I22+'Pro Forma Adj'!I22</f>
        <v>0</v>
      </c>
      <c r="J22" s="30">
        <f>'Restating Adj'!J22+'Pro Forma Adj'!J22</f>
        <v>0</v>
      </c>
      <c r="K22" s="91">
        <f>'Restating Adj'!K22+'Pro Forma Adj'!K22</f>
        <v>0</v>
      </c>
      <c r="L22" s="31">
        <f>'Restating Adj'!L22+'Pro Forma Adj'!L22</f>
        <v>-571.03068678181455</v>
      </c>
      <c r="M22" s="92">
        <f>'Restating Adj'!M22+'Pro Forma Adj'!M22</f>
        <v>-4861.784858658717</v>
      </c>
      <c r="N22" s="92">
        <f>'Restating Adj'!N22+'Pro Forma Adj'!N22</f>
        <v>-70353.115519119441</v>
      </c>
      <c r="O22" s="92">
        <f>'Restating Adj'!O22+'Pro Forma Adj'!O22</f>
        <v>-5011.1464766640465</v>
      </c>
      <c r="P22" s="92">
        <f>'Restating Adj'!P22+'Pro Forma Adj'!P22</f>
        <v>0</v>
      </c>
      <c r="Q22" s="93">
        <f>'Restating Adj'!Q22+'Pro Forma Adj'!Q22</f>
        <v>0</v>
      </c>
      <c r="R22" s="30">
        <f>'Restating Adj'!R22+'Pro Forma Adj'!R22</f>
        <v>-39319.478067078089</v>
      </c>
      <c r="S22" s="90">
        <f>'Restating Adj'!S22+'Pro Forma Adj'!S22</f>
        <v>0</v>
      </c>
      <c r="T22" s="90">
        <f>'Restating Adj'!T22+'Pro Forma Adj'!T22</f>
        <v>0</v>
      </c>
      <c r="U22" s="90">
        <f>'Restating Adj'!U22+'Pro Forma Adj'!U22</f>
        <v>0</v>
      </c>
      <c r="V22" s="90">
        <f>'Restating Adj'!V22+'Pro Forma Adj'!V22</f>
        <v>-61551.156267190818</v>
      </c>
      <c r="W22" s="90">
        <f>'Restating Adj'!W22+'Pro Forma Adj'!W22</f>
        <v>0</v>
      </c>
      <c r="X22" s="91">
        <f>'Restating Adj'!X22+'Pro Forma Adj'!X22</f>
        <v>0</v>
      </c>
      <c r="Y22" s="30">
        <f>'Restating Adj'!Y22+'Pro Forma Adj'!Y22</f>
        <v>0</v>
      </c>
      <c r="Z22" s="90">
        <f>'Restating Adj'!Z22+'Pro Forma Adj'!Z22</f>
        <v>0</v>
      </c>
      <c r="AA22" s="90">
        <f>'Restating Adj'!AA22+'Pro Forma Adj'!AA22</f>
        <v>0</v>
      </c>
      <c r="AB22" s="90">
        <f>'Restating Adj'!AB22+'Pro Forma Adj'!AB22</f>
        <v>0</v>
      </c>
      <c r="AC22" s="91">
        <f>'Restating Adj'!AC22+'Pro Forma Adj'!AC22</f>
        <v>0</v>
      </c>
      <c r="AD22" s="31">
        <f>'Restating Adj'!AD22+'Pro Forma Adj'!AD22</f>
        <v>34894112.577853382</v>
      </c>
      <c r="AE22" s="93">
        <f>'Restating Adj'!AE22+'Pro Forma Adj'!AE22</f>
        <v>-54573974.500770301</v>
      </c>
      <c r="AF22" s="31">
        <f>'Restating Adj'!AF22+'Pro Forma Adj'!AF22</f>
        <v>0</v>
      </c>
      <c r="AG22" s="92">
        <f>'Restating Adj'!AG22+'Pro Forma Adj'!AG22</f>
        <v>0</v>
      </c>
      <c r="AH22" s="31">
        <f>'Restating Adj'!AH22+'Pro Forma Adj'!AH22</f>
        <v>0</v>
      </c>
      <c r="AI22" s="92">
        <f>'Restating Adj'!AI22+'Pro Forma Adj'!AI22</f>
        <v>0</v>
      </c>
      <c r="AJ22" s="92">
        <f>'Restating Adj'!AJ22+'Pro Forma Adj'!AJ22</f>
        <v>0</v>
      </c>
      <c r="AK22" s="93">
        <f>'Restating Adj'!AK22+'Pro Forma Adj'!AK22</f>
        <v>0</v>
      </c>
      <c r="AL22" s="31">
        <f>'Restating Adj'!AL22+'Pro Forma Adj'!AL22</f>
        <v>0</v>
      </c>
      <c r="AM22" s="92">
        <f>'Restating Adj'!AM22+'Pro Forma Adj'!AM22</f>
        <v>0</v>
      </c>
      <c r="AN22" s="92">
        <f>'Restating Adj'!AN22+'Pro Forma Adj'!AN22</f>
        <v>0</v>
      </c>
      <c r="AO22" s="92">
        <f>'Restating Adj'!AO22+'Pro Forma Adj'!AO22</f>
        <v>-9066.7565976280148</v>
      </c>
      <c r="AP22" s="92">
        <f>'Restating Adj'!AP22+'Pro Forma Adj'!AP22</f>
        <v>0</v>
      </c>
      <c r="AQ22" s="93">
        <f>'Restating Adj'!AQ22+'Pro Forma Adj'!AQ22</f>
        <v>0</v>
      </c>
      <c r="AR22" s="92">
        <f>'Restating Adj'!AR22+'Pro Forma Adj'!AR22</f>
        <v>0</v>
      </c>
      <c r="AS22" s="31">
        <f>'Restating Adj'!AS22+'Pro Forma Adj'!AS22</f>
        <v>0</v>
      </c>
      <c r="AT22" s="92">
        <f>'Restating Adj'!AT22+'Pro Forma Adj'!AT22</f>
        <v>0</v>
      </c>
      <c r="AU22" s="92">
        <f>'Restating Adj'!AU22+'Pro Forma Adj'!AU22</f>
        <v>0</v>
      </c>
      <c r="AV22" s="92">
        <f>'Restating Adj'!AV22+'Pro Forma Adj'!AV22</f>
        <v>0</v>
      </c>
      <c r="AW22" s="92">
        <f>'Restating Adj'!AW22+'Pro Forma Adj'!AW22</f>
        <v>0</v>
      </c>
      <c r="AX22" s="92">
        <f>'Restating Adj'!AX22+'Pro Forma Adj'!AX22</f>
        <v>0</v>
      </c>
      <c r="AY22" s="31">
        <f>'Restating Adj'!AY22+'Pro Forma Adj'!AY22</f>
        <v>0</v>
      </c>
      <c r="AZ22" s="92">
        <f>'Restating Adj'!AZ22+'Pro Forma Adj'!AZ22</f>
        <v>0</v>
      </c>
      <c r="BA22" s="92">
        <f>'Restating Adj'!BA22+'Pro Forma Adj'!BA22</f>
        <v>0</v>
      </c>
      <c r="BB22" s="31">
        <f>'Restating Adj'!BB22+'Pro Forma Adj'!BB22</f>
        <v>0</v>
      </c>
      <c r="BC22" s="90">
        <f>'Restating Adj'!BC22+'Pro Forma Adj'!BC22</f>
        <v>0</v>
      </c>
      <c r="BD22" s="90">
        <f>'Restating Adj'!BD22+'Pro Forma Adj'!BD22</f>
        <v>0</v>
      </c>
      <c r="BE22" s="90">
        <f>'Restating Adj'!BE22+'Pro Forma Adj'!BE22</f>
        <v>0</v>
      </c>
      <c r="BF22" s="30">
        <f>'Restating Adj'!BF22+'Pro Forma Adj'!BF22</f>
        <v>0</v>
      </c>
      <c r="BG22" s="90">
        <f>'Restating Adj'!BG22+'Pro Forma Adj'!BG22</f>
        <v>0</v>
      </c>
      <c r="BH22" s="12">
        <f>'Restating Adj'!BH22+'Pro Forma Adj'!BH22</f>
        <v>0</v>
      </c>
      <c r="BI22" s="90">
        <f>'Restating Adj'!BI22+'Pro Forma Adj'!BI22</f>
        <v>0</v>
      </c>
      <c r="BJ22" s="92">
        <f>'Restating Adj'!BJ22+'Pro Forma Adj'!BJ22</f>
        <v>0</v>
      </c>
      <c r="BK22" s="92">
        <f>'Restating Adj'!BK22+'Pro Forma Adj'!BK22</f>
        <v>0</v>
      </c>
      <c r="BL22" s="92">
        <f>'Restating Adj'!BL22+'Pro Forma Adj'!BL22</f>
        <v>0</v>
      </c>
      <c r="BM22" s="92">
        <f>'Restating Adj'!BM22+'Pro Forma Adj'!BM22</f>
        <v>0</v>
      </c>
      <c r="BN22" s="31">
        <f>'Restating Adj'!BN22+'Pro Forma Adj'!BN22</f>
        <v>0</v>
      </c>
      <c r="BO22" s="92">
        <f>'Restating Adj'!BO22+'Pro Forma Adj'!BO22</f>
        <v>0</v>
      </c>
      <c r="BP22" s="92">
        <f>'Restating Adj'!BP22+'Pro Forma Adj'!BP22</f>
        <v>0</v>
      </c>
      <c r="BQ22" s="92">
        <f>'Restating Adj'!BQ22+'Pro Forma Adj'!BQ22</f>
        <v>0</v>
      </c>
      <c r="BR22" s="92">
        <f>'Restating Adj'!BR22+'Pro Forma Adj'!BR22</f>
        <v>0</v>
      </c>
      <c r="BS22" s="92">
        <f>'Restating Adj'!BS22+'Pro Forma Adj'!BS22</f>
        <v>0</v>
      </c>
      <c r="BT22" s="92">
        <f>'Restating Adj'!BT22+'Pro Forma Adj'!BT22</f>
        <v>0</v>
      </c>
      <c r="BU22" s="92">
        <f>'Restating Adj'!BU22+'Pro Forma Adj'!BU22</f>
        <v>0</v>
      </c>
      <c r="BV22" s="299">
        <f>'Restating Adj'!BV22+'Pro Forma Adj'!BV22</f>
        <v>0</v>
      </c>
      <c r="BW22" s="31">
        <f>'Restating Adj'!BW22+'Pro Forma Adj'!BW22</f>
        <v>508868.4061698888</v>
      </c>
      <c r="BX22" s="93">
        <f>'Restating Adj'!BX22+'Pro Forma Adj'!BX22</f>
        <v>0</v>
      </c>
      <c r="BY22" s="15"/>
    </row>
    <row r="23" spans="1:77" x14ac:dyDescent="0.2">
      <c r="A23" s="14" t="s">
        <v>60</v>
      </c>
      <c r="B23" s="100">
        <f t="shared" si="9"/>
        <v>3664394.2424569954</v>
      </c>
      <c r="C23" s="31">
        <f>'Restating Adj'!C23+'Pro Forma Adj'!C23</f>
        <v>0</v>
      </c>
      <c r="D23" s="92">
        <f>'Restating Adj'!D23+'Pro Forma Adj'!D23</f>
        <v>0</v>
      </c>
      <c r="E23" s="92">
        <f>'Restating Adj'!E23+'Pro Forma Adj'!E23</f>
        <v>0</v>
      </c>
      <c r="F23" s="92">
        <f>'Restating Adj'!F23+'Pro Forma Adj'!F23</f>
        <v>0</v>
      </c>
      <c r="G23" s="92">
        <f>'Restating Adj'!G23+'Pro Forma Adj'!G23</f>
        <v>0</v>
      </c>
      <c r="H23" s="90">
        <f>'Restating Adj'!H23+'Pro Forma Adj'!H23</f>
        <v>-112129.56683175203</v>
      </c>
      <c r="I23" s="91">
        <f>'Restating Adj'!I23+'Pro Forma Adj'!I23</f>
        <v>0</v>
      </c>
      <c r="J23" s="30">
        <f>'Restating Adj'!J23+'Pro Forma Adj'!J23</f>
        <v>0</v>
      </c>
      <c r="K23" s="91">
        <f>'Restating Adj'!K23+'Pro Forma Adj'!K23</f>
        <v>0</v>
      </c>
      <c r="L23" s="31">
        <f>'Restating Adj'!L23+'Pro Forma Adj'!L23</f>
        <v>0</v>
      </c>
      <c r="M23" s="92">
        <f>'Restating Adj'!M23+'Pro Forma Adj'!M23</f>
        <v>-2511.5814009299925</v>
      </c>
      <c r="N23" s="92">
        <f>'Restating Adj'!N23+'Pro Forma Adj'!N23</f>
        <v>-36344.178439036783</v>
      </c>
      <c r="O23" s="92">
        <f>'Restating Adj'!O23+'Pro Forma Adj'!O23</f>
        <v>0</v>
      </c>
      <c r="P23" s="92">
        <f>'Restating Adj'!P23+'Pro Forma Adj'!P23</f>
        <v>0</v>
      </c>
      <c r="Q23" s="93">
        <f>'Restating Adj'!Q23+'Pro Forma Adj'!Q23</f>
        <v>0</v>
      </c>
      <c r="R23" s="30">
        <f>'Restating Adj'!R23+'Pro Forma Adj'!R23</f>
        <v>118385.44187176228</v>
      </c>
      <c r="S23" s="90">
        <f>'Restating Adj'!S23+'Pro Forma Adj'!S23</f>
        <v>0</v>
      </c>
      <c r="T23" s="90">
        <f>'Restating Adj'!T23+'Pro Forma Adj'!T23</f>
        <v>0</v>
      </c>
      <c r="U23" s="90">
        <f>'Restating Adj'!U23+'Pro Forma Adj'!U23</f>
        <v>0</v>
      </c>
      <c r="V23" s="90">
        <f>'Restating Adj'!V23+'Pro Forma Adj'!V23</f>
        <v>-5247.3435211022797</v>
      </c>
      <c r="W23" s="90">
        <f>'Restating Adj'!W23+'Pro Forma Adj'!W23</f>
        <v>0</v>
      </c>
      <c r="X23" s="91">
        <f>'Restating Adj'!X23+'Pro Forma Adj'!X23</f>
        <v>0</v>
      </c>
      <c r="Y23" s="30">
        <f>'Restating Adj'!Y23+'Pro Forma Adj'!Y23</f>
        <v>0</v>
      </c>
      <c r="Z23" s="90">
        <f>'Restating Adj'!Z23+'Pro Forma Adj'!Z23</f>
        <v>0</v>
      </c>
      <c r="AA23" s="90">
        <f>'Restating Adj'!AA23+'Pro Forma Adj'!AA23</f>
        <v>0</v>
      </c>
      <c r="AB23" s="90">
        <f>'Restating Adj'!AB23+'Pro Forma Adj'!AB23</f>
        <v>0</v>
      </c>
      <c r="AC23" s="91">
        <f>'Restating Adj'!AC23+'Pro Forma Adj'!AC23</f>
        <v>0</v>
      </c>
      <c r="AD23" s="31">
        <f>'Restating Adj'!AD23+'Pro Forma Adj'!AD23</f>
        <v>310072.78129679535</v>
      </c>
      <c r="AE23" s="93">
        <f>'Restating Adj'!AE23+'Pro Forma Adj'!AE23</f>
        <v>3202485.3886923781</v>
      </c>
      <c r="AF23" s="31">
        <f>'Restating Adj'!AF23+'Pro Forma Adj'!AF23</f>
        <v>0</v>
      </c>
      <c r="AG23" s="92">
        <f>'Restating Adj'!AG23+'Pro Forma Adj'!AG23</f>
        <v>0</v>
      </c>
      <c r="AH23" s="31">
        <f>'Restating Adj'!AH23+'Pro Forma Adj'!AH23</f>
        <v>0</v>
      </c>
      <c r="AI23" s="92">
        <f>'Restating Adj'!AI23+'Pro Forma Adj'!AI23</f>
        <v>0</v>
      </c>
      <c r="AJ23" s="92">
        <f>'Restating Adj'!AJ23+'Pro Forma Adj'!AJ23</f>
        <v>0</v>
      </c>
      <c r="AK23" s="93">
        <f>'Restating Adj'!AK23+'Pro Forma Adj'!AK23</f>
        <v>0</v>
      </c>
      <c r="AL23" s="31">
        <f>'Restating Adj'!AL23+'Pro Forma Adj'!AL23</f>
        <v>0</v>
      </c>
      <c r="AM23" s="92">
        <f>'Restating Adj'!AM23+'Pro Forma Adj'!AM23</f>
        <v>0</v>
      </c>
      <c r="AN23" s="92">
        <f>'Restating Adj'!AN23+'Pro Forma Adj'!AN23</f>
        <v>0</v>
      </c>
      <c r="AO23" s="92">
        <f>'Restating Adj'!AO23+'Pro Forma Adj'!AO23</f>
        <v>-4683.855394548289</v>
      </c>
      <c r="AP23" s="92">
        <f>'Restating Adj'!AP23+'Pro Forma Adj'!AP23</f>
        <v>0</v>
      </c>
      <c r="AQ23" s="93">
        <f>'Restating Adj'!AQ23+'Pro Forma Adj'!AQ23</f>
        <v>0</v>
      </c>
      <c r="AR23" s="92">
        <f>'Restating Adj'!AR23+'Pro Forma Adj'!AR23</f>
        <v>0</v>
      </c>
      <c r="AS23" s="31">
        <f>'Restating Adj'!AS23+'Pro Forma Adj'!AS23</f>
        <v>0</v>
      </c>
      <c r="AT23" s="92">
        <f>'Restating Adj'!AT23+'Pro Forma Adj'!AT23</f>
        <v>0</v>
      </c>
      <c r="AU23" s="92">
        <f>'Restating Adj'!AU23+'Pro Forma Adj'!AU23</f>
        <v>0</v>
      </c>
      <c r="AV23" s="92">
        <f>'Restating Adj'!AV23+'Pro Forma Adj'!AV23</f>
        <v>0</v>
      </c>
      <c r="AW23" s="92">
        <f>'Restating Adj'!AW23+'Pro Forma Adj'!AW23</f>
        <v>0</v>
      </c>
      <c r="AX23" s="92">
        <f>'Restating Adj'!AX23+'Pro Forma Adj'!AX23</f>
        <v>0</v>
      </c>
      <c r="AY23" s="31">
        <f>'Restating Adj'!AY23+'Pro Forma Adj'!AY23</f>
        <v>0</v>
      </c>
      <c r="AZ23" s="92">
        <f>'Restating Adj'!AZ23+'Pro Forma Adj'!AZ23</f>
        <v>0</v>
      </c>
      <c r="BA23" s="92">
        <f>'Restating Adj'!BA23+'Pro Forma Adj'!BA23</f>
        <v>0</v>
      </c>
      <c r="BB23" s="31">
        <f>'Restating Adj'!BB23+'Pro Forma Adj'!BB23</f>
        <v>0</v>
      </c>
      <c r="BC23" s="90">
        <f>'Restating Adj'!BC23+'Pro Forma Adj'!BC23</f>
        <v>0</v>
      </c>
      <c r="BD23" s="90">
        <f>'Restating Adj'!BD23+'Pro Forma Adj'!BD23</f>
        <v>0</v>
      </c>
      <c r="BE23" s="90">
        <f>'Restating Adj'!BE23+'Pro Forma Adj'!BE23</f>
        <v>0</v>
      </c>
      <c r="BF23" s="30">
        <f>'Restating Adj'!BF23+'Pro Forma Adj'!BF23</f>
        <v>0</v>
      </c>
      <c r="BG23" s="90">
        <f>'Restating Adj'!BG23+'Pro Forma Adj'!BG23</f>
        <v>0</v>
      </c>
      <c r="BH23" s="12">
        <f>'Restating Adj'!BH23+'Pro Forma Adj'!BH23</f>
        <v>0</v>
      </c>
      <c r="BI23" s="90">
        <f>'Restating Adj'!BI23+'Pro Forma Adj'!BI23</f>
        <v>0</v>
      </c>
      <c r="BJ23" s="92">
        <f>'Restating Adj'!BJ23+'Pro Forma Adj'!BJ23</f>
        <v>0</v>
      </c>
      <c r="BK23" s="92">
        <f>'Restating Adj'!BK23+'Pro Forma Adj'!BK23</f>
        <v>0</v>
      </c>
      <c r="BL23" s="92">
        <f>'Restating Adj'!BL23+'Pro Forma Adj'!BL23</f>
        <v>0</v>
      </c>
      <c r="BM23" s="92">
        <f>'Restating Adj'!BM23+'Pro Forma Adj'!BM23</f>
        <v>0</v>
      </c>
      <c r="BN23" s="31">
        <f>'Restating Adj'!BN23+'Pro Forma Adj'!BN23</f>
        <v>0</v>
      </c>
      <c r="BO23" s="92">
        <f>'Restating Adj'!BO23+'Pro Forma Adj'!BO23</f>
        <v>0</v>
      </c>
      <c r="BP23" s="92">
        <f>'Restating Adj'!BP23+'Pro Forma Adj'!BP23</f>
        <v>0</v>
      </c>
      <c r="BQ23" s="92">
        <f>'Restating Adj'!BQ23+'Pro Forma Adj'!BQ23</f>
        <v>0</v>
      </c>
      <c r="BR23" s="92">
        <f>'Restating Adj'!BR23+'Pro Forma Adj'!BR23</f>
        <v>0</v>
      </c>
      <c r="BS23" s="92">
        <f>'Restating Adj'!BS23+'Pro Forma Adj'!BS23</f>
        <v>0</v>
      </c>
      <c r="BT23" s="92">
        <f>'Restating Adj'!BT23+'Pro Forma Adj'!BT23</f>
        <v>0</v>
      </c>
      <c r="BU23" s="92">
        <f>'Restating Adj'!BU23+'Pro Forma Adj'!BU23</f>
        <v>0</v>
      </c>
      <c r="BV23" s="299">
        <f>'Restating Adj'!BV23+'Pro Forma Adj'!BV23</f>
        <v>0</v>
      </c>
      <c r="BW23" s="31">
        <f>'Restating Adj'!BW23+'Pro Forma Adj'!BW23</f>
        <v>194367.15618342906</v>
      </c>
      <c r="BX23" s="93">
        <f>'Restating Adj'!BX23+'Pro Forma Adj'!BX23</f>
        <v>0</v>
      </c>
      <c r="BY23" s="15"/>
    </row>
    <row r="24" spans="1:77" x14ac:dyDescent="0.2">
      <c r="A24" s="14" t="s">
        <v>61</v>
      </c>
      <c r="B24" s="100">
        <f t="shared" si="9"/>
        <v>-516399.50915407453</v>
      </c>
      <c r="C24" s="31">
        <f>'Restating Adj'!C24+'Pro Forma Adj'!C24</f>
        <v>0</v>
      </c>
      <c r="D24" s="92">
        <f>'Restating Adj'!D24+'Pro Forma Adj'!D24</f>
        <v>0</v>
      </c>
      <c r="E24" s="92">
        <f>'Restating Adj'!E24+'Pro Forma Adj'!E24</f>
        <v>0</v>
      </c>
      <c r="F24" s="92">
        <f>'Restating Adj'!F24+'Pro Forma Adj'!F24</f>
        <v>0</v>
      </c>
      <c r="G24" s="92">
        <f>'Restating Adj'!G24+'Pro Forma Adj'!G24</f>
        <v>0</v>
      </c>
      <c r="H24" s="90">
        <f>'Restating Adj'!H24+'Pro Forma Adj'!H24</f>
        <v>0</v>
      </c>
      <c r="I24" s="91">
        <f>'Restating Adj'!I24+'Pro Forma Adj'!I24</f>
        <v>0</v>
      </c>
      <c r="J24" s="30">
        <f>'Restating Adj'!J24+'Pro Forma Adj'!J24</f>
        <v>0</v>
      </c>
      <c r="K24" s="91">
        <f>'Restating Adj'!K24+'Pro Forma Adj'!K24</f>
        <v>0</v>
      </c>
      <c r="L24" s="31">
        <f>'Restating Adj'!L24+'Pro Forma Adj'!L24</f>
        <v>-124.97292981134815</v>
      </c>
      <c r="M24" s="92">
        <f>'Restating Adj'!M24+'Pro Forma Adj'!M24</f>
        <v>-9991.9518611297044</v>
      </c>
      <c r="N24" s="92">
        <f>'Restating Adj'!N24+'Pro Forma Adj'!N24</f>
        <v>-144589.8911580951</v>
      </c>
      <c r="O24" s="92">
        <f>'Restating Adj'!O24+'Pro Forma Adj'!O24</f>
        <v>0</v>
      </c>
      <c r="P24" s="92">
        <f>'Restating Adj'!P24+'Pro Forma Adj'!P24</f>
        <v>0</v>
      </c>
      <c r="Q24" s="93">
        <f>'Restating Adj'!Q24+'Pro Forma Adj'!Q24</f>
        <v>0</v>
      </c>
      <c r="R24" s="30">
        <f>'Restating Adj'!R24+'Pro Forma Adj'!R24</f>
        <v>-313797.34437002521</v>
      </c>
      <c r="S24" s="90">
        <f>'Restating Adj'!S24+'Pro Forma Adj'!S24</f>
        <v>0</v>
      </c>
      <c r="T24" s="90">
        <f>'Restating Adj'!T24+'Pro Forma Adj'!T24</f>
        <v>0</v>
      </c>
      <c r="U24" s="90">
        <f>'Restating Adj'!U24+'Pro Forma Adj'!U24</f>
        <v>0</v>
      </c>
      <c r="V24" s="90">
        <f>'Restating Adj'!V24+'Pro Forma Adj'!V24</f>
        <v>-29261.329006115837</v>
      </c>
      <c r="W24" s="90">
        <f>'Restating Adj'!W24+'Pro Forma Adj'!W24</f>
        <v>0</v>
      </c>
      <c r="X24" s="91">
        <f>'Restating Adj'!X24+'Pro Forma Adj'!X24</f>
        <v>0</v>
      </c>
      <c r="Y24" s="30">
        <f>'Restating Adj'!Y24+'Pro Forma Adj'!Y24</f>
        <v>0</v>
      </c>
      <c r="Z24" s="90">
        <f>'Restating Adj'!Z24+'Pro Forma Adj'!Z24</f>
        <v>0</v>
      </c>
      <c r="AA24" s="90">
        <f>'Restating Adj'!AA24+'Pro Forma Adj'!AA24</f>
        <v>0</v>
      </c>
      <c r="AB24" s="90">
        <f>'Restating Adj'!AB24+'Pro Forma Adj'!AB24</f>
        <v>0</v>
      </c>
      <c r="AC24" s="91">
        <f>'Restating Adj'!AC24+'Pro Forma Adj'!AC24</f>
        <v>0</v>
      </c>
      <c r="AD24" s="31">
        <f>'Restating Adj'!AD24+'Pro Forma Adj'!AD24</f>
        <v>0</v>
      </c>
      <c r="AE24" s="93">
        <f>'Restating Adj'!AE24+'Pro Forma Adj'!AE24</f>
        <v>0</v>
      </c>
      <c r="AF24" s="31">
        <f>'Restating Adj'!AF24+'Pro Forma Adj'!AF24</f>
        <v>0</v>
      </c>
      <c r="AG24" s="92">
        <f>'Restating Adj'!AG24+'Pro Forma Adj'!AG24</f>
        <v>0</v>
      </c>
      <c r="AH24" s="31">
        <f>'Restating Adj'!AH24+'Pro Forma Adj'!AH24</f>
        <v>0</v>
      </c>
      <c r="AI24" s="92">
        <f>'Restating Adj'!AI24+'Pro Forma Adj'!AI24</f>
        <v>0</v>
      </c>
      <c r="AJ24" s="92">
        <f>'Restating Adj'!AJ24+'Pro Forma Adj'!AJ24</f>
        <v>0</v>
      </c>
      <c r="AK24" s="93">
        <f>'Restating Adj'!AK24+'Pro Forma Adj'!AK24</f>
        <v>0</v>
      </c>
      <c r="AL24" s="31">
        <f>'Restating Adj'!AL24+'Pro Forma Adj'!AL24</f>
        <v>0</v>
      </c>
      <c r="AM24" s="92">
        <f>'Restating Adj'!AM24+'Pro Forma Adj'!AM24</f>
        <v>0</v>
      </c>
      <c r="AN24" s="92">
        <f>'Restating Adj'!AN24+'Pro Forma Adj'!AN24</f>
        <v>0</v>
      </c>
      <c r="AO24" s="92">
        <f>'Restating Adj'!AO24+'Pro Forma Adj'!AO24</f>
        <v>-18634.019828897322</v>
      </c>
      <c r="AP24" s="92">
        <f>'Restating Adj'!AP24+'Pro Forma Adj'!AP24</f>
        <v>0</v>
      </c>
      <c r="AQ24" s="93">
        <f>'Restating Adj'!AQ24+'Pro Forma Adj'!AQ24</f>
        <v>0</v>
      </c>
      <c r="AR24" s="92">
        <f>'Restating Adj'!AR24+'Pro Forma Adj'!AR24</f>
        <v>0</v>
      </c>
      <c r="AS24" s="31">
        <f>'Restating Adj'!AS24+'Pro Forma Adj'!AS24</f>
        <v>0</v>
      </c>
      <c r="AT24" s="92">
        <f>'Restating Adj'!AT24+'Pro Forma Adj'!AT24</f>
        <v>0</v>
      </c>
      <c r="AU24" s="92">
        <f>'Restating Adj'!AU24+'Pro Forma Adj'!AU24</f>
        <v>0</v>
      </c>
      <c r="AV24" s="92">
        <f>'Restating Adj'!AV24+'Pro Forma Adj'!AV24</f>
        <v>0</v>
      </c>
      <c r="AW24" s="92">
        <f>'Restating Adj'!AW24+'Pro Forma Adj'!AW24</f>
        <v>0</v>
      </c>
      <c r="AX24" s="92">
        <f>'Restating Adj'!AX24+'Pro Forma Adj'!AX24</f>
        <v>0</v>
      </c>
      <c r="AY24" s="31">
        <f>'Restating Adj'!AY24+'Pro Forma Adj'!AY24</f>
        <v>0</v>
      </c>
      <c r="AZ24" s="92">
        <f>'Restating Adj'!AZ24+'Pro Forma Adj'!AZ24</f>
        <v>0</v>
      </c>
      <c r="BA24" s="92">
        <f>'Restating Adj'!BA24+'Pro Forma Adj'!BA24</f>
        <v>0</v>
      </c>
      <c r="BB24" s="31">
        <f>'Restating Adj'!BB24+'Pro Forma Adj'!BB24</f>
        <v>0</v>
      </c>
      <c r="BC24" s="90">
        <f>'Restating Adj'!BC24+'Pro Forma Adj'!BC24</f>
        <v>0</v>
      </c>
      <c r="BD24" s="90">
        <f>'Restating Adj'!BD24+'Pro Forma Adj'!BD24</f>
        <v>0</v>
      </c>
      <c r="BE24" s="90">
        <f>'Restating Adj'!BE24+'Pro Forma Adj'!BE24</f>
        <v>0</v>
      </c>
      <c r="BF24" s="30">
        <f>'Restating Adj'!BF24+'Pro Forma Adj'!BF24</f>
        <v>0</v>
      </c>
      <c r="BG24" s="90">
        <f>'Restating Adj'!BG24+'Pro Forma Adj'!BG24</f>
        <v>0</v>
      </c>
      <c r="BH24" s="12">
        <f>'Restating Adj'!BH24+'Pro Forma Adj'!BH24</f>
        <v>0</v>
      </c>
      <c r="BI24" s="90">
        <f>'Restating Adj'!BI24+'Pro Forma Adj'!BI24</f>
        <v>0</v>
      </c>
      <c r="BJ24" s="92">
        <f>'Restating Adj'!BJ24+'Pro Forma Adj'!BJ24</f>
        <v>0</v>
      </c>
      <c r="BK24" s="92">
        <f>'Restating Adj'!BK24+'Pro Forma Adj'!BK24</f>
        <v>0</v>
      </c>
      <c r="BL24" s="92">
        <f>'Restating Adj'!BL24+'Pro Forma Adj'!BL24</f>
        <v>0</v>
      </c>
      <c r="BM24" s="92">
        <f>'Restating Adj'!BM24+'Pro Forma Adj'!BM24</f>
        <v>0</v>
      </c>
      <c r="BN24" s="31">
        <f>'Restating Adj'!BN24+'Pro Forma Adj'!BN24</f>
        <v>0</v>
      </c>
      <c r="BO24" s="92">
        <f>'Restating Adj'!BO24+'Pro Forma Adj'!BO24</f>
        <v>0</v>
      </c>
      <c r="BP24" s="92">
        <f>'Restating Adj'!BP24+'Pro Forma Adj'!BP24</f>
        <v>0</v>
      </c>
      <c r="BQ24" s="92">
        <f>'Restating Adj'!BQ24+'Pro Forma Adj'!BQ24</f>
        <v>0</v>
      </c>
      <c r="BR24" s="92">
        <f>'Restating Adj'!BR24+'Pro Forma Adj'!BR24</f>
        <v>0</v>
      </c>
      <c r="BS24" s="92">
        <f>'Restating Adj'!BS24+'Pro Forma Adj'!BS24</f>
        <v>0</v>
      </c>
      <c r="BT24" s="92">
        <f>'Restating Adj'!BT24+'Pro Forma Adj'!BT24</f>
        <v>0</v>
      </c>
      <c r="BU24" s="92">
        <f>'Restating Adj'!BU24+'Pro Forma Adj'!BU24</f>
        <v>0</v>
      </c>
      <c r="BV24" s="299">
        <f>'Restating Adj'!BV24+'Pro Forma Adj'!BV24</f>
        <v>0</v>
      </c>
      <c r="BW24" s="31">
        <f>'Restating Adj'!BW24+'Pro Forma Adj'!BW24</f>
        <v>0</v>
      </c>
      <c r="BX24" s="93">
        <f>'Restating Adj'!BX24+'Pro Forma Adj'!BX24</f>
        <v>0</v>
      </c>
      <c r="BY24" s="15"/>
    </row>
    <row r="25" spans="1:77" x14ac:dyDescent="0.2">
      <c r="A25" s="14" t="s">
        <v>62</v>
      </c>
      <c r="B25" s="100">
        <f t="shared" si="9"/>
        <v>323981.11512007628</v>
      </c>
      <c r="C25" s="31">
        <f>'Restating Adj'!C25+'Pro Forma Adj'!C25</f>
        <v>0</v>
      </c>
      <c r="D25" s="92">
        <f>'Restating Adj'!D25+'Pro Forma Adj'!D25</f>
        <v>0</v>
      </c>
      <c r="E25" s="92">
        <f>'Restating Adj'!E25+'Pro Forma Adj'!E25</f>
        <v>0</v>
      </c>
      <c r="F25" s="92">
        <f>'Restating Adj'!F25+'Pro Forma Adj'!F25</f>
        <v>0</v>
      </c>
      <c r="G25" s="92">
        <f>'Restating Adj'!G25+'Pro Forma Adj'!G25</f>
        <v>0</v>
      </c>
      <c r="H25" s="90">
        <f>'Restating Adj'!H25+'Pro Forma Adj'!H25</f>
        <v>0</v>
      </c>
      <c r="I25" s="91">
        <f>'Restating Adj'!I25+'Pro Forma Adj'!I25</f>
        <v>0</v>
      </c>
      <c r="J25" s="30">
        <f>'Restating Adj'!J25+'Pro Forma Adj'!J25</f>
        <v>0</v>
      </c>
      <c r="K25" s="91">
        <f>'Restating Adj'!K25+'Pro Forma Adj'!K25</f>
        <v>0</v>
      </c>
      <c r="L25" s="31">
        <f>'Restating Adj'!L25+'Pro Forma Adj'!L25</f>
        <v>-1703.490610626937</v>
      </c>
      <c r="M25" s="92">
        <f>'Restating Adj'!M25+'Pro Forma Adj'!M25</f>
        <v>-5409.3940757339369</v>
      </c>
      <c r="N25" s="92">
        <f>'Restating Adj'!N25+'Pro Forma Adj'!N25</f>
        <v>-78277.368777593787</v>
      </c>
      <c r="O25" s="92">
        <f>'Restating Adj'!O25+'Pro Forma Adj'!O25</f>
        <v>0</v>
      </c>
      <c r="P25" s="92">
        <f>'Restating Adj'!P25+'Pro Forma Adj'!P25</f>
        <v>0</v>
      </c>
      <c r="Q25" s="93">
        <f>'Restating Adj'!Q25+'Pro Forma Adj'!Q25</f>
        <v>0</v>
      </c>
      <c r="R25" s="30">
        <f>'Restating Adj'!R25+'Pro Forma Adj'!R25</f>
        <v>0</v>
      </c>
      <c r="S25" s="90">
        <f>'Restating Adj'!S25+'Pro Forma Adj'!S25</f>
        <v>0</v>
      </c>
      <c r="T25" s="90">
        <f>'Restating Adj'!T25+'Pro Forma Adj'!T25</f>
        <v>0</v>
      </c>
      <c r="U25" s="90">
        <f>'Restating Adj'!U25+'Pro Forma Adj'!U25</f>
        <v>422425.00651124539</v>
      </c>
      <c r="V25" s="90">
        <f>'Restating Adj'!V25+'Pro Forma Adj'!V25</f>
        <v>-2949.2486031032072</v>
      </c>
      <c r="W25" s="90">
        <f>'Restating Adj'!W25+'Pro Forma Adj'!W25</f>
        <v>0</v>
      </c>
      <c r="X25" s="91">
        <f>'Restating Adj'!X25+'Pro Forma Adj'!X25</f>
        <v>0</v>
      </c>
      <c r="Y25" s="30">
        <f>'Restating Adj'!Y25+'Pro Forma Adj'!Y25</f>
        <v>0</v>
      </c>
      <c r="Z25" s="90">
        <f>'Restating Adj'!Z25+'Pro Forma Adj'!Z25</f>
        <v>0</v>
      </c>
      <c r="AA25" s="90">
        <f>'Restating Adj'!AA25+'Pro Forma Adj'!AA25</f>
        <v>0</v>
      </c>
      <c r="AB25" s="90">
        <f>'Restating Adj'!AB25+'Pro Forma Adj'!AB25</f>
        <v>0</v>
      </c>
      <c r="AC25" s="91">
        <f>'Restating Adj'!AC25+'Pro Forma Adj'!AC25</f>
        <v>0</v>
      </c>
      <c r="AD25" s="31">
        <f>'Restating Adj'!AD25+'Pro Forma Adj'!AD25</f>
        <v>0</v>
      </c>
      <c r="AE25" s="93">
        <f>'Restating Adj'!AE25+'Pro Forma Adj'!AE25</f>
        <v>0</v>
      </c>
      <c r="AF25" s="31">
        <f>'Restating Adj'!AF25+'Pro Forma Adj'!AF25</f>
        <v>0</v>
      </c>
      <c r="AG25" s="92">
        <f>'Restating Adj'!AG25+'Pro Forma Adj'!AG25</f>
        <v>0</v>
      </c>
      <c r="AH25" s="31">
        <f>'Restating Adj'!AH25+'Pro Forma Adj'!AH25</f>
        <v>0</v>
      </c>
      <c r="AI25" s="92">
        <f>'Restating Adj'!AI25+'Pro Forma Adj'!AI25</f>
        <v>0</v>
      </c>
      <c r="AJ25" s="92">
        <f>'Restating Adj'!AJ25+'Pro Forma Adj'!AJ25</f>
        <v>0</v>
      </c>
      <c r="AK25" s="93">
        <f>'Restating Adj'!AK25+'Pro Forma Adj'!AK25</f>
        <v>0</v>
      </c>
      <c r="AL25" s="31">
        <f>'Restating Adj'!AL25+'Pro Forma Adj'!AL25</f>
        <v>0</v>
      </c>
      <c r="AM25" s="92">
        <f>'Restating Adj'!AM25+'Pro Forma Adj'!AM25</f>
        <v>0</v>
      </c>
      <c r="AN25" s="92">
        <f>'Restating Adj'!AN25+'Pro Forma Adj'!AN25</f>
        <v>0</v>
      </c>
      <c r="AO25" s="92">
        <f>'Restating Adj'!AO25+'Pro Forma Adj'!AO25</f>
        <v>-10087.994605105056</v>
      </c>
      <c r="AP25" s="92">
        <f>'Restating Adj'!AP25+'Pro Forma Adj'!AP25</f>
        <v>-16.394719006165481</v>
      </c>
      <c r="AQ25" s="93">
        <f>'Restating Adj'!AQ25+'Pro Forma Adj'!AQ25</f>
        <v>0</v>
      </c>
      <c r="AR25" s="92">
        <f>'Restating Adj'!AR25+'Pro Forma Adj'!AR25</f>
        <v>0</v>
      </c>
      <c r="AS25" s="31">
        <f>'Restating Adj'!AS25+'Pro Forma Adj'!AS25</f>
        <v>0</v>
      </c>
      <c r="AT25" s="92">
        <f>'Restating Adj'!AT25+'Pro Forma Adj'!AT25</f>
        <v>0</v>
      </c>
      <c r="AU25" s="92">
        <f>'Restating Adj'!AU25+'Pro Forma Adj'!AU25</f>
        <v>0</v>
      </c>
      <c r="AV25" s="92">
        <f>'Restating Adj'!AV25+'Pro Forma Adj'!AV25</f>
        <v>0</v>
      </c>
      <c r="AW25" s="92">
        <f>'Restating Adj'!AW25+'Pro Forma Adj'!AW25</f>
        <v>0</v>
      </c>
      <c r="AX25" s="92">
        <f>'Restating Adj'!AX25+'Pro Forma Adj'!AX25</f>
        <v>0</v>
      </c>
      <c r="AY25" s="31">
        <f>'Restating Adj'!AY25+'Pro Forma Adj'!AY25</f>
        <v>0</v>
      </c>
      <c r="AZ25" s="92">
        <f>'Restating Adj'!AZ25+'Pro Forma Adj'!AZ25</f>
        <v>0</v>
      </c>
      <c r="BA25" s="92">
        <f>'Restating Adj'!BA25+'Pro Forma Adj'!BA25</f>
        <v>0</v>
      </c>
      <c r="BB25" s="31">
        <f>'Restating Adj'!BB25+'Pro Forma Adj'!BB25</f>
        <v>0</v>
      </c>
      <c r="BC25" s="90">
        <f>'Restating Adj'!BC25+'Pro Forma Adj'!BC25</f>
        <v>0</v>
      </c>
      <c r="BD25" s="90">
        <f>'Restating Adj'!BD25+'Pro Forma Adj'!BD25</f>
        <v>0</v>
      </c>
      <c r="BE25" s="90">
        <f>'Restating Adj'!BE25+'Pro Forma Adj'!BE25</f>
        <v>0</v>
      </c>
      <c r="BF25" s="30">
        <f>'Restating Adj'!BF25+'Pro Forma Adj'!BF25</f>
        <v>0</v>
      </c>
      <c r="BG25" s="90">
        <f>'Restating Adj'!BG25+'Pro Forma Adj'!BG25</f>
        <v>0</v>
      </c>
      <c r="BH25" s="12">
        <f>'Restating Adj'!BH25+'Pro Forma Adj'!BH25</f>
        <v>0</v>
      </c>
      <c r="BI25" s="90">
        <f>'Restating Adj'!BI25+'Pro Forma Adj'!BI25</f>
        <v>0</v>
      </c>
      <c r="BJ25" s="92">
        <f>'Restating Adj'!BJ25+'Pro Forma Adj'!BJ25</f>
        <v>0</v>
      </c>
      <c r="BK25" s="92">
        <f>'Restating Adj'!BK25+'Pro Forma Adj'!BK25</f>
        <v>0</v>
      </c>
      <c r="BL25" s="92">
        <f>'Restating Adj'!BL25+'Pro Forma Adj'!BL25</f>
        <v>0</v>
      </c>
      <c r="BM25" s="92">
        <f>'Restating Adj'!BM25+'Pro Forma Adj'!BM25</f>
        <v>0</v>
      </c>
      <c r="BN25" s="31">
        <f>'Restating Adj'!BN25+'Pro Forma Adj'!BN25</f>
        <v>0</v>
      </c>
      <c r="BO25" s="92">
        <f>'Restating Adj'!BO25+'Pro Forma Adj'!BO25</f>
        <v>0</v>
      </c>
      <c r="BP25" s="92">
        <f>'Restating Adj'!BP25+'Pro Forma Adj'!BP25</f>
        <v>0</v>
      </c>
      <c r="BQ25" s="92">
        <f>'Restating Adj'!BQ25+'Pro Forma Adj'!BQ25</f>
        <v>0</v>
      </c>
      <c r="BR25" s="92">
        <f>'Restating Adj'!BR25+'Pro Forma Adj'!BR25</f>
        <v>0</v>
      </c>
      <c r="BS25" s="92">
        <f>'Restating Adj'!BS25+'Pro Forma Adj'!BS25</f>
        <v>0</v>
      </c>
      <c r="BT25" s="92">
        <f>'Restating Adj'!BT25+'Pro Forma Adj'!BT25</f>
        <v>0</v>
      </c>
      <c r="BU25" s="92">
        <f>'Restating Adj'!BU25+'Pro Forma Adj'!BU25</f>
        <v>0</v>
      </c>
      <c r="BV25" s="299">
        <f>'Restating Adj'!BV25+'Pro Forma Adj'!BV25</f>
        <v>0</v>
      </c>
      <c r="BW25" s="31">
        <f>'Restating Adj'!BW25+'Pro Forma Adj'!BW25</f>
        <v>0</v>
      </c>
      <c r="BX25" s="93">
        <f>'Restating Adj'!BX25+'Pro Forma Adj'!BX25</f>
        <v>0</v>
      </c>
      <c r="BY25" s="15"/>
    </row>
    <row r="26" spans="1:77" x14ac:dyDescent="0.2">
      <c r="A26" s="14" t="s">
        <v>63</v>
      </c>
      <c r="B26" s="100">
        <f t="shared" si="9"/>
        <v>-10695524.243914708</v>
      </c>
      <c r="C26" s="31">
        <f>'Restating Adj'!C26+'Pro Forma Adj'!C26</f>
        <v>0</v>
      </c>
      <c r="D26" s="92">
        <f>'Restating Adj'!D26+'Pro Forma Adj'!D26</f>
        <v>0</v>
      </c>
      <c r="E26" s="92">
        <f>'Restating Adj'!E26+'Pro Forma Adj'!E26</f>
        <v>0</v>
      </c>
      <c r="F26" s="92">
        <f>'Restating Adj'!F26+'Pro Forma Adj'!F26</f>
        <v>0</v>
      </c>
      <c r="G26" s="92">
        <f>'Restating Adj'!G26+'Pro Forma Adj'!G26</f>
        <v>0</v>
      </c>
      <c r="H26" s="90">
        <f>'Restating Adj'!H26+'Pro Forma Adj'!H26</f>
        <v>0</v>
      </c>
      <c r="I26" s="91">
        <f>'Restating Adj'!I26+'Pro Forma Adj'!I26</f>
        <v>0</v>
      </c>
      <c r="J26" s="30">
        <f>'Restating Adj'!J26+'Pro Forma Adj'!J26</f>
        <v>0</v>
      </c>
      <c r="K26" s="91">
        <f>'Restating Adj'!K26+'Pro Forma Adj'!K26</f>
        <v>0</v>
      </c>
      <c r="L26" s="31">
        <f>'Restating Adj'!L26+'Pro Forma Adj'!L26</f>
        <v>-2911.3712282595043</v>
      </c>
      <c r="M26" s="92">
        <f>'Restating Adj'!M26+'Pro Forma Adj'!M26</f>
        <v>-830.05033790862353</v>
      </c>
      <c r="N26" s="92">
        <f>'Restating Adj'!N26+'Pro Forma Adj'!N26</f>
        <v>-12011.355707270053</v>
      </c>
      <c r="O26" s="92">
        <f>'Restating Adj'!O26+'Pro Forma Adj'!O26</f>
        <v>-329.60724603979043</v>
      </c>
      <c r="P26" s="92">
        <f>'Restating Adj'!P26+'Pro Forma Adj'!P26</f>
        <v>0</v>
      </c>
      <c r="Q26" s="93">
        <f>'Restating Adj'!Q26+'Pro Forma Adj'!Q26</f>
        <v>-10677588.59</v>
      </c>
      <c r="R26" s="30">
        <f>'Restating Adj'!R26+'Pro Forma Adj'!R26</f>
        <v>0</v>
      </c>
      <c r="S26" s="90">
        <f>'Restating Adj'!S26+'Pro Forma Adj'!S26</f>
        <v>-305.30612733818703</v>
      </c>
      <c r="T26" s="90">
        <f>'Restating Adj'!T26+'Pro Forma Adj'!T26</f>
        <v>0</v>
      </c>
      <c r="U26" s="90">
        <f>'Restating Adj'!U26+'Pro Forma Adj'!U26</f>
        <v>0</v>
      </c>
      <c r="V26" s="90">
        <f>'Restating Adj'!V26+'Pro Forma Adj'!V26</f>
        <v>0</v>
      </c>
      <c r="W26" s="90">
        <f>'Restating Adj'!W26+'Pro Forma Adj'!W26</f>
        <v>0</v>
      </c>
      <c r="X26" s="91">
        <f>'Restating Adj'!X26+'Pro Forma Adj'!X26</f>
        <v>0</v>
      </c>
      <c r="Y26" s="30">
        <f>'Restating Adj'!Y26+'Pro Forma Adj'!Y26</f>
        <v>0</v>
      </c>
      <c r="Z26" s="90">
        <f>'Restating Adj'!Z26+'Pro Forma Adj'!Z26</f>
        <v>0</v>
      </c>
      <c r="AA26" s="90">
        <f>'Restating Adj'!AA26+'Pro Forma Adj'!AA26</f>
        <v>0</v>
      </c>
      <c r="AB26" s="90">
        <f>'Restating Adj'!AB26+'Pro Forma Adj'!AB26</f>
        <v>0</v>
      </c>
      <c r="AC26" s="91">
        <f>'Restating Adj'!AC26+'Pro Forma Adj'!AC26</f>
        <v>0</v>
      </c>
      <c r="AD26" s="31">
        <f>'Restating Adj'!AD26+'Pro Forma Adj'!AD26</f>
        <v>0</v>
      </c>
      <c r="AE26" s="93">
        <f>'Restating Adj'!AE26+'Pro Forma Adj'!AE26</f>
        <v>0</v>
      </c>
      <c r="AF26" s="31">
        <f>'Restating Adj'!AF26+'Pro Forma Adj'!AF26</f>
        <v>0</v>
      </c>
      <c r="AG26" s="92">
        <f>'Restating Adj'!AG26+'Pro Forma Adj'!AG26</f>
        <v>0</v>
      </c>
      <c r="AH26" s="31">
        <f>'Restating Adj'!AH26+'Pro Forma Adj'!AH26</f>
        <v>0</v>
      </c>
      <c r="AI26" s="92">
        <f>'Restating Adj'!AI26+'Pro Forma Adj'!AI26</f>
        <v>0</v>
      </c>
      <c r="AJ26" s="92">
        <f>'Restating Adj'!AJ26+'Pro Forma Adj'!AJ26</f>
        <v>0</v>
      </c>
      <c r="AK26" s="93">
        <f>'Restating Adj'!AK26+'Pro Forma Adj'!AK26</f>
        <v>0</v>
      </c>
      <c r="AL26" s="31">
        <f>'Restating Adj'!AL26+'Pro Forma Adj'!AL26</f>
        <v>0</v>
      </c>
      <c r="AM26" s="92">
        <f>'Restating Adj'!AM26+'Pro Forma Adj'!AM26</f>
        <v>0</v>
      </c>
      <c r="AN26" s="92">
        <f>'Restating Adj'!AN26+'Pro Forma Adj'!AN26</f>
        <v>0</v>
      </c>
      <c r="AO26" s="92">
        <f>'Restating Adj'!AO26+'Pro Forma Adj'!AO26</f>
        <v>-1547.9632678918319</v>
      </c>
      <c r="AP26" s="92">
        <f>'Restating Adj'!AP26+'Pro Forma Adj'!AP26</f>
        <v>0</v>
      </c>
      <c r="AQ26" s="93">
        <f>'Restating Adj'!AQ26+'Pro Forma Adj'!AQ26</f>
        <v>0</v>
      </c>
      <c r="AR26" s="92">
        <f>'Restating Adj'!AR26+'Pro Forma Adj'!AR26</f>
        <v>0</v>
      </c>
      <c r="AS26" s="31">
        <f>'Restating Adj'!AS26+'Pro Forma Adj'!AS26</f>
        <v>0</v>
      </c>
      <c r="AT26" s="92">
        <f>'Restating Adj'!AT26+'Pro Forma Adj'!AT26</f>
        <v>0</v>
      </c>
      <c r="AU26" s="92">
        <f>'Restating Adj'!AU26+'Pro Forma Adj'!AU26</f>
        <v>0</v>
      </c>
      <c r="AV26" s="92">
        <f>'Restating Adj'!AV26+'Pro Forma Adj'!AV26</f>
        <v>0</v>
      </c>
      <c r="AW26" s="92">
        <f>'Restating Adj'!AW26+'Pro Forma Adj'!AW26</f>
        <v>0</v>
      </c>
      <c r="AX26" s="92">
        <f>'Restating Adj'!AX26+'Pro Forma Adj'!AX26</f>
        <v>0</v>
      </c>
      <c r="AY26" s="31">
        <f>'Restating Adj'!AY26+'Pro Forma Adj'!AY26</f>
        <v>0</v>
      </c>
      <c r="AZ26" s="92">
        <f>'Restating Adj'!AZ26+'Pro Forma Adj'!AZ26</f>
        <v>0</v>
      </c>
      <c r="BA26" s="92">
        <f>'Restating Adj'!BA26+'Pro Forma Adj'!BA26</f>
        <v>0</v>
      </c>
      <c r="BB26" s="31">
        <f>'Restating Adj'!BB26+'Pro Forma Adj'!BB26</f>
        <v>0</v>
      </c>
      <c r="BC26" s="90">
        <f>'Restating Adj'!BC26+'Pro Forma Adj'!BC26</f>
        <v>0</v>
      </c>
      <c r="BD26" s="90">
        <f>'Restating Adj'!BD26+'Pro Forma Adj'!BD26</f>
        <v>0</v>
      </c>
      <c r="BE26" s="90">
        <f>'Restating Adj'!BE26+'Pro Forma Adj'!BE26</f>
        <v>0</v>
      </c>
      <c r="BF26" s="30">
        <f>'Restating Adj'!BF26+'Pro Forma Adj'!BF26</f>
        <v>0</v>
      </c>
      <c r="BG26" s="90">
        <f>'Restating Adj'!BG26+'Pro Forma Adj'!BG26</f>
        <v>0</v>
      </c>
      <c r="BH26" s="12">
        <f>'Restating Adj'!BH26+'Pro Forma Adj'!BH26</f>
        <v>0</v>
      </c>
      <c r="BI26" s="90">
        <f>'Restating Adj'!BI26+'Pro Forma Adj'!BI26</f>
        <v>0</v>
      </c>
      <c r="BJ26" s="92">
        <f>'Restating Adj'!BJ26+'Pro Forma Adj'!BJ26</f>
        <v>0</v>
      </c>
      <c r="BK26" s="92">
        <f>'Restating Adj'!BK26+'Pro Forma Adj'!BK26</f>
        <v>0</v>
      </c>
      <c r="BL26" s="92">
        <f>'Restating Adj'!BL26+'Pro Forma Adj'!BL26</f>
        <v>0</v>
      </c>
      <c r="BM26" s="92">
        <f>'Restating Adj'!BM26+'Pro Forma Adj'!BM26</f>
        <v>0</v>
      </c>
      <c r="BN26" s="31">
        <f>'Restating Adj'!BN26+'Pro Forma Adj'!BN26</f>
        <v>0</v>
      </c>
      <c r="BO26" s="92">
        <f>'Restating Adj'!BO26+'Pro Forma Adj'!BO26</f>
        <v>0</v>
      </c>
      <c r="BP26" s="92">
        <f>'Restating Adj'!BP26+'Pro Forma Adj'!BP26</f>
        <v>0</v>
      </c>
      <c r="BQ26" s="92">
        <f>'Restating Adj'!BQ26+'Pro Forma Adj'!BQ26</f>
        <v>0</v>
      </c>
      <c r="BR26" s="92">
        <f>'Restating Adj'!BR26+'Pro Forma Adj'!BR26</f>
        <v>0</v>
      </c>
      <c r="BS26" s="92">
        <f>'Restating Adj'!BS26+'Pro Forma Adj'!BS26</f>
        <v>0</v>
      </c>
      <c r="BT26" s="92">
        <f>'Restating Adj'!BT26+'Pro Forma Adj'!BT26</f>
        <v>0</v>
      </c>
      <c r="BU26" s="92">
        <f>'Restating Adj'!BU26+'Pro Forma Adj'!BU26</f>
        <v>0</v>
      </c>
      <c r="BV26" s="299">
        <f>'Restating Adj'!BV26+'Pro Forma Adj'!BV26</f>
        <v>0</v>
      </c>
      <c r="BW26" s="31">
        <f>'Restating Adj'!BW26+'Pro Forma Adj'!BW26</f>
        <v>0</v>
      </c>
      <c r="BX26" s="93">
        <f>'Restating Adj'!BX26+'Pro Forma Adj'!BX26</f>
        <v>0</v>
      </c>
      <c r="BY26" s="15"/>
    </row>
    <row r="27" spans="1:77" x14ac:dyDescent="0.2">
      <c r="A27" s="14" t="s">
        <v>64</v>
      </c>
      <c r="B27" s="100">
        <f t="shared" si="9"/>
        <v>0</v>
      </c>
      <c r="C27" s="31">
        <f>'Restating Adj'!C27+'Pro Forma Adj'!C27</f>
        <v>0</v>
      </c>
      <c r="D27" s="92">
        <f>'Restating Adj'!D27+'Pro Forma Adj'!D27</f>
        <v>0</v>
      </c>
      <c r="E27" s="92">
        <f>'Restating Adj'!E27+'Pro Forma Adj'!E27</f>
        <v>0</v>
      </c>
      <c r="F27" s="92">
        <f>'Restating Adj'!F27+'Pro Forma Adj'!F27</f>
        <v>0</v>
      </c>
      <c r="G27" s="92">
        <f>'Restating Adj'!G27+'Pro Forma Adj'!G27</f>
        <v>0</v>
      </c>
      <c r="H27" s="90">
        <f>'Restating Adj'!H27+'Pro Forma Adj'!H27</f>
        <v>0</v>
      </c>
      <c r="I27" s="91">
        <f>'Restating Adj'!I27+'Pro Forma Adj'!I27</f>
        <v>0</v>
      </c>
      <c r="J27" s="30">
        <f>'Restating Adj'!J27+'Pro Forma Adj'!J27</f>
        <v>0</v>
      </c>
      <c r="K27" s="91">
        <f>'Restating Adj'!K27+'Pro Forma Adj'!K27</f>
        <v>0</v>
      </c>
      <c r="L27" s="31">
        <f>'Restating Adj'!L27+'Pro Forma Adj'!L27</f>
        <v>0</v>
      </c>
      <c r="M27" s="92">
        <f>'Restating Adj'!M27+'Pro Forma Adj'!M27</f>
        <v>0</v>
      </c>
      <c r="N27" s="92">
        <f>'Restating Adj'!N27+'Pro Forma Adj'!N27</f>
        <v>0</v>
      </c>
      <c r="O27" s="92">
        <f>'Restating Adj'!O27+'Pro Forma Adj'!O27</f>
        <v>0</v>
      </c>
      <c r="P27" s="92">
        <f>'Restating Adj'!P27+'Pro Forma Adj'!P27</f>
        <v>0</v>
      </c>
      <c r="Q27" s="93">
        <f>'Restating Adj'!Q27+'Pro Forma Adj'!Q27</f>
        <v>0</v>
      </c>
      <c r="R27" s="30">
        <f>'Restating Adj'!R27+'Pro Forma Adj'!R27</f>
        <v>0</v>
      </c>
      <c r="S27" s="90">
        <f>'Restating Adj'!S27+'Pro Forma Adj'!S27</f>
        <v>0</v>
      </c>
      <c r="T27" s="90">
        <f>'Restating Adj'!T27+'Pro Forma Adj'!T27</f>
        <v>0</v>
      </c>
      <c r="U27" s="90">
        <f>'Restating Adj'!U27+'Pro Forma Adj'!U27</f>
        <v>0</v>
      </c>
      <c r="V27" s="90">
        <f>'Restating Adj'!V27+'Pro Forma Adj'!V27</f>
        <v>0</v>
      </c>
      <c r="W27" s="90">
        <f>'Restating Adj'!W27+'Pro Forma Adj'!W27</f>
        <v>0</v>
      </c>
      <c r="X27" s="91">
        <f>'Restating Adj'!X27+'Pro Forma Adj'!X27</f>
        <v>0</v>
      </c>
      <c r="Y27" s="30">
        <f>'Restating Adj'!Y27+'Pro Forma Adj'!Y27</f>
        <v>0</v>
      </c>
      <c r="Z27" s="90">
        <f>'Restating Adj'!Z27+'Pro Forma Adj'!Z27</f>
        <v>0</v>
      </c>
      <c r="AA27" s="90">
        <f>'Restating Adj'!AA27+'Pro Forma Adj'!AA27</f>
        <v>0</v>
      </c>
      <c r="AB27" s="90">
        <f>'Restating Adj'!AB27+'Pro Forma Adj'!AB27</f>
        <v>0</v>
      </c>
      <c r="AC27" s="91">
        <f>'Restating Adj'!AC27+'Pro Forma Adj'!AC27</f>
        <v>0</v>
      </c>
      <c r="AD27" s="31">
        <f>'Restating Adj'!AD27+'Pro Forma Adj'!AD27</f>
        <v>0</v>
      </c>
      <c r="AE27" s="93">
        <f>'Restating Adj'!AE27+'Pro Forma Adj'!AE27</f>
        <v>0</v>
      </c>
      <c r="AF27" s="31">
        <f>'Restating Adj'!AF27+'Pro Forma Adj'!AF27</f>
        <v>0</v>
      </c>
      <c r="AG27" s="92">
        <f>'Restating Adj'!AG27+'Pro Forma Adj'!AG27</f>
        <v>0</v>
      </c>
      <c r="AH27" s="31">
        <f>'Restating Adj'!AH27+'Pro Forma Adj'!AH27</f>
        <v>0</v>
      </c>
      <c r="AI27" s="92">
        <f>'Restating Adj'!AI27+'Pro Forma Adj'!AI27</f>
        <v>0</v>
      </c>
      <c r="AJ27" s="92">
        <f>'Restating Adj'!AJ27+'Pro Forma Adj'!AJ27</f>
        <v>0</v>
      </c>
      <c r="AK27" s="93">
        <f>'Restating Adj'!AK27+'Pro Forma Adj'!AK27</f>
        <v>0</v>
      </c>
      <c r="AL27" s="31">
        <f>'Restating Adj'!AL27+'Pro Forma Adj'!AL27</f>
        <v>0</v>
      </c>
      <c r="AM27" s="92">
        <f>'Restating Adj'!AM27+'Pro Forma Adj'!AM27</f>
        <v>0</v>
      </c>
      <c r="AN27" s="92">
        <f>'Restating Adj'!AN27+'Pro Forma Adj'!AN27</f>
        <v>0</v>
      </c>
      <c r="AO27" s="92">
        <f>'Restating Adj'!AO27+'Pro Forma Adj'!AO27</f>
        <v>0</v>
      </c>
      <c r="AP27" s="92">
        <f>'Restating Adj'!AP27+'Pro Forma Adj'!AP27</f>
        <v>0</v>
      </c>
      <c r="AQ27" s="93">
        <f>'Restating Adj'!AQ27+'Pro Forma Adj'!AQ27</f>
        <v>0</v>
      </c>
      <c r="AR27" s="92">
        <f>'Restating Adj'!AR27+'Pro Forma Adj'!AR27</f>
        <v>0</v>
      </c>
      <c r="AS27" s="31">
        <f>'Restating Adj'!AS27+'Pro Forma Adj'!AS27</f>
        <v>0</v>
      </c>
      <c r="AT27" s="92">
        <f>'Restating Adj'!AT27+'Pro Forma Adj'!AT27</f>
        <v>0</v>
      </c>
      <c r="AU27" s="92">
        <f>'Restating Adj'!AU27+'Pro Forma Adj'!AU27</f>
        <v>0</v>
      </c>
      <c r="AV27" s="92">
        <f>'Restating Adj'!AV27+'Pro Forma Adj'!AV27</f>
        <v>0</v>
      </c>
      <c r="AW27" s="92">
        <f>'Restating Adj'!AW27+'Pro Forma Adj'!AW27</f>
        <v>0</v>
      </c>
      <c r="AX27" s="92">
        <f>'Restating Adj'!AX27+'Pro Forma Adj'!AX27</f>
        <v>0</v>
      </c>
      <c r="AY27" s="31">
        <f>'Restating Adj'!AY27+'Pro Forma Adj'!AY27</f>
        <v>0</v>
      </c>
      <c r="AZ27" s="92">
        <f>'Restating Adj'!AZ27+'Pro Forma Adj'!AZ27</f>
        <v>0</v>
      </c>
      <c r="BA27" s="92">
        <f>'Restating Adj'!BA27+'Pro Forma Adj'!BA27</f>
        <v>0</v>
      </c>
      <c r="BB27" s="31">
        <f>'Restating Adj'!BB27+'Pro Forma Adj'!BB27</f>
        <v>0</v>
      </c>
      <c r="BC27" s="90">
        <f>'Restating Adj'!BC27+'Pro Forma Adj'!BC27</f>
        <v>0</v>
      </c>
      <c r="BD27" s="90">
        <f>'Restating Adj'!BD27+'Pro Forma Adj'!BD27</f>
        <v>0</v>
      </c>
      <c r="BE27" s="90">
        <f>'Restating Adj'!BE27+'Pro Forma Adj'!BE27</f>
        <v>0</v>
      </c>
      <c r="BF27" s="30">
        <f>'Restating Adj'!BF27+'Pro Forma Adj'!BF27</f>
        <v>0</v>
      </c>
      <c r="BG27" s="90">
        <f>'Restating Adj'!BG27+'Pro Forma Adj'!BG27</f>
        <v>0</v>
      </c>
      <c r="BH27" s="12">
        <f>'Restating Adj'!BH27+'Pro Forma Adj'!BH27</f>
        <v>0</v>
      </c>
      <c r="BI27" s="90">
        <f>'Restating Adj'!BI27+'Pro Forma Adj'!BI27</f>
        <v>0</v>
      </c>
      <c r="BJ27" s="92">
        <f>'Restating Adj'!BJ27+'Pro Forma Adj'!BJ27</f>
        <v>0</v>
      </c>
      <c r="BK27" s="92">
        <f>'Restating Adj'!BK27+'Pro Forma Adj'!BK27</f>
        <v>0</v>
      </c>
      <c r="BL27" s="92">
        <f>'Restating Adj'!BL27+'Pro Forma Adj'!BL27</f>
        <v>0</v>
      </c>
      <c r="BM27" s="92">
        <f>'Restating Adj'!BM27+'Pro Forma Adj'!BM27</f>
        <v>0</v>
      </c>
      <c r="BN27" s="31">
        <f>'Restating Adj'!BN27+'Pro Forma Adj'!BN27</f>
        <v>0</v>
      </c>
      <c r="BO27" s="92">
        <f>'Restating Adj'!BO27+'Pro Forma Adj'!BO27</f>
        <v>0</v>
      </c>
      <c r="BP27" s="92">
        <f>'Restating Adj'!BP27+'Pro Forma Adj'!BP27</f>
        <v>0</v>
      </c>
      <c r="BQ27" s="92">
        <f>'Restating Adj'!BQ27+'Pro Forma Adj'!BQ27</f>
        <v>0</v>
      </c>
      <c r="BR27" s="92">
        <f>'Restating Adj'!BR27+'Pro Forma Adj'!BR27</f>
        <v>0</v>
      </c>
      <c r="BS27" s="92">
        <f>'Restating Adj'!BS27+'Pro Forma Adj'!BS27</f>
        <v>0</v>
      </c>
      <c r="BT27" s="92">
        <f>'Restating Adj'!BT27+'Pro Forma Adj'!BT27</f>
        <v>0</v>
      </c>
      <c r="BU27" s="92">
        <f>'Restating Adj'!BU27+'Pro Forma Adj'!BU27</f>
        <v>0</v>
      </c>
      <c r="BV27" s="299">
        <f>'Restating Adj'!BV27+'Pro Forma Adj'!BV27</f>
        <v>0</v>
      </c>
      <c r="BW27" s="31">
        <f>'Restating Adj'!BW27+'Pro Forma Adj'!BW27</f>
        <v>0</v>
      </c>
      <c r="BX27" s="93">
        <f>'Restating Adj'!BX27+'Pro Forma Adj'!BX27</f>
        <v>0</v>
      </c>
      <c r="BY27" s="15"/>
    </row>
    <row r="28" spans="1:77" x14ac:dyDescent="0.2">
      <c r="A28" s="14" t="s">
        <v>65</v>
      </c>
      <c r="B28" s="100">
        <f t="shared" si="9"/>
        <v>-1614080.7278124304</v>
      </c>
      <c r="C28" s="33">
        <f>'Restating Adj'!C28+'Pro Forma Adj'!C28</f>
        <v>0</v>
      </c>
      <c r="D28" s="96">
        <f>'Restating Adj'!D28+'Pro Forma Adj'!D28</f>
        <v>0</v>
      </c>
      <c r="E28" s="96">
        <f>'Restating Adj'!E28+'Pro Forma Adj'!E28</f>
        <v>0</v>
      </c>
      <c r="F28" s="96">
        <f>'Restating Adj'!F28+'Pro Forma Adj'!F28</f>
        <v>0</v>
      </c>
      <c r="G28" s="96">
        <f>'Restating Adj'!G28+'Pro Forma Adj'!G28</f>
        <v>0</v>
      </c>
      <c r="H28" s="97">
        <f>'Restating Adj'!H28+'Pro Forma Adj'!H28</f>
        <v>0</v>
      </c>
      <c r="I28" s="109">
        <f>'Restating Adj'!I28+'Pro Forma Adj'!I28</f>
        <v>0</v>
      </c>
      <c r="J28" s="108">
        <f>'Restating Adj'!J28+'Pro Forma Adj'!J28</f>
        <v>0</v>
      </c>
      <c r="K28" s="109">
        <f>'Restating Adj'!K28+'Pro Forma Adj'!K28</f>
        <v>0</v>
      </c>
      <c r="L28" s="33">
        <f>'Restating Adj'!L28+'Pro Forma Adj'!L28</f>
        <v>-9143.5708246865033</v>
      </c>
      <c r="M28" s="96">
        <f>'Restating Adj'!M28+'Pro Forma Adj'!M28</f>
        <v>-11242.511462546512</v>
      </c>
      <c r="N28" s="96">
        <f>'Restating Adj'!N28+'Pro Forma Adj'!N28</f>
        <v>-162686.28305115245</v>
      </c>
      <c r="O28" s="96">
        <f>'Restating Adj'!O28+'Pro Forma Adj'!O28</f>
        <v>0</v>
      </c>
      <c r="P28" s="96">
        <f>'Restating Adj'!P28+'Pro Forma Adj'!P28</f>
        <v>0</v>
      </c>
      <c r="Q28" s="98">
        <f>'Restating Adj'!Q28+'Pro Forma Adj'!Q28</f>
        <v>0</v>
      </c>
      <c r="R28" s="33">
        <f>'Restating Adj'!R28+'Pro Forma Adj'!R28</f>
        <v>-1764810.8394160133</v>
      </c>
      <c r="S28" s="96">
        <f>'Restating Adj'!S28+'Pro Forma Adj'!S28</f>
        <v>-96.640490930986942</v>
      </c>
      <c r="T28" s="96">
        <f>'Restating Adj'!T28+'Pro Forma Adj'!T28</f>
        <v>1496.5274180481501</v>
      </c>
      <c r="U28" s="96">
        <f>'Restating Adj'!U28+'Pro Forma Adj'!U28</f>
        <v>0</v>
      </c>
      <c r="V28" s="96">
        <f>'Restating Adj'!V28+'Pro Forma Adj'!V28</f>
        <v>825129.88550292887</v>
      </c>
      <c r="W28" s="96">
        <f>'Restating Adj'!W28+'Pro Forma Adj'!W28</f>
        <v>-640526.89575698704</v>
      </c>
      <c r="X28" s="98">
        <f>'Restating Adj'!X28+'Pro Forma Adj'!X28</f>
        <v>0</v>
      </c>
      <c r="Y28" s="33">
        <f>'Restating Adj'!Y28+'Pro Forma Adj'!Y28</f>
        <v>0</v>
      </c>
      <c r="Z28" s="96">
        <f>'Restating Adj'!Z28+'Pro Forma Adj'!Z28</f>
        <v>0</v>
      </c>
      <c r="AA28" s="96">
        <f>'Restating Adj'!AA28+'Pro Forma Adj'!AA28</f>
        <v>0</v>
      </c>
      <c r="AB28" s="96">
        <f>'Restating Adj'!AB28+'Pro Forma Adj'!AB28</f>
        <v>0</v>
      </c>
      <c r="AC28" s="98">
        <f>'Restating Adj'!AC28+'Pro Forma Adj'!AC28</f>
        <v>0</v>
      </c>
      <c r="AD28" s="33">
        <f>'Restating Adj'!AD28+'Pro Forma Adj'!AD28</f>
        <v>0</v>
      </c>
      <c r="AE28" s="98">
        <f>'Restating Adj'!AE28+'Pro Forma Adj'!AE28</f>
        <v>0</v>
      </c>
      <c r="AF28" s="33">
        <f>'Restating Adj'!AF28+'Pro Forma Adj'!AF28</f>
        <v>0</v>
      </c>
      <c r="AG28" s="96">
        <f>'Restating Adj'!AG28+'Pro Forma Adj'!AG28</f>
        <v>0</v>
      </c>
      <c r="AH28" s="33">
        <f>'Restating Adj'!AH28+'Pro Forma Adj'!AH28</f>
        <v>0</v>
      </c>
      <c r="AI28" s="96">
        <f>'Restating Adj'!AI28+'Pro Forma Adj'!AI28</f>
        <v>0</v>
      </c>
      <c r="AJ28" s="96">
        <f>'Restating Adj'!AJ28+'Pro Forma Adj'!AJ28</f>
        <v>0</v>
      </c>
      <c r="AK28" s="98">
        <f>'Restating Adj'!AK28+'Pro Forma Adj'!AK28</f>
        <v>0</v>
      </c>
      <c r="AL28" s="33">
        <f>'Restating Adj'!AL28+'Pro Forma Adj'!AL28</f>
        <v>0</v>
      </c>
      <c r="AM28" s="96">
        <f>'Restating Adj'!AM28+'Pro Forma Adj'!AM28</f>
        <v>0</v>
      </c>
      <c r="AN28" s="96">
        <f>'Restating Adj'!AN28+'Pro Forma Adj'!AN28</f>
        <v>0</v>
      </c>
      <c r="AO28" s="96">
        <f>'Restating Adj'!AO28+'Pro Forma Adj'!AO28</f>
        <v>-20966.275033748134</v>
      </c>
      <c r="AP28" s="96">
        <f>'Restating Adj'!AP28+'Pro Forma Adj'!AP28</f>
        <v>0</v>
      </c>
      <c r="AQ28" s="98">
        <f>'Restating Adj'!AQ28+'Pro Forma Adj'!AQ28</f>
        <v>0</v>
      </c>
      <c r="AR28" s="96">
        <f>'Restating Adj'!AR28+'Pro Forma Adj'!AR28</f>
        <v>0</v>
      </c>
      <c r="AS28" s="33">
        <f>'Restating Adj'!AS28+'Pro Forma Adj'!AS28</f>
        <v>0</v>
      </c>
      <c r="AT28" s="96">
        <f>'Restating Adj'!AT28+'Pro Forma Adj'!AT28</f>
        <v>0</v>
      </c>
      <c r="AU28" s="96">
        <f>'Restating Adj'!AU28+'Pro Forma Adj'!AU28</f>
        <v>0</v>
      </c>
      <c r="AV28" s="96">
        <f>'Restating Adj'!AV28+'Pro Forma Adj'!AV28</f>
        <v>0</v>
      </c>
      <c r="AW28" s="96">
        <f>'Restating Adj'!AW28+'Pro Forma Adj'!AW28</f>
        <v>0</v>
      </c>
      <c r="AX28" s="96">
        <f>'Restating Adj'!AX28+'Pro Forma Adj'!AX28</f>
        <v>0</v>
      </c>
      <c r="AY28" s="33">
        <f>'Restating Adj'!AY28+'Pro Forma Adj'!AY28</f>
        <v>0</v>
      </c>
      <c r="AZ28" s="96">
        <f>'Restating Adj'!AZ28+'Pro Forma Adj'!AZ28</f>
        <v>0</v>
      </c>
      <c r="BA28" s="96">
        <f>'Restating Adj'!BA28+'Pro Forma Adj'!BA28</f>
        <v>0</v>
      </c>
      <c r="BB28" s="33">
        <f>'Restating Adj'!BB28+'Pro Forma Adj'!BB28</f>
        <v>0</v>
      </c>
      <c r="BC28" s="96">
        <f>'Restating Adj'!BC28+'Pro Forma Adj'!BC28</f>
        <v>168765.87530265757</v>
      </c>
      <c r="BD28" s="96">
        <f>'Restating Adj'!BD28+'Pro Forma Adj'!BD28</f>
        <v>0</v>
      </c>
      <c r="BE28" s="96">
        <f>'Restating Adj'!BE28+'Pro Forma Adj'!BE28</f>
        <v>0</v>
      </c>
      <c r="BF28" s="33">
        <f>'Restating Adj'!BF28+'Pro Forma Adj'!BF28</f>
        <v>0</v>
      </c>
      <c r="BG28" s="96">
        <f>'Restating Adj'!BG28+'Pro Forma Adj'!BG28</f>
        <v>0</v>
      </c>
      <c r="BH28" s="99">
        <f>'Restating Adj'!BH28+'Pro Forma Adj'!BH28</f>
        <v>0</v>
      </c>
      <c r="BI28" s="97">
        <f>'Restating Adj'!BI28+'Pro Forma Adj'!BI28</f>
        <v>0</v>
      </c>
      <c r="BJ28" s="96">
        <f>'Restating Adj'!BJ28+'Pro Forma Adj'!BJ28</f>
        <v>0</v>
      </c>
      <c r="BK28" s="96">
        <f>'Restating Adj'!BK28+'Pro Forma Adj'!BK28</f>
        <v>0</v>
      </c>
      <c r="BL28" s="96">
        <f>'Restating Adj'!BL28+'Pro Forma Adj'!BL28</f>
        <v>0</v>
      </c>
      <c r="BM28" s="96">
        <f>'Restating Adj'!BM28+'Pro Forma Adj'!BM28</f>
        <v>0</v>
      </c>
      <c r="BN28" s="33">
        <f>'Restating Adj'!BN28+'Pro Forma Adj'!BN28</f>
        <v>0</v>
      </c>
      <c r="BO28" s="96">
        <f>'Restating Adj'!BO28+'Pro Forma Adj'!BO28</f>
        <v>0</v>
      </c>
      <c r="BP28" s="96">
        <f>'Restating Adj'!BP28+'Pro Forma Adj'!BP28</f>
        <v>0</v>
      </c>
      <c r="BQ28" s="96">
        <f>'Restating Adj'!BQ28+'Pro Forma Adj'!BQ28</f>
        <v>0</v>
      </c>
      <c r="BR28" s="96">
        <f>'Restating Adj'!BR28+'Pro Forma Adj'!BR28</f>
        <v>0</v>
      </c>
      <c r="BS28" s="96">
        <f>'Restating Adj'!BS28+'Pro Forma Adj'!BS28</f>
        <v>0</v>
      </c>
      <c r="BT28" s="96">
        <f>'Restating Adj'!BT28+'Pro Forma Adj'!BT28</f>
        <v>0</v>
      </c>
      <c r="BU28" s="96">
        <f>'Restating Adj'!BU28+'Pro Forma Adj'!BU28</f>
        <v>0</v>
      </c>
      <c r="BV28" s="300">
        <f>'Restating Adj'!BV28+'Pro Forma Adj'!BV28</f>
        <v>0</v>
      </c>
      <c r="BW28" s="33">
        <f>'Restating Adj'!BW28+'Pro Forma Adj'!BW28</f>
        <v>0</v>
      </c>
      <c r="BX28" s="98">
        <f>'Restating Adj'!BX28+'Pro Forma Adj'!BX28</f>
        <v>0</v>
      </c>
      <c r="BY28" s="15"/>
    </row>
    <row r="29" spans="1:77" x14ac:dyDescent="0.2">
      <c r="A29" s="14" t="s">
        <v>66</v>
      </c>
      <c r="B29" s="187">
        <f t="shared" si="9"/>
        <v>-15397823.254141789</v>
      </c>
      <c r="C29" s="29">
        <f>SUM(C19:C28)</f>
        <v>0</v>
      </c>
      <c r="D29" s="12">
        <f t="shared" ref="D29:BE29" si="10">SUM(D19:D28)</f>
        <v>0</v>
      </c>
      <c r="E29" s="12">
        <f t="shared" si="10"/>
        <v>0</v>
      </c>
      <c r="F29" s="12">
        <f t="shared" si="10"/>
        <v>0</v>
      </c>
      <c r="G29" s="12">
        <f t="shared" si="10"/>
        <v>0</v>
      </c>
      <c r="H29" s="12">
        <f t="shared" si="10"/>
        <v>-112129.56683175203</v>
      </c>
      <c r="I29" s="86">
        <f t="shared" si="10"/>
        <v>0</v>
      </c>
      <c r="J29" s="29">
        <f t="shared" ref="J29:K29" si="11">SUM(J19:J28)</f>
        <v>0</v>
      </c>
      <c r="K29" s="86">
        <f t="shared" si="11"/>
        <v>0</v>
      </c>
      <c r="L29" s="29">
        <f t="shared" si="10"/>
        <v>-14454.436280166108</v>
      </c>
      <c r="M29" s="12">
        <f t="shared" si="10"/>
        <v>-47588.981132557921</v>
      </c>
      <c r="N29" s="12">
        <f t="shared" si="10"/>
        <v>-688642.78950831818</v>
      </c>
      <c r="O29" s="12">
        <f t="shared" si="10"/>
        <v>-5340.7537227038374</v>
      </c>
      <c r="P29" s="12">
        <f t="shared" si="10"/>
        <v>-2677.954313646268</v>
      </c>
      <c r="Q29" s="86">
        <f t="shared" si="10"/>
        <v>-10677588.59</v>
      </c>
      <c r="R29" s="29">
        <f t="shared" si="10"/>
        <v>-1999542.2199813544</v>
      </c>
      <c r="S29" s="12">
        <f t="shared" si="10"/>
        <v>-401.946618269174</v>
      </c>
      <c r="T29" s="12">
        <f t="shared" si="10"/>
        <v>1496.5274180481501</v>
      </c>
      <c r="U29" s="12">
        <f t="shared" si="10"/>
        <v>422425.00651124539</v>
      </c>
      <c r="V29" s="12">
        <f t="shared" si="10"/>
        <v>734346.64790187846</v>
      </c>
      <c r="W29" s="12">
        <f t="shared" si="10"/>
        <v>-640526.89575698704</v>
      </c>
      <c r="X29" s="86">
        <f t="shared" si="10"/>
        <v>0</v>
      </c>
      <c r="Y29" s="29">
        <f t="shared" ref="Y29:AB29" si="12">SUM(Y19:Y28)</f>
        <v>0</v>
      </c>
      <c r="Z29" s="12">
        <f t="shared" si="12"/>
        <v>0</v>
      </c>
      <c r="AA29" s="12">
        <f t="shared" si="12"/>
        <v>0</v>
      </c>
      <c r="AB29" s="12">
        <f t="shared" si="12"/>
        <v>0</v>
      </c>
      <c r="AC29" s="86">
        <f t="shared" ref="AC29" si="13">SUM(AC19:AC28)</f>
        <v>0</v>
      </c>
      <c r="AD29" s="29">
        <f t="shared" si="10"/>
        <v>37600994.60665264</v>
      </c>
      <c r="AE29" s="86">
        <f t="shared" ref="AE29" si="14">SUM(AE19:AE28)</f>
        <v>-41142835.559598267</v>
      </c>
      <c r="AF29" s="29">
        <f t="shared" si="10"/>
        <v>0</v>
      </c>
      <c r="AG29" s="12">
        <f t="shared" si="10"/>
        <v>0</v>
      </c>
      <c r="AH29" s="29">
        <f t="shared" si="10"/>
        <v>0</v>
      </c>
      <c r="AI29" s="12">
        <f t="shared" si="10"/>
        <v>0</v>
      </c>
      <c r="AJ29" s="12">
        <f t="shared" si="10"/>
        <v>0</v>
      </c>
      <c r="AK29" s="86">
        <f t="shared" si="10"/>
        <v>0</v>
      </c>
      <c r="AL29" s="29">
        <f t="shared" si="10"/>
        <v>0</v>
      </c>
      <c r="AM29" s="12">
        <f t="shared" ref="AM29:AQ29" si="15">SUM(AM19:AM28)</f>
        <v>0</v>
      </c>
      <c r="AN29" s="12">
        <f t="shared" ref="AN29:AP29" si="16">SUM(AN19:AN28)</f>
        <v>0</v>
      </c>
      <c r="AO29" s="12">
        <f t="shared" si="16"/>
        <v>-88748.911094690207</v>
      </c>
      <c r="AP29" s="12">
        <f t="shared" si="16"/>
        <v>-43408.994722799682</v>
      </c>
      <c r="AQ29" s="86">
        <f t="shared" si="15"/>
        <v>0</v>
      </c>
      <c r="AR29" s="12">
        <f t="shared" ref="AR29" si="17">SUM(AR19:AR28)</f>
        <v>0</v>
      </c>
      <c r="AS29" s="29">
        <f t="shared" si="10"/>
        <v>0</v>
      </c>
      <c r="AT29" s="12">
        <f t="shared" si="10"/>
        <v>0</v>
      </c>
      <c r="AU29" s="12">
        <f t="shared" si="10"/>
        <v>0</v>
      </c>
      <c r="AV29" s="12">
        <f t="shared" si="10"/>
        <v>0</v>
      </c>
      <c r="AW29" s="12">
        <f t="shared" si="10"/>
        <v>0</v>
      </c>
      <c r="AX29" s="12">
        <f t="shared" si="10"/>
        <v>0</v>
      </c>
      <c r="AY29" s="29">
        <f t="shared" si="10"/>
        <v>0</v>
      </c>
      <c r="AZ29" s="12">
        <f t="shared" si="10"/>
        <v>0</v>
      </c>
      <c r="BA29" s="12">
        <f t="shared" si="10"/>
        <v>0</v>
      </c>
      <c r="BB29" s="29">
        <f t="shared" si="10"/>
        <v>0</v>
      </c>
      <c r="BC29" s="12">
        <f t="shared" si="10"/>
        <v>168765.87530265757</v>
      </c>
      <c r="BD29" s="12">
        <f t="shared" si="10"/>
        <v>0</v>
      </c>
      <c r="BE29" s="12">
        <f t="shared" si="10"/>
        <v>0</v>
      </c>
      <c r="BF29" s="29">
        <f t="shared" ref="BF29:BX29" si="18">SUM(BF19:BF28)</f>
        <v>0</v>
      </c>
      <c r="BG29" s="12">
        <f t="shared" si="18"/>
        <v>0</v>
      </c>
      <c r="BH29" s="12">
        <f t="shared" si="18"/>
        <v>0</v>
      </c>
      <c r="BI29" s="12">
        <f t="shared" si="18"/>
        <v>0</v>
      </c>
      <c r="BJ29" s="12">
        <f t="shared" si="18"/>
        <v>0</v>
      </c>
      <c r="BK29" s="12">
        <f t="shared" si="18"/>
        <v>0</v>
      </c>
      <c r="BL29" s="12">
        <f t="shared" si="18"/>
        <v>0</v>
      </c>
      <c r="BM29" s="12">
        <f t="shared" si="18"/>
        <v>0</v>
      </c>
      <c r="BN29" s="29">
        <f t="shared" si="18"/>
        <v>-6984.2305789677403</v>
      </c>
      <c r="BO29" s="12">
        <f t="shared" si="18"/>
        <v>0</v>
      </c>
      <c r="BP29" s="12">
        <f t="shared" si="18"/>
        <v>0</v>
      </c>
      <c r="BQ29" s="12">
        <f t="shared" si="18"/>
        <v>0</v>
      </c>
      <c r="BR29" s="12">
        <f t="shared" si="18"/>
        <v>0</v>
      </c>
      <c r="BS29" s="12">
        <f t="shared" si="18"/>
        <v>0</v>
      </c>
      <c r="BT29" s="12">
        <f t="shared" si="18"/>
        <v>0</v>
      </c>
      <c r="BU29" s="12">
        <f t="shared" si="18"/>
        <v>0</v>
      </c>
      <c r="BV29" s="88">
        <f t="shared" si="18"/>
        <v>0</v>
      </c>
      <c r="BW29" s="29">
        <f t="shared" si="18"/>
        <v>1145019.9122122203</v>
      </c>
      <c r="BX29" s="86">
        <f t="shared" si="18"/>
        <v>0</v>
      </c>
      <c r="BY29" s="15"/>
    </row>
    <row r="30" spans="1:77" x14ac:dyDescent="0.2">
      <c r="A30" s="14" t="s">
        <v>67</v>
      </c>
      <c r="B30" s="100">
        <f t="shared" si="9"/>
        <v>1452538.5267344275</v>
      </c>
      <c r="C30" s="31">
        <f>'Restating Adj'!C30+'Pro Forma Adj'!C30</f>
        <v>0</v>
      </c>
      <c r="D30" s="92">
        <f>'Restating Adj'!D30+'Pro Forma Adj'!D30</f>
        <v>0</v>
      </c>
      <c r="E30" s="92">
        <f>'Restating Adj'!E30+'Pro Forma Adj'!E30</f>
        <v>0</v>
      </c>
      <c r="F30" s="92">
        <f>'Restating Adj'!F30+'Pro Forma Adj'!F30</f>
        <v>0</v>
      </c>
      <c r="G30" s="92">
        <f>'Restating Adj'!G30+'Pro Forma Adj'!G30</f>
        <v>0</v>
      </c>
      <c r="H30" s="90">
        <f>'Restating Adj'!H30+'Pro Forma Adj'!H30</f>
        <v>0</v>
      </c>
      <c r="I30" s="91">
        <f>'Restating Adj'!I30+'Pro Forma Adj'!I30</f>
        <v>0</v>
      </c>
      <c r="J30" s="30">
        <f>'Restating Adj'!J30+'Pro Forma Adj'!J30</f>
        <v>0</v>
      </c>
      <c r="K30" s="91">
        <f>'Restating Adj'!K30+'Pro Forma Adj'!K30</f>
        <v>0</v>
      </c>
      <c r="L30" s="31">
        <f>'Restating Adj'!L30+'Pro Forma Adj'!L30</f>
        <v>0</v>
      </c>
      <c r="M30" s="92">
        <f>'Restating Adj'!M30+'Pro Forma Adj'!M30</f>
        <v>0</v>
      </c>
      <c r="N30" s="92">
        <f>'Restating Adj'!N30+'Pro Forma Adj'!N30</f>
        <v>0</v>
      </c>
      <c r="O30" s="92">
        <f>'Restating Adj'!O30+'Pro Forma Adj'!O30</f>
        <v>0</v>
      </c>
      <c r="P30" s="92">
        <f>'Restating Adj'!P30+'Pro Forma Adj'!P30</f>
        <v>0</v>
      </c>
      <c r="Q30" s="93">
        <f>'Restating Adj'!Q30+'Pro Forma Adj'!Q30</f>
        <v>0</v>
      </c>
      <c r="R30" s="30">
        <f>'Restating Adj'!R30+'Pro Forma Adj'!R30</f>
        <v>0</v>
      </c>
      <c r="S30" s="90">
        <f>'Restating Adj'!S30+'Pro Forma Adj'!S30</f>
        <v>0</v>
      </c>
      <c r="T30" s="90">
        <f>'Restating Adj'!T30+'Pro Forma Adj'!T30</f>
        <v>0</v>
      </c>
      <c r="U30" s="90">
        <f>'Restating Adj'!U30+'Pro Forma Adj'!U30</f>
        <v>0</v>
      </c>
      <c r="V30" s="90">
        <f>'Restating Adj'!V30+'Pro Forma Adj'!V30</f>
        <v>0</v>
      </c>
      <c r="W30" s="90">
        <f>'Restating Adj'!W30+'Pro Forma Adj'!W30</f>
        <v>0</v>
      </c>
      <c r="X30" s="91">
        <f>'Restating Adj'!X30+'Pro Forma Adj'!X30</f>
        <v>0</v>
      </c>
      <c r="Y30" s="30">
        <f>'Restating Adj'!Y30+'Pro Forma Adj'!Y30</f>
        <v>0</v>
      </c>
      <c r="Z30" s="90">
        <f>'Restating Adj'!Z30+'Pro Forma Adj'!Z30</f>
        <v>0</v>
      </c>
      <c r="AA30" s="90">
        <f>'Restating Adj'!AA30+'Pro Forma Adj'!AA30</f>
        <v>0</v>
      </c>
      <c r="AB30" s="90">
        <f>'Restating Adj'!AB30+'Pro Forma Adj'!AB30</f>
        <v>0</v>
      </c>
      <c r="AC30" s="91">
        <f>'Restating Adj'!AC30+'Pro Forma Adj'!AC30</f>
        <v>0</v>
      </c>
      <c r="AD30" s="31">
        <f>'Restating Adj'!AD30+'Pro Forma Adj'!AD30</f>
        <v>0</v>
      </c>
      <c r="AE30" s="93">
        <f>'Restating Adj'!AE30+'Pro Forma Adj'!AE30</f>
        <v>0</v>
      </c>
      <c r="AF30" s="31">
        <f>'Restating Adj'!AF30+'Pro Forma Adj'!AF30</f>
        <v>0</v>
      </c>
      <c r="AG30" s="92">
        <f>'Restating Adj'!AG30+'Pro Forma Adj'!AG30</f>
        <v>-428046.01728697837</v>
      </c>
      <c r="AH30" s="29">
        <f>'Restating Adj'!AH30+'Pro Forma Adj'!AH30</f>
        <v>0</v>
      </c>
      <c r="AI30" s="12">
        <f>'Restating Adj'!AI30+'Pro Forma Adj'!AI30</f>
        <v>0</v>
      </c>
      <c r="AJ30" s="12">
        <f>'Restating Adj'!AJ30+'Pro Forma Adj'!AJ30</f>
        <v>0</v>
      </c>
      <c r="AK30" s="86">
        <f>'Restating Adj'!AK30+'Pro Forma Adj'!AK30</f>
        <v>0</v>
      </c>
      <c r="AL30" s="29">
        <f>'Restating Adj'!AL30+'Pro Forma Adj'!AL30</f>
        <v>1428608.4764376204</v>
      </c>
      <c r="AM30" s="12">
        <f>'Restating Adj'!AM30+'Pro Forma Adj'!AM30</f>
        <v>0</v>
      </c>
      <c r="AN30" s="12">
        <f>'Restating Adj'!AN30+'Pro Forma Adj'!AN30</f>
        <v>0</v>
      </c>
      <c r="AO30" s="12">
        <f>'Restating Adj'!AO30+'Pro Forma Adj'!AO30</f>
        <v>0</v>
      </c>
      <c r="AP30" s="12">
        <f>'Restating Adj'!AP30+'Pro Forma Adj'!AP30</f>
        <v>0</v>
      </c>
      <c r="AQ30" s="86">
        <f>'Restating Adj'!AQ30+'Pro Forma Adj'!AQ30</f>
        <v>0</v>
      </c>
      <c r="AR30" s="12">
        <f>'Restating Adj'!AR30+'Pro Forma Adj'!AR30</f>
        <v>0</v>
      </c>
      <c r="AS30" s="31">
        <f>'Restating Adj'!AS30+'Pro Forma Adj'!AS30</f>
        <v>0</v>
      </c>
      <c r="AT30" s="92">
        <f>'Restating Adj'!AT30+'Pro Forma Adj'!AT30</f>
        <v>0</v>
      </c>
      <c r="AU30" s="92">
        <f>'Restating Adj'!AU30+'Pro Forma Adj'!AU30</f>
        <v>0</v>
      </c>
      <c r="AV30" s="92">
        <f>'Restating Adj'!AV30+'Pro Forma Adj'!AV30</f>
        <v>0</v>
      </c>
      <c r="AW30" s="92">
        <f>'Restating Adj'!AW30+'Pro Forma Adj'!AW30</f>
        <v>0</v>
      </c>
      <c r="AX30" s="92">
        <f>'Restating Adj'!AX30+'Pro Forma Adj'!AX30</f>
        <v>0</v>
      </c>
      <c r="AY30" s="31">
        <f>'Restating Adj'!AY30+'Pro Forma Adj'!AY30</f>
        <v>0</v>
      </c>
      <c r="AZ30" s="92">
        <f>'Restating Adj'!AZ30+'Pro Forma Adj'!AZ30</f>
        <v>0</v>
      </c>
      <c r="BA30" s="92">
        <f>'Restating Adj'!BA30+'Pro Forma Adj'!BA30</f>
        <v>0</v>
      </c>
      <c r="BB30" s="31">
        <f>'Restating Adj'!BB30+'Pro Forma Adj'!BB30</f>
        <v>0</v>
      </c>
      <c r="BC30" s="90">
        <f>'Restating Adj'!BC30+'Pro Forma Adj'!BC30</f>
        <v>0</v>
      </c>
      <c r="BD30" s="90">
        <f>'Restating Adj'!BD30+'Pro Forma Adj'!BD30</f>
        <v>0</v>
      </c>
      <c r="BE30" s="90">
        <f>'Restating Adj'!BE30+'Pro Forma Adj'!BE30</f>
        <v>466361.64486894885</v>
      </c>
      <c r="BF30" s="30">
        <f>'Restating Adj'!BF30+'Pro Forma Adj'!BF30</f>
        <v>0</v>
      </c>
      <c r="BG30" s="90">
        <f>'Restating Adj'!BG30+'Pro Forma Adj'!BG30</f>
        <v>0</v>
      </c>
      <c r="BH30" s="12">
        <f>'Restating Adj'!BH30+'Pro Forma Adj'!BH30</f>
        <v>0</v>
      </c>
      <c r="BI30" s="90">
        <f>'Restating Adj'!BI30+'Pro Forma Adj'!BI30</f>
        <v>0</v>
      </c>
      <c r="BJ30" s="92">
        <f>'Restating Adj'!BJ30+'Pro Forma Adj'!BJ30</f>
        <v>-17990.552800000001</v>
      </c>
      <c r="BK30" s="92">
        <f>'Restating Adj'!BK30+'Pro Forma Adj'!BK30</f>
        <v>0</v>
      </c>
      <c r="BL30" s="92">
        <f>'Restating Adj'!BL30+'Pro Forma Adj'!BL30</f>
        <v>0</v>
      </c>
      <c r="BM30" s="92">
        <f>'Restating Adj'!BM30+'Pro Forma Adj'!BM30</f>
        <v>0</v>
      </c>
      <c r="BN30" s="31">
        <f>'Restating Adj'!BN30+'Pro Forma Adj'!BN30</f>
        <v>0</v>
      </c>
      <c r="BO30" s="92">
        <f>'Restating Adj'!BO30+'Pro Forma Adj'!BO30</f>
        <v>0</v>
      </c>
      <c r="BP30" s="92">
        <f>'Restating Adj'!BP30+'Pro Forma Adj'!BP30</f>
        <v>0</v>
      </c>
      <c r="BQ30" s="92">
        <f>'Restating Adj'!BQ30+'Pro Forma Adj'!BQ30</f>
        <v>0</v>
      </c>
      <c r="BR30" s="92">
        <f>'Restating Adj'!BR30+'Pro Forma Adj'!BR30</f>
        <v>0</v>
      </c>
      <c r="BS30" s="92">
        <f>'Restating Adj'!BS30+'Pro Forma Adj'!BS30</f>
        <v>0</v>
      </c>
      <c r="BT30" s="92">
        <f>'Restating Adj'!BT30+'Pro Forma Adj'!BT30</f>
        <v>0</v>
      </c>
      <c r="BU30" s="92">
        <f>'Restating Adj'!BU30+'Pro Forma Adj'!BU30</f>
        <v>0</v>
      </c>
      <c r="BV30" s="299">
        <f>'Restating Adj'!BV30+'Pro Forma Adj'!BV30</f>
        <v>0</v>
      </c>
      <c r="BW30" s="31">
        <f>'Restating Adj'!BW30+'Pro Forma Adj'!BW30</f>
        <v>3604.9755148369586</v>
      </c>
      <c r="BX30" s="93">
        <f>'Restating Adj'!BX30+'Pro Forma Adj'!BX30</f>
        <v>0</v>
      </c>
      <c r="BY30" s="15"/>
    </row>
    <row r="31" spans="1:77" x14ac:dyDescent="0.2">
      <c r="A31" s="14" t="s">
        <v>68</v>
      </c>
      <c r="B31" s="100">
        <f t="shared" si="9"/>
        <v>82361.759263031505</v>
      </c>
      <c r="C31" s="31">
        <f>'Restating Adj'!C31+'Pro Forma Adj'!C31</f>
        <v>0</v>
      </c>
      <c r="D31" s="92">
        <f>'Restating Adj'!D31+'Pro Forma Adj'!D31</f>
        <v>0</v>
      </c>
      <c r="E31" s="92">
        <f>'Restating Adj'!E31+'Pro Forma Adj'!E31</f>
        <v>0</v>
      </c>
      <c r="F31" s="92">
        <f>'Restating Adj'!F31+'Pro Forma Adj'!F31</f>
        <v>0</v>
      </c>
      <c r="G31" s="92">
        <f>'Restating Adj'!G31+'Pro Forma Adj'!G31</f>
        <v>0</v>
      </c>
      <c r="H31" s="90">
        <f>'Restating Adj'!H31+'Pro Forma Adj'!H31</f>
        <v>0</v>
      </c>
      <c r="I31" s="91">
        <f>'Restating Adj'!I31+'Pro Forma Adj'!I31</f>
        <v>0</v>
      </c>
      <c r="J31" s="30">
        <f>'Restating Adj'!J31+'Pro Forma Adj'!J31</f>
        <v>0</v>
      </c>
      <c r="K31" s="91">
        <f>'Restating Adj'!K31+'Pro Forma Adj'!K31</f>
        <v>0</v>
      </c>
      <c r="L31" s="31">
        <f>'Restating Adj'!L31+'Pro Forma Adj'!L31</f>
        <v>0</v>
      </c>
      <c r="M31" s="92">
        <f>'Restating Adj'!M31+'Pro Forma Adj'!M31</f>
        <v>0</v>
      </c>
      <c r="N31" s="92">
        <f>'Restating Adj'!N31+'Pro Forma Adj'!N31</f>
        <v>0</v>
      </c>
      <c r="O31" s="92">
        <f>'Restating Adj'!O31+'Pro Forma Adj'!O31</f>
        <v>0</v>
      </c>
      <c r="P31" s="92">
        <f>'Restating Adj'!P31+'Pro Forma Adj'!P31</f>
        <v>0</v>
      </c>
      <c r="Q31" s="93">
        <f>'Restating Adj'!Q31+'Pro Forma Adj'!Q31</f>
        <v>0</v>
      </c>
      <c r="R31" s="30">
        <f>'Restating Adj'!R31+'Pro Forma Adj'!R31</f>
        <v>0</v>
      </c>
      <c r="S31" s="90">
        <f>'Restating Adj'!S31+'Pro Forma Adj'!S31</f>
        <v>0</v>
      </c>
      <c r="T31" s="90">
        <f>'Restating Adj'!T31+'Pro Forma Adj'!T31</f>
        <v>0</v>
      </c>
      <c r="U31" s="90">
        <f>'Restating Adj'!U31+'Pro Forma Adj'!U31</f>
        <v>0</v>
      </c>
      <c r="V31" s="90">
        <f>'Restating Adj'!V31+'Pro Forma Adj'!V31</f>
        <v>0</v>
      </c>
      <c r="W31" s="90">
        <f>'Restating Adj'!W31+'Pro Forma Adj'!W31</f>
        <v>0</v>
      </c>
      <c r="X31" s="91">
        <f>'Restating Adj'!X31+'Pro Forma Adj'!X31</f>
        <v>0</v>
      </c>
      <c r="Y31" s="30">
        <f>'Restating Adj'!Y31+'Pro Forma Adj'!Y31</f>
        <v>0</v>
      </c>
      <c r="Z31" s="90">
        <f>'Restating Adj'!Z31+'Pro Forma Adj'!Z31</f>
        <v>0</v>
      </c>
      <c r="AA31" s="90">
        <f>'Restating Adj'!AA31+'Pro Forma Adj'!AA31</f>
        <v>0</v>
      </c>
      <c r="AB31" s="90">
        <f>'Restating Adj'!AB31+'Pro Forma Adj'!AB31</f>
        <v>0</v>
      </c>
      <c r="AC31" s="91">
        <f>'Restating Adj'!AC31+'Pro Forma Adj'!AC31</f>
        <v>0</v>
      </c>
      <c r="AD31" s="31">
        <f>'Restating Adj'!AD31+'Pro Forma Adj'!AD31</f>
        <v>0</v>
      </c>
      <c r="AE31" s="93">
        <f>'Restating Adj'!AE31+'Pro Forma Adj'!AE31</f>
        <v>0</v>
      </c>
      <c r="AF31" s="31">
        <f>'Restating Adj'!AF31+'Pro Forma Adj'!AF31</f>
        <v>0</v>
      </c>
      <c r="AG31" s="92">
        <f>'Restating Adj'!AG31+'Pro Forma Adj'!AG31</f>
        <v>0</v>
      </c>
      <c r="AH31" s="29">
        <f>'Restating Adj'!AH31+'Pro Forma Adj'!AH31</f>
        <v>0</v>
      </c>
      <c r="AI31" s="12">
        <f>'Restating Adj'!AI31+'Pro Forma Adj'!AI31</f>
        <v>0</v>
      </c>
      <c r="AJ31" s="12">
        <f>'Restating Adj'!AJ31+'Pro Forma Adj'!AJ31</f>
        <v>0</v>
      </c>
      <c r="AK31" s="86">
        <f>'Restating Adj'!AK31+'Pro Forma Adj'!AK31</f>
        <v>0</v>
      </c>
      <c r="AL31" s="29">
        <f>'Restating Adj'!AL31+'Pro Forma Adj'!AL31</f>
        <v>0</v>
      </c>
      <c r="AM31" s="12">
        <f>'Restating Adj'!AM31+'Pro Forma Adj'!AM31</f>
        <v>0</v>
      </c>
      <c r="AN31" s="12">
        <f>'Restating Adj'!AN31+'Pro Forma Adj'!AN31</f>
        <v>0</v>
      </c>
      <c r="AO31" s="12">
        <f>'Restating Adj'!AO31+'Pro Forma Adj'!AO31</f>
        <v>0</v>
      </c>
      <c r="AP31" s="12">
        <f>'Restating Adj'!AP31+'Pro Forma Adj'!AP31</f>
        <v>0</v>
      </c>
      <c r="AQ31" s="86">
        <f>'Restating Adj'!AQ31+'Pro Forma Adj'!AQ31</f>
        <v>0</v>
      </c>
      <c r="AR31" s="12">
        <f>'Restating Adj'!AR31+'Pro Forma Adj'!AR31</f>
        <v>0</v>
      </c>
      <c r="AS31" s="31">
        <f>'Restating Adj'!AS31+'Pro Forma Adj'!AS31</f>
        <v>0</v>
      </c>
      <c r="AT31" s="92">
        <f>'Restating Adj'!AT31+'Pro Forma Adj'!AT31</f>
        <v>0</v>
      </c>
      <c r="AU31" s="92">
        <f>'Restating Adj'!AU31+'Pro Forma Adj'!AU31</f>
        <v>0</v>
      </c>
      <c r="AV31" s="92">
        <f>'Restating Adj'!AV31+'Pro Forma Adj'!AV31</f>
        <v>0</v>
      </c>
      <c r="AW31" s="92">
        <f>'Restating Adj'!AW31+'Pro Forma Adj'!AW31</f>
        <v>0</v>
      </c>
      <c r="AX31" s="92">
        <f>'Restating Adj'!AX31+'Pro Forma Adj'!AX31</f>
        <v>0</v>
      </c>
      <c r="AY31" s="31">
        <f>'Restating Adj'!AY31+'Pro Forma Adj'!AY31</f>
        <v>0</v>
      </c>
      <c r="AZ31" s="92">
        <f>'Restating Adj'!AZ31+'Pro Forma Adj'!AZ31</f>
        <v>0</v>
      </c>
      <c r="BA31" s="92">
        <f>'Restating Adj'!BA31+'Pro Forma Adj'!BA31</f>
        <v>0</v>
      </c>
      <c r="BB31" s="31">
        <f>'Restating Adj'!BB31+'Pro Forma Adj'!BB31</f>
        <v>0</v>
      </c>
      <c r="BC31" s="90">
        <f>'Restating Adj'!BC31+'Pro Forma Adj'!BC31</f>
        <v>0</v>
      </c>
      <c r="BD31" s="90">
        <f>'Restating Adj'!BD31+'Pro Forma Adj'!BD31</f>
        <v>0</v>
      </c>
      <c r="BE31" s="90">
        <f>'Restating Adj'!BE31+'Pro Forma Adj'!BE31</f>
        <v>0</v>
      </c>
      <c r="BF31" s="30">
        <f>'Restating Adj'!BF31+'Pro Forma Adj'!BF31</f>
        <v>0</v>
      </c>
      <c r="BG31" s="90">
        <f>'Restating Adj'!BG31+'Pro Forma Adj'!BG31</f>
        <v>0</v>
      </c>
      <c r="BH31" s="12">
        <f>'Restating Adj'!BH31+'Pro Forma Adj'!BH31</f>
        <v>0</v>
      </c>
      <c r="BI31" s="90">
        <f>'Restating Adj'!BI31+'Pro Forma Adj'!BI31</f>
        <v>82361.759263031505</v>
      </c>
      <c r="BJ31" s="92">
        <f>'Restating Adj'!BJ31+'Pro Forma Adj'!BJ31</f>
        <v>0</v>
      </c>
      <c r="BK31" s="92">
        <f>'Restating Adj'!BK31+'Pro Forma Adj'!BK31</f>
        <v>0</v>
      </c>
      <c r="BL31" s="92">
        <f>'Restating Adj'!BL31+'Pro Forma Adj'!BL31</f>
        <v>0</v>
      </c>
      <c r="BM31" s="92">
        <f>'Restating Adj'!BM31+'Pro Forma Adj'!BM31</f>
        <v>0</v>
      </c>
      <c r="BN31" s="31">
        <f>'Restating Adj'!BN31+'Pro Forma Adj'!BN31</f>
        <v>0</v>
      </c>
      <c r="BO31" s="92">
        <f>'Restating Adj'!BO31+'Pro Forma Adj'!BO31</f>
        <v>0</v>
      </c>
      <c r="BP31" s="92">
        <f>'Restating Adj'!BP31+'Pro Forma Adj'!BP31</f>
        <v>0</v>
      </c>
      <c r="BQ31" s="92">
        <f>'Restating Adj'!BQ31+'Pro Forma Adj'!BQ31</f>
        <v>0</v>
      </c>
      <c r="BR31" s="92">
        <f>'Restating Adj'!BR31+'Pro Forma Adj'!BR31</f>
        <v>0</v>
      </c>
      <c r="BS31" s="92">
        <f>'Restating Adj'!BS31+'Pro Forma Adj'!BS31</f>
        <v>0</v>
      </c>
      <c r="BT31" s="92">
        <f>'Restating Adj'!BT31+'Pro Forma Adj'!BT31</f>
        <v>0</v>
      </c>
      <c r="BU31" s="92">
        <f>'Restating Adj'!BU31+'Pro Forma Adj'!BU31</f>
        <v>0</v>
      </c>
      <c r="BV31" s="299">
        <f>'Restating Adj'!BV31+'Pro Forma Adj'!BV31</f>
        <v>0</v>
      </c>
      <c r="BW31" s="31">
        <f>'Restating Adj'!BW31+'Pro Forma Adj'!BW31</f>
        <v>0</v>
      </c>
      <c r="BX31" s="93">
        <f>'Restating Adj'!BX31+'Pro Forma Adj'!BX31</f>
        <v>0</v>
      </c>
      <c r="BY31" s="15"/>
    </row>
    <row r="32" spans="1:77" x14ac:dyDescent="0.2">
      <c r="A32" s="14" t="s">
        <v>69</v>
      </c>
      <c r="B32" s="100">
        <f t="shared" si="9"/>
        <v>-700258.35651580896</v>
      </c>
      <c r="C32" s="31">
        <f>'Restating Adj'!C32+'Pro Forma Adj'!C32</f>
        <v>0</v>
      </c>
      <c r="D32" s="92">
        <f>'Restating Adj'!D32+'Pro Forma Adj'!D32</f>
        <v>0</v>
      </c>
      <c r="E32" s="92">
        <f>'Restating Adj'!E32+'Pro Forma Adj'!E32</f>
        <v>0</v>
      </c>
      <c r="F32" s="92">
        <f>'Restating Adj'!F32+'Pro Forma Adj'!F32</f>
        <v>0</v>
      </c>
      <c r="G32" s="92">
        <f>'Restating Adj'!G32+'Pro Forma Adj'!G32</f>
        <v>0</v>
      </c>
      <c r="H32" s="90">
        <f>'Restating Adj'!H32+'Pro Forma Adj'!H32</f>
        <v>0</v>
      </c>
      <c r="I32" s="91">
        <f>'Restating Adj'!I32+'Pro Forma Adj'!I32</f>
        <v>0</v>
      </c>
      <c r="J32" s="30">
        <f>'Restating Adj'!J32+'Pro Forma Adj'!J32</f>
        <v>0</v>
      </c>
      <c r="K32" s="91">
        <f>'Restating Adj'!K32+'Pro Forma Adj'!K32</f>
        <v>0</v>
      </c>
      <c r="L32" s="31">
        <f>'Restating Adj'!L32+'Pro Forma Adj'!L32</f>
        <v>0</v>
      </c>
      <c r="M32" s="92">
        <f>'Restating Adj'!M32+'Pro Forma Adj'!M32</f>
        <v>0</v>
      </c>
      <c r="N32" s="92">
        <f>'Restating Adj'!N32+'Pro Forma Adj'!N32</f>
        <v>0</v>
      </c>
      <c r="O32" s="92">
        <f>'Restating Adj'!O32+'Pro Forma Adj'!O32</f>
        <v>0</v>
      </c>
      <c r="P32" s="92">
        <f>'Restating Adj'!P32+'Pro Forma Adj'!P32</f>
        <v>0</v>
      </c>
      <c r="Q32" s="93">
        <f>'Restating Adj'!Q32+'Pro Forma Adj'!Q32</f>
        <v>0</v>
      </c>
      <c r="R32" s="30">
        <f>'Restating Adj'!R32+'Pro Forma Adj'!R32</f>
        <v>0</v>
      </c>
      <c r="S32" s="90">
        <f>'Restating Adj'!S32+'Pro Forma Adj'!S32</f>
        <v>0</v>
      </c>
      <c r="T32" s="90">
        <f>'Restating Adj'!T32+'Pro Forma Adj'!T32</f>
        <v>0</v>
      </c>
      <c r="U32" s="90">
        <f>'Restating Adj'!U32+'Pro Forma Adj'!U32</f>
        <v>0</v>
      </c>
      <c r="V32" s="90">
        <f>'Restating Adj'!V32+'Pro Forma Adj'!V32</f>
        <v>0</v>
      </c>
      <c r="W32" s="90">
        <f>'Restating Adj'!W32+'Pro Forma Adj'!W32</f>
        <v>0</v>
      </c>
      <c r="X32" s="91">
        <f>'Restating Adj'!X32+'Pro Forma Adj'!X32</f>
        <v>0</v>
      </c>
      <c r="Y32" s="30">
        <f>'Restating Adj'!Y32+'Pro Forma Adj'!Y32</f>
        <v>0</v>
      </c>
      <c r="Z32" s="90">
        <f>'Restating Adj'!Z32+'Pro Forma Adj'!Z32</f>
        <v>0</v>
      </c>
      <c r="AA32" s="90">
        <f>'Restating Adj'!AA32+'Pro Forma Adj'!AA32</f>
        <v>0</v>
      </c>
      <c r="AB32" s="90">
        <f>'Restating Adj'!AB32+'Pro Forma Adj'!AB32</f>
        <v>0</v>
      </c>
      <c r="AC32" s="91">
        <f>'Restating Adj'!AC32+'Pro Forma Adj'!AC32</f>
        <v>0</v>
      </c>
      <c r="AD32" s="31">
        <f>'Restating Adj'!AD32+'Pro Forma Adj'!AD32</f>
        <v>0</v>
      </c>
      <c r="AE32" s="93">
        <f>'Restating Adj'!AE32+'Pro Forma Adj'!AE32</f>
        <v>0</v>
      </c>
      <c r="AF32" s="31">
        <f>'Restating Adj'!AF32+'Pro Forma Adj'!AF32</f>
        <v>0</v>
      </c>
      <c r="AG32" s="92">
        <f>'Restating Adj'!AG32+'Pro Forma Adj'!AG32</f>
        <v>-41073.316515808037</v>
      </c>
      <c r="AH32" s="29">
        <f>'Restating Adj'!AH32+'Pro Forma Adj'!AH32</f>
        <v>0</v>
      </c>
      <c r="AI32" s="12">
        <f>'Restating Adj'!AI32+'Pro Forma Adj'!AI32</f>
        <v>0</v>
      </c>
      <c r="AJ32" s="12">
        <f>'Restating Adj'!AJ32+'Pro Forma Adj'!AJ32</f>
        <v>0</v>
      </c>
      <c r="AK32" s="86">
        <f>'Restating Adj'!AK32+'Pro Forma Adj'!AK32</f>
        <v>0</v>
      </c>
      <c r="AL32" s="29">
        <f>'Restating Adj'!AL32+'Pro Forma Adj'!AL32</f>
        <v>0</v>
      </c>
      <c r="AM32" s="12">
        <f>'Restating Adj'!AM32+'Pro Forma Adj'!AM32</f>
        <v>0</v>
      </c>
      <c r="AN32" s="12">
        <f>'Restating Adj'!AN32+'Pro Forma Adj'!AN32</f>
        <v>0</v>
      </c>
      <c r="AO32" s="12">
        <f>'Restating Adj'!AO32+'Pro Forma Adj'!AO32</f>
        <v>0</v>
      </c>
      <c r="AP32" s="12">
        <f>'Restating Adj'!AP32+'Pro Forma Adj'!AP32</f>
        <v>0</v>
      </c>
      <c r="AQ32" s="86">
        <f>'Restating Adj'!AQ32+'Pro Forma Adj'!AQ32</f>
        <v>0</v>
      </c>
      <c r="AR32" s="12">
        <f>'Restating Adj'!AR32+'Pro Forma Adj'!AR32</f>
        <v>0</v>
      </c>
      <c r="AS32" s="31">
        <f>'Restating Adj'!AS32+'Pro Forma Adj'!AS32</f>
        <v>0</v>
      </c>
      <c r="AT32" s="92">
        <f>'Restating Adj'!AT32+'Pro Forma Adj'!AT32</f>
        <v>108255</v>
      </c>
      <c r="AU32" s="92">
        <f>'Restating Adj'!AU32+'Pro Forma Adj'!AU32</f>
        <v>0</v>
      </c>
      <c r="AV32" s="92">
        <f>'Restating Adj'!AV32+'Pro Forma Adj'!AV32</f>
        <v>0</v>
      </c>
      <c r="AW32" s="92">
        <f>'Restating Adj'!AW32+'Pro Forma Adj'!AW32</f>
        <v>39804</v>
      </c>
      <c r="AX32" s="92">
        <f>'Restating Adj'!AX32+'Pro Forma Adj'!AX32</f>
        <v>0</v>
      </c>
      <c r="AY32" s="31">
        <f>'Restating Adj'!AY32+'Pro Forma Adj'!AY32</f>
        <v>0</v>
      </c>
      <c r="AZ32" s="92">
        <f>'Restating Adj'!AZ32+'Pro Forma Adj'!AZ32</f>
        <v>0</v>
      </c>
      <c r="BA32" s="92">
        <f>'Restating Adj'!BA32+'Pro Forma Adj'!BA32</f>
        <v>-807244.04000000097</v>
      </c>
      <c r="BB32" s="31">
        <f>'Restating Adj'!BB32+'Pro Forma Adj'!BB32</f>
        <v>0</v>
      </c>
      <c r="BC32" s="90">
        <f>'Restating Adj'!BC32+'Pro Forma Adj'!BC32</f>
        <v>0</v>
      </c>
      <c r="BD32" s="90">
        <f>'Restating Adj'!BD32+'Pro Forma Adj'!BD32</f>
        <v>0</v>
      </c>
      <c r="BE32" s="90">
        <f>'Restating Adj'!BE32+'Pro Forma Adj'!BE32</f>
        <v>0</v>
      </c>
      <c r="BF32" s="30">
        <f>'Restating Adj'!BF32+'Pro Forma Adj'!BF32</f>
        <v>0</v>
      </c>
      <c r="BG32" s="90">
        <f>'Restating Adj'!BG32+'Pro Forma Adj'!BG32</f>
        <v>0</v>
      </c>
      <c r="BH32" s="12">
        <f>'Restating Adj'!BH32+'Pro Forma Adj'!BH32</f>
        <v>0</v>
      </c>
      <c r="BI32" s="90">
        <f>'Restating Adj'!BI32+'Pro Forma Adj'!BI32</f>
        <v>0</v>
      </c>
      <c r="BJ32" s="92">
        <f>'Restating Adj'!BJ32+'Pro Forma Adj'!BJ32</f>
        <v>0</v>
      </c>
      <c r="BK32" s="92">
        <f>'Restating Adj'!BK32+'Pro Forma Adj'!BK32</f>
        <v>0</v>
      </c>
      <c r="BL32" s="92">
        <f>'Restating Adj'!BL32+'Pro Forma Adj'!BL32</f>
        <v>0</v>
      </c>
      <c r="BM32" s="92">
        <f>'Restating Adj'!BM32+'Pro Forma Adj'!BM32</f>
        <v>0</v>
      </c>
      <c r="BN32" s="31">
        <f>'Restating Adj'!BN32+'Pro Forma Adj'!BN32</f>
        <v>0</v>
      </c>
      <c r="BO32" s="92">
        <f>'Restating Adj'!BO32+'Pro Forma Adj'!BO32</f>
        <v>0</v>
      </c>
      <c r="BP32" s="92">
        <f>'Restating Adj'!BP32+'Pro Forma Adj'!BP32</f>
        <v>0</v>
      </c>
      <c r="BQ32" s="92">
        <f>'Restating Adj'!BQ32+'Pro Forma Adj'!BQ32</f>
        <v>0</v>
      </c>
      <c r="BR32" s="92">
        <f>'Restating Adj'!BR32+'Pro Forma Adj'!BR32</f>
        <v>0</v>
      </c>
      <c r="BS32" s="92">
        <f>'Restating Adj'!BS32+'Pro Forma Adj'!BS32</f>
        <v>0</v>
      </c>
      <c r="BT32" s="92">
        <f>'Restating Adj'!BT32+'Pro Forma Adj'!BT32</f>
        <v>0</v>
      </c>
      <c r="BU32" s="92">
        <f>'Restating Adj'!BU32+'Pro Forma Adj'!BU32</f>
        <v>0</v>
      </c>
      <c r="BV32" s="299">
        <f>'Restating Adj'!BV32+'Pro Forma Adj'!BV32</f>
        <v>0</v>
      </c>
      <c r="BW32" s="31">
        <f>'Restating Adj'!BW32+'Pro Forma Adj'!BW32</f>
        <v>0</v>
      </c>
      <c r="BX32" s="93">
        <f>'Restating Adj'!BX32+'Pro Forma Adj'!BX32</f>
        <v>0</v>
      </c>
      <c r="BY32" s="15"/>
    </row>
    <row r="33" spans="1:77" x14ac:dyDescent="0.2">
      <c r="A33" s="14" t="s">
        <v>70</v>
      </c>
      <c r="B33" s="100">
        <f t="shared" si="9"/>
        <v>3828606.5029479624</v>
      </c>
      <c r="C33" s="31">
        <f>'Restating Adj'!C33+'Pro Forma Adj'!C33</f>
        <v>-1992466.4444999998</v>
      </c>
      <c r="D33" s="92">
        <f>'Restating Adj'!D33+'Pro Forma Adj'!D33</f>
        <v>-2599654.5509476503</v>
      </c>
      <c r="E33" s="92">
        <f>'Restating Adj'!E33+'Pro Forma Adj'!E33</f>
        <v>5959038.6872807294</v>
      </c>
      <c r="F33" s="92">
        <f>'Restating Adj'!F33+'Pro Forma Adj'!F33</f>
        <v>-680.61800753751299</v>
      </c>
      <c r="G33" s="92">
        <f>'Restating Adj'!G33+'Pro Forma Adj'!G33</f>
        <v>-788668.69587537274</v>
      </c>
      <c r="H33" s="90">
        <f>'Restating Adj'!H33+'Pro Forma Adj'!H33</f>
        <v>121528.18239446045</v>
      </c>
      <c r="I33" s="91">
        <f>'Restating Adj'!I33+'Pro Forma Adj'!I33</f>
        <v>14464.037857284064</v>
      </c>
      <c r="J33" s="30">
        <f>'Restating Adj'!J33+'Pro Forma Adj'!J33</f>
        <v>0</v>
      </c>
      <c r="K33" s="91">
        <f>'Restating Adj'!K33+'Pro Forma Adj'!K33</f>
        <v>9061.0034923925705</v>
      </c>
      <c r="L33" s="31">
        <f>'Restating Adj'!L33+'Pro Forma Adj'!L33</f>
        <v>7739.8993264450692</v>
      </c>
      <c r="M33" s="92">
        <f>'Restating Adj'!M33+'Pro Forma Adj'!M33</f>
        <v>16656.143396395273</v>
      </c>
      <c r="N33" s="92">
        <f>'Restating Adj'!N33+'Pro Forma Adj'!N33</f>
        <v>241024.97632791134</v>
      </c>
      <c r="O33" s="92">
        <f>'Restating Adj'!O33+'Pro Forma Adj'!O33</f>
        <v>1869.263802946343</v>
      </c>
      <c r="P33" s="92">
        <f>'Restating Adj'!P33+'Pro Forma Adj'!P33</f>
        <v>-54402.80746845586</v>
      </c>
      <c r="Q33" s="93">
        <f>'Restating Adj'!Q33+'Pro Forma Adj'!Q33</f>
        <v>3753899.4513292802</v>
      </c>
      <c r="R33" s="30">
        <f>'Restating Adj'!R33+'Pro Forma Adj'!R33</f>
        <v>260407.38736725779</v>
      </c>
      <c r="S33" s="90">
        <f>'Restating Adj'!S33+'Pro Forma Adj'!S33</f>
        <v>140.68131639421088</v>
      </c>
      <c r="T33" s="90">
        <f>'Restating Adj'!T33+'Pro Forma Adj'!T33</f>
        <v>-523.78459631685257</v>
      </c>
      <c r="U33" s="90">
        <f>'Restating Adj'!U33+'Pro Forma Adj'!U33</f>
        <v>-147848.75227893586</v>
      </c>
      <c r="V33" s="90">
        <f>'Restating Adj'!V33+'Pro Forma Adj'!V33</f>
        <v>-257021.32676565743</v>
      </c>
      <c r="W33" s="90">
        <f>'Restating Adj'!W33+'Pro Forma Adj'!W33</f>
        <v>224184.41351494545</v>
      </c>
      <c r="X33" s="91">
        <f>'Restating Adj'!X33+'Pro Forma Adj'!X33</f>
        <v>0</v>
      </c>
      <c r="Y33" s="30">
        <f>'Restating Adj'!Y33+'Pro Forma Adj'!Y33</f>
        <v>0</v>
      </c>
      <c r="Z33" s="90">
        <f>'Restating Adj'!Z33+'Pro Forma Adj'!Z33</f>
        <v>0</v>
      </c>
      <c r="AA33" s="90">
        <f>'Restating Adj'!AA33+'Pro Forma Adj'!AA33</f>
        <v>0</v>
      </c>
      <c r="AB33" s="90">
        <f>'Restating Adj'!AB33+'Pro Forma Adj'!AB33</f>
        <v>0</v>
      </c>
      <c r="AC33" s="91">
        <f>'Restating Adj'!AC33+'Pro Forma Adj'!AC33</f>
        <v>0</v>
      </c>
      <c r="AD33" s="31">
        <f>'Restating Adj'!AD33+'Pro Forma Adj'!AD33</f>
        <v>4030151.8861333248</v>
      </c>
      <c r="AE33" s="93">
        <f>'Restating Adj'!AE33+'Pro Forma Adj'!AE33</f>
        <v>-1652604.400118184</v>
      </c>
      <c r="AF33" s="31">
        <f>'Restating Adj'!AF33+'Pro Forma Adj'!AF33</f>
        <v>237964.44587433519</v>
      </c>
      <c r="AG33" s="92">
        <f>'Restating Adj'!AG33+'Pro Forma Adj'!AG33</f>
        <v>41615.709191224734</v>
      </c>
      <c r="AH33" s="29">
        <f>'Restating Adj'!AH33+'Pro Forma Adj'!AH33</f>
        <v>-44842.390369071087</v>
      </c>
      <c r="AI33" s="12">
        <f>'Restating Adj'!AI33+'Pro Forma Adj'!AI33</f>
        <v>0</v>
      </c>
      <c r="AJ33" s="12">
        <f>'Restating Adj'!AJ33+'Pro Forma Adj'!AJ33</f>
        <v>0</v>
      </c>
      <c r="AK33" s="86">
        <f>'Restating Adj'!AK33+'Pro Forma Adj'!AK33</f>
        <v>0</v>
      </c>
      <c r="AL33" s="29">
        <f>'Restating Adj'!AL33+'Pro Forma Adj'!AL33</f>
        <v>-500012.9667531671</v>
      </c>
      <c r="AM33" s="12">
        <f>'Restating Adj'!AM33+'Pro Forma Adj'!AM33</f>
        <v>0</v>
      </c>
      <c r="AN33" s="12">
        <f>'Restating Adj'!AN33+'Pro Forma Adj'!AN33</f>
        <v>500012.96675316693</v>
      </c>
      <c r="AO33" s="12">
        <f>'Restating Adj'!AO33+'Pro Forma Adj'!AO33</f>
        <v>31062.118883141571</v>
      </c>
      <c r="AP33" s="12">
        <f>'Restating Adj'!AP33+'Pro Forma Adj'!AP33</f>
        <v>15193.148152979888</v>
      </c>
      <c r="AQ33" s="86">
        <f>'Restating Adj'!AQ33+'Pro Forma Adj'!AQ33</f>
        <v>-132584.93622765399</v>
      </c>
      <c r="AR33" s="12">
        <f>'Restating Adj'!AR33+'Pro Forma Adj'!AR33</f>
        <v>0</v>
      </c>
      <c r="AS33" s="31">
        <f>'Restating Adj'!AS33+'Pro Forma Adj'!AS33</f>
        <v>-29345.108054750221</v>
      </c>
      <c r="AT33" s="92">
        <f>'Restating Adj'!AT33+'Pro Forma Adj'!AT33</f>
        <v>-37889.25</v>
      </c>
      <c r="AU33" s="92">
        <f>'Restating Adj'!AU33+'Pro Forma Adj'!AU33</f>
        <v>-661916.82775972039</v>
      </c>
      <c r="AV33" s="92">
        <f>'Restating Adj'!AV33+'Pro Forma Adj'!AV33</f>
        <v>0</v>
      </c>
      <c r="AW33" s="92">
        <f>'Restating Adj'!AW33+'Pro Forma Adj'!AW33</f>
        <v>-13931.4</v>
      </c>
      <c r="AX33" s="92">
        <f>'Restating Adj'!AX33+'Pro Forma Adj'!AX33</f>
        <v>0</v>
      </c>
      <c r="AY33" s="31">
        <f>'Restating Adj'!AY33+'Pro Forma Adj'!AY33</f>
        <v>0</v>
      </c>
      <c r="AZ33" s="92">
        <f>'Restating Adj'!AZ33+'Pro Forma Adj'!AZ33</f>
        <v>0</v>
      </c>
      <c r="BA33" s="92">
        <f>'Restating Adj'!BA33+'Pro Forma Adj'!BA33</f>
        <v>282536</v>
      </c>
      <c r="BB33" s="31">
        <f>'Restating Adj'!BB33+'Pro Forma Adj'!BB33</f>
        <v>138614.57201924626</v>
      </c>
      <c r="BC33" s="90">
        <f>'Restating Adj'!BC33+'Pro Forma Adj'!BC33</f>
        <v>-49695.367855697426</v>
      </c>
      <c r="BD33" s="90">
        <f>'Restating Adj'!BD33+'Pro Forma Adj'!BD33</f>
        <v>0</v>
      </c>
      <c r="BE33" s="90">
        <f>'Restating Adj'!BE33+'Pro Forma Adj'!BE33</f>
        <v>-163226.57570413209</v>
      </c>
      <c r="BF33" s="30">
        <f>'Restating Adj'!BF33+'Pro Forma Adj'!BF33</f>
        <v>-1501520.0109886399</v>
      </c>
      <c r="BG33" s="90">
        <f>'Restating Adj'!BG33+'Pro Forma Adj'!BG33</f>
        <v>0</v>
      </c>
      <c r="BH33" s="12">
        <f>'Restating Adj'!BH33+'Pro Forma Adj'!BH33</f>
        <v>0</v>
      </c>
      <c r="BI33" s="90">
        <f>'Restating Adj'!BI33+'Pro Forma Adj'!BI33</f>
        <v>-86067.544480454977</v>
      </c>
      <c r="BJ33" s="92">
        <f>'Restating Adj'!BJ33+'Pro Forma Adj'!BJ33</f>
        <v>0</v>
      </c>
      <c r="BK33" s="92">
        <f>'Restating Adj'!BK33+'Pro Forma Adj'!BK33</f>
        <v>99761.9</v>
      </c>
      <c r="BL33" s="92">
        <f>'Restating Adj'!BL33+'Pro Forma Adj'!BL33</f>
        <v>-1459.2785454545456</v>
      </c>
      <c r="BM33" s="92">
        <f>'Restating Adj'!BM33+'Pro Forma Adj'!BM33</f>
        <v>-1050000</v>
      </c>
      <c r="BN33" s="31">
        <f>'Restating Adj'!BN33+'Pro Forma Adj'!BN33</f>
        <v>2444.4807026387089</v>
      </c>
      <c r="BO33" s="92">
        <f>'Restating Adj'!BO33+'Pro Forma Adj'!BO33</f>
        <v>0</v>
      </c>
      <c r="BP33" s="92">
        <f>'Restating Adj'!BP33+'Pro Forma Adj'!BP33</f>
        <v>0</v>
      </c>
      <c r="BQ33" s="92">
        <f>'Restating Adj'!BQ33+'Pro Forma Adj'!BQ33</f>
        <v>0</v>
      </c>
      <c r="BR33" s="92">
        <f>'Restating Adj'!BR33+'Pro Forma Adj'!BR33</f>
        <v>0</v>
      </c>
      <c r="BS33" s="92">
        <f>'Restating Adj'!BS33+'Pro Forma Adj'!BS33</f>
        <v>0</v>
      </c>
      <c r="BT33" s="92">
        <f>'Restating Adj'!BT33+'Pro Forma Adj'!BT33</f>
        <v>0</v>
      </c>
      <c r="BU33" s="92">
        <f>'Restating Adj'!BU33+'Pro Forma Adj'!BU33</f>
        <v>0</v>
      </c>
      <c r="BV33" s="299">
        <f>'Restating Adj'!BV33+'Pro Forma Adj'!BV33</f>
        <v>0</v>
      </c>
      <c r="BW33" s="31">
        <f>'Restating Adj'!BW33+'Pro Forma Adj'!BW33</f>
        <v>-343203.44280584075</v>
      </c>
      <c r="BX33" s="93">
        <f>'Restating Adj'!BX33+'Pro Forma Adj'!BX33</f>
        <v>-51198.372065845419</v>
      </c>
      <c r="BY33" s="15"/>
    </row>
    <row r="34" spans="1:77" x14ac:dyDescent="0.2">
      <c r="A34" s="14" t="s">
        <v>71</v>
      </c>
      <c r="B34" s="100">
        <f t="shared" si="9"/>
        <v>0</v>
      </c>
      <c r="C34" s="30">
        <f>'Restating Adj'!C34+'Pro Forma Adj'!C34</f>
        <v>0</v>
      </c>
      <c r="D34" s="90">
        <f>'Restating Adj'!D34+'Pro Forma Adj'!D34</f>
        <v>0</v>
      </c>
      <c r="E34" s="90">
        <f>'Restating Adj'!E34+'Pro Forma Adj'!E34</f>
        <v>0</v>
      </c>
      <c r="F34" s="90">
        <f>'Restating Adj'!F34+'Pro Forma Adj'!F34</f>
        <v>0</v>
      </c>
      <c r="G34" s="90">
        <f>'Restating Adj'!G34+'Pro Forma Adj'!G34</f>
        <v>0</v>
      </c>
      <c r="H34" s="90">
        <f>'Restating Adj'!H34+'Pro Forma Adj'!H34</f>
        <v>0</v>
      </c>
      <c r="I34" s="91">
        <f>'Restating Adj'!I34+'Pro Forma Adj'!I34</f>
        <v>0</v>
      </c>
      <c r="J34" s="30">
        <f>'Restating Adj'!J34+'Pro Forma Adj'!J34</f>
        <v>0</v>
      </c>
      <c r="K34" s="91">
        <f>'Restating Adj'!K34+'Pro Forma Adj'!K34</f>
        <v>0</v>
      </c>
      <c r="L34" s="30">
        <f>'Restating Adj'!L34+'Pro Forma Adj'!L34</f>
        <v>0</v>
      </c>
      <c r="M34" s="90">
        <f>'Restating Adj'!M34+'Pro Forma Adj'!M34</f>
        <v>0</v>
      </c>
      <c r="N34" s="90">
        <f>'Restating Adj'!N34+'Pro Forma Adj'!N34</f>
        <v>0</v>
      </c>
      <c r="O34" s="90">
        <f>'Restating Adj'!O34+'Pro Forma Adj'!O34</f>
        <v>0</v>
      </c>
      <c r="P34" s="90">
        <f>'Restating Adj'!P34+'Pro Forma Adj'!P34</f>
        <v>0</v>
      </c>
      <c r="Q34" s="91">
        <f>'Restating Adj'!Q34+'Pro Forma Adj'!Q34</f>
        <v>0</v>
      </c>
      <c r="R34" s="30">
        <f>'Restating Adj'!R34+'Pro Forma Adj'!R34</f>
        <v>0</v>
      </c>
      <c r="S34" s="90">
        <f>'Restating Adj'!S34+'Pro Forma Adj'!S34</f>
        <v>0</v>
      </c>
      <c r="T34" s="90">
        <f>'Restating Adj'!T34+'Pro Forma Adj'!T34</f>
        <v>0</v>
      </c>
      <c r="U34" s="90">
        <f>'Restating Adj'!U34+'Pro Forma Adj'!U34</f>
        <v>0</v>
      </c>
      <c r="V34" s="90">
        <f>'Restating Adj'!V34+'Pro Forma Adj'!V34</f>
        <v>0</v>
      </c>
      <c r="W34" s="90">
        <f>'Restating Adj'!W34+'Pro Forma Adj'!W34</f>
        <v>0</v>
      </c>
      <c r="X34" s="91">
        <f>'Restating Adj'!X34+'Pro Forma Adj'!X34</f>
        <v>0</v>
      </c>
      <c r="Y34" s="30">
        <f>'Restating Adj'!Y34+'Pro Forma Adj'!Y34</f>
        <v>0</v>
      </c>
      <c r="Z34" s="90">
        <f>'Restating Adj'!Z34+'Pro Forma Adj'!Z34</f>
        <v>0</v>
      </c>
      <c r="AA34" s="90">
        <f>'Restating Adj'!AA34+'Pro Forma Adj'!AA34</f>
        <v>0</v>
      </c>
      <c r="AB34" s="90">
        <f>'Restating Adj'!AB34+'Pro Forma Adj'!AB34</f>
        <v>0</v>
      </c>
      <c r="AC34" s="91">
        <f>'Restating Adj'!AC34+'Pro Forma Adj'!AC34</f>
        <v>0</v>
      </c>
      <c r="AD34" s="30">
        <f>'Restating Adj'!AD34+'Pro Forma Adj'!AD34</f>
        <v>0</v>
      </c>
      <c r="AE34" s="91">
        <f>'Restating Adj'!AE34+'Pro Forma Adj'!AE34</f>
        <v>0</v>
      </c>
      <c r="AF34" s="30">
        <f>'Restating Adj'!AF34+'Pro Forma Adj'!AF34</f>
        <v>0</v>
      </c>
      <c r="AG34" s="90">
        <f>'Restating Adj'!AG34+'Pro Forma Adj'!AG34</f>
        <v>0</v>
      </c>
      <c r="AH34" s="30">
        <f>'Restating Adj'!AH34+'Pro Forma Adj'!AH34</f>
        <v>0</v>
      </c>
      <c r="AI34" s="90">
        <f>'Restating Adj'!AI34+'Pro Forma Adj'!AI34</f>
        <v>0</v>
      </c>
      <c r="AJ34" s="90">
        <f>'Restating Adj'!AJ34+'Pro Forma Adj'!AJ34</f>
        <v>0</v>
      </c>
      <c r="AK34" s="91">
        <f>'Restating Adj'!AK34+'Pro Forma Adj'!AK34</f>
        <v>0</v>
      </c>
      <c r="AL34" s="30">
        <f>'Restating Adj'!AL34+'Pro Forma Adj'!AL34</f>
        <v>0</v>
      </c>
      <c r="AM34" s="90">
        <f>'Restating Adj'!AM34+'Pro Forma Adj'!AM34</f>
        <v>0</v>
      </c>
      <c r="AN34" s="90">
        <f>'Restating Adj'!AN34+'Pro Forma Adj'!AN34</f>
        <v>0</v>
      </c>
      <c r="AO34" s="90">
        <f>'Restating Adj'!AO34+'Pro Forma Adj'!AO34</f>
        <v>0</v>
      </c>
      <c r="AP34" s="90">
        <f>'Restating Adj'!AP34+'Pro Forma Adj'!AP34</f>
        <v>0</v>
      </c>
      <c r="AQ34" s="91">
        <f>'Restating Adj'!AQ34+'Pro Forma Adj'!AQ34</f>
        <v>0</v>
      </c>
      <c r="AR34" s="90">
        <f>'Restating Adj'!AR34+'Pro Forma Adj'!AR34</f>
        <v>0</v>
      </c>
      <c r="AS34" s="30">
        <f>'Restating Adj'!AS34+'Pro Forma Adj'!AS34</f>
        <v>0</v>
      </c>
      <c r="AT34" s="90">
        <f>'Restating Adj'!AT34+'Pro Forma Adj'!AT34</f>
        <v>0</v>
      </c>
      <c r="AU34" s="90">
        <f>'Restating Adj'!AU34+'Pro Forma Adj'!AU34</f>
        <v>0</v>
      </c>
      <c r="AV34" s="90">
        <f>'Restating Adj'!AV34+'Pro Forma Adj'!AV34</f>
        <v>0</v>
      </c>
      <c r="AW34" s="90">
        <f>'Restating Adj'!AW34+'Pro Forma Adj'!AW34</f>
        <v>0</v>
      </c>
      <c r="AX34" s="90">
        <f>'Restating Adj'!AX34+'Pro Forma Adj'!AX34</f>
        <v>0</v>
      </c>
      <c r="AY34" s="30">
        <f>'Restating Adj'!AY34+'Pro Forma Adj'!AY34</f>
        <v>0</v>
      </c>
      <c r="AZ34" s="90">
        <f>'Restating Adj'!AZ34+'Pro Forma Adj'!AZ34</f>
        <v>0</v>
      </c>
      <c r="BA34" s="90">
        <f>'Restating Adj'!BA34+'Pro Forma Adj'!BA34</f>
        <v>0</v>
      </c>
      <c r="BB34" s="30">
        <f>'Restating Adj'!BB34+'Pro Forma Adj'!BB34</f>
        <v>0</v>
      </c>
      <c r="BC34" s="90">
        <f>'Restating Adj'!BC34+'Pro Forma Adj'!BC34</f>
        <v>0</v>
      </c>
      <c r="BD34" s="90">
        <f>'Restating Adj'!BD34+'Pro Forma Adj'!BD34</f>
        <v>0</v>
      </c>
      <c r="BE34" s="90">
        <f>'Restating Adj'!BE34+'Pro Forma Adj'!BE34</f>
        <v>0</v>
      </c>
      <c r="BF34" s="30">
        <f>'Restating Adj'!BF34+'Pro Forma Adj'!BF34</f>
        <v>0</v>
      </c>
      <c r="BG34" s="90">
        <f>'Restating Adj'!BG34+'Pro Forma Adj'!BG34</f>
        <v>0</v>
      </c>
      <c r="BH34" s="12">
        <f>'Restating Adj'!BH34+'Pro Forma Adj'!BH34</f>
        <v>0</v>
      </c>
      <c r="BI34" s="90">
        <f>'Restating Adj'!BI34+'Pro Forma Adj'!BI34</f>
        <v>0</v>
      </c>
      <c r="BJ34" s="90">
        <f>'Restating Adj'!BJ34+'Pro Forma Adj'!BJ34</f>
        <v>0</v>
      </c>
      <c r="BK34" s="90">
        <f>'Restating Adj'!BK34+'Pro Forma Adj'!BK34</f>
        <v>0</v>
      </c>
      <c r="BL34" s="90">
        <f>'Restating Adj'!BL34+'Pro Forma Adj'!BL34</f>
        <v>0</v>
      </c>
      <c r="BM34" s="90">
        <f>'Restating Adj'!BM34+'Pro Forma Adj'!BM34</f>
        <v>0</v>
      </c>
      <c r="BN34" s="30">
        <f>'Restating Adj'!BN34+'Pro Forma Adj'!BN34</f>
        <v>0</v>
      </c>
      <c r="BO34" s="90">
        <f>'Restating Adj'!BO34+'Pro Forma Adj'!BO34</f>
        <v>0</v>
      </c>
      <c r="BP34" s="90">
        <f>'Restating Adj'!BP34+'Pro Forma Adj'!BP34</f>
        <v>0</v>
      </c>
      <c r="BQ34" s="90">
        <f>'Restating Adj'!BQ34+'Pro Forma Adj'!BQ34</f>
        <v>0</v>
      </c>
      <c r="BR34" s="90">
        <f>'Restating Adj'!BR34+'Pro Forma Adj'!BR34</f>
        <v>0</v>
      </c>
      <c r="BS34" s="90">
        <f>'Restating Adj'!BS34+'Pro Forma Adj'!BS34</f>
        <v>0</v>
      </c>
      <c r="BT34" s="90">
        <f>'Restating Adj'!BT34+'Pro Forma Adj'!BT34</f>
        <v>0</v>
      </c>
      <c r="BU34" s="90">
        <f>'Restating Adj'!BU34+'Pro Forma Adj'!BU34</f>
        <v>0</v>
      </c>
      <c r="BV34" s="100">
        <f>'Restating Adj'!BV34+'Pro Forma Adj'!BV34</f>
        <v>0</v>
      </c>
      <c r="BW34" s="30">
        <f>'Restating Adj'!BW34+'Pro Forma Adj'!BW34</f>
        <v>0</v>
      </c>
      <c r="BX34" s="91">
        <f>'Restating Adj'!BX34+'Pro Forma Adj'!BX34</f>
        <v>0</v>
      </c>
      <c r="BY34" s="15"/>
    </row>
    <row r="35" spans="1:77" x14ac:dyDescent="0.2">
      <c r="A35" s="14" t="s">
        <v>72</v>
      </c>
      <c r="B35" s="100">
        <f t="shared" si="9"/>
        <v>954508.46636163944</v>
      </c>
      <c r="C35" s="31">
        <f>'Restating Adj'!C35+'Pro Forma Adj'!C35</f>
        <v>0</v>
      </c>
      <c r="D35" s="92">
        <f>'Restating Adj'!D35+'Pro Forma Adj'!D35</f>
        <v>0</v>
      </c>
      <c r="E35" s="92">
        <f>'Restating Adj'!E35+'Pro Forma Adj'!E35</f>
        <v>0</v>
      </c>
      <c r="F35" s="92">
        <f>'Restating Adj'!F35+'Pro Forma Adj'!F35</f>
        <v>295256.29879283818</v>
      </c>
      <c r="G35" s="92">
        <f>'Restating Adj'!G35+'Pro Forma Adj'!G35</f>
        <v>0</v>
      </c>
      <c r="H35" s="90">
        <f>'Restating Adj'!H35+'Pro Forma Adj'!H35</f>
        <v>0</v>
      </c>
      <c r="I35" s="91">
        <f>'Restating Adj'!I35+'Pro Forma Adj'!I35</f>
        <v>0</v>
      </c>
      <c r="J35" s="30">
        <f>'Restating Adj'!J35+'Pro Forma Adj'!J35</f>
        <v>0</v>
      </c>
      <c r="K35" s="91">
        <f>'Restating Adj'!K35+'Pro Forma Adj'!K35</f>
        <v>0</v>
      </c>
      <c r="L35" s="31">
        <f>'Restating Adj'!L35+'Pro Forma Adj'!L35</f>
        <v>0</v>
      </c>
      <c r="M35" s="92">
        <f>'Restating Adj'!M35+'Pro Forma Adj'!M35</f>
        <v>0</v>
      </c>
      <c r="N35" s="92">
        <f>'Restating Adj'!N35+'Pro Forma Adj'!N35</f>
        <v>0</v>
      </c>
      <c r="O35" s="92">
        <f>'Restating Adj'!O35+'Pro Forma Adj'!O35</f>
        <v>0</v>
      </c>
      <c r="P35" s="92">
        <f>'Restating Adj'!P35+'Pro Forma Adj'!P35</f>
        <v>0</v>
      </c>
      <c r="Q35" s="93">
        <f>'Restating Adj'!Q35+'Pro Forma Adj'!Q35</f>
        <v>0</v>
      </c>
      <c r="R35" s="30">
        <f>'Restating Adj'!R35+'Pro Forma Adj'!R35</f>
        <v>0</v>
      </c>
      <c r="S35" s="90">
        <f>'Restating Adj'!S35+'Pro Forma Adj'!S35</f>
        <v>0</v>
      </c>
      <c r="T35" s="90">
        <f>'Restating Adj'!T35+'Pro Forma Adj'!T35</f>
        <v>0</v>
      </c>
      <c r="U35" s="90">
        <f>'Restating Adj'!U35+'Pro Forma Adj'!U35</f>
        <v>0</v>
      </c>
      <c r="V35" s="90">
        <f>'Restating Adj'!V35+'Pro Forma Adj'!V35</f>
        <v>0</v>
      </c>
      <c r="W35" s="90">
        <f>'Restating Adj'!W35+'Pro Forma Adj'!W35</f>
        <v>0</v>
      </c>
      <c r="X35" s="91">
        <f>'Restating Adj'!X35+'Pro Forma Adj'!X35</f>
        <v>0</v>
      </c>
      <c r="Y35" s="30">
        <f>'Restating Adj'!Y35+'Pro Forma Adj'!Y35</f>
        <v>0</v>
      </c>
      <c r="Z35" s="90">
        <f>'Restating Adj'!Z35+'Pro Forma Adj'!Z35</f>
        <v>0</v>
      </c>
      <c r="AA35" s="90">
        <f>'Restating Adj'!AA35+'Pro Forma Adj'!AA35</f>
        <v>0</v>
      </c>
      <c r="AB35" s="90">
        <f>'Restating Adj'!AB35+'Pro Forma Adj'!AB35</f>
        <v>0</v>
      </c>
      <c r="AC35" s="91">
        <f>'Restating Adj'!AC35+'Pro Forma Adj'!AC35</f>
        <v>0</v>
      </c>
      <c r="AD35" s="31">
        <f>'Restating Adj'!AD35+'Pro Forma Adj'!AD35</f>
        <v>0</v>
      </c>
      <c r="AE35" s="93">
        <f>'Restating Adj'!AE35+'Pro Forma Adj'!AE35</f>
        <v>0</v>
      </c>
      <c r="AF35" s="31">
        <f>'Restating Adj'!AF35+'Pro Forma Adj'!AF35</f>
        <v>0</v>
      </c>
      <c r="AG35" s="92">
        <f>'Restating Adj'!AG35+'Pro Forma Adj'!AG35</f>
        <v>113105.10250531929</v>
      </c>
      <c r="AH35" s="31">
        <f>'Restating Adj'!AH35+'Pro Forma Adj'!AH35</f>
        <v>48623.232940317663</v>
      </c>
      <c r="AI35" s="92">
        <f>'Restating Adj'!AI35+'Pro Forma Adj'!AI35</f>
        <v>0</v>
      </c>
      <c r="AJ35" s="92">
        <f>'Restating Adj'!AJ35+'Pro Forma Adj'!AJ35</f>
        <v>0</v>
      </c>
      <c r="AK35" s="93">
        <f>'Restating Adj'!AK35+'Pro Forma Adj'!AK35</f>
        <v>0</v>
      </c>
      <c r="AL35" s="31">
        <f>'Restating Adj'!AL35+'Pro Forma Adj'!AL35</f>
        <v>0</v>
      </c>
      <c r="AM35" s="92">
        <f>'Restating Adj'!AM35+'Pro Forma Adj'!AM35</f>
        <v>0</v>
      </c>
      <c r="AN35" s="92">
        <f>'Restating Adj'!AN35+'Pro Forma Adj'!AN35</f>
        <v>-542171.20289284119</v>
      </c>
      <c r="AO35" s="92">
        <f>'Restating Adj'!AO35+'Pro Forma Adj'!AO35</f>
        <v>0</v>
      </c>
      <c r="AP35" s="92">
        <f>'Restating Adj'!AP35+'Pro Forma Adj'!AP35</f>
        <v>0</v>
      </c>
      <c r="AQ35" s="93">
        <f>'Restating Adj'!AQ35+'Pro Forma Adj'!AQ35</f>
        <v>143763.74042216278</v>
      </c>
      <c r="AR35" s="92">
        <f>'Restating Adj'!AR35+'Pro Forma Adj'!AR35</f>
        <v>0</v>
      </c>
      <c r="AS35" s="31">
        <f>'Restating Adj'!AS35+'Pro Forma Adj'!AS35</f>
        <v>0</v>
      </c>
      <c r="AT35" s="92">
        <f>'Restating Adj'!AT35+'Pro Forma Adj'!AT35</f>
        <v>0</v>
      </c>
      <c r="AU35" s="92">
        <f>'Restating Adj'!AU35+'Pro Forma Adj'!AU35</f>
        <v>0</v>
      </c>
      <c r="AV35" s="92">
        <f>'Restating Adj'!AV35+'Pro Forma Adj'!AV35</f>
        <v>0</v>
      </c>
      <c r="AW35" s="92">
        <f>'Restating Adj'!AW35+'Pro Forma Adj'!AW35</f>
        <v>0</v>
      </c>
      <c r="AX35" s="92">
        <f>'Restating Adj'!AX35+'Pro Forma Adj'!AX35</f>
        <v>0</v>
      </c>
      <c r="AY35" s="31">
        <f>'Restating Adj'!AY35+'Pro Forma Adj'!AY35</f>
        <v>-407648.85953784268</v>
      </c>
      <c r="AZ35" s="92">
        <f>'Restating Adj'!AZ35+'Pro Forma Adj'!AZ35</f>
        <v>-491135</v>
      </c>
      <c r="BA35" s="92">
        <f>'Restating Adj'!BA35+'Pro Forma Adj'!BA35</f>
        <v>0</v>
      </c>
      <c r="BB35" s="31">
        <f>'Restating Adj'!BB35+'Pro Forma Adj'!BB35</f>
        <v>0</v>
      </c>
      <c r="BC35" s="90">
        <f>'Restating Adj'!BC35+'Pro Forma Adj'!BC35</f>
        <v>52446.028746304786</v>
      </c>
      <c r="BD35" s="90">
        <f>'Restating Adj'!BD35+'Pro Forma Adj'!BD35</f>
        <v>0</v>
      </c>
      <c r="BE35" s="90">
        <f>'Restating Adj'!BE35+'Pro Forma Adj'!BE35</f>
        <v>0</v>
      </c>
      <c r="BF35" s="30">
        <f>'Restating Adj'!BF35+'Pro Forma Adj'!BF35</f>
        <v>1628119.1735514146</v>
      </c>
      <c r="BG35" s="90">
        <f>'Restating Adj'!BG35+'Pro Forma Adj'!BG35</f>
        <v>0</v>
      </c>
      <c r="BH35" s="12">
        <f>'Restating Adj'!BH35+'Pro Forma Adj'!BH35</f>
        <v>0</v>
      </c>
      <c r="BI35" s="90">
        <f>'Restating Adj'!BI35+'Pro Forma Adj'!BI35</f>
        <v>62067.059303965914</v>
      </c>
      <c r="BJ35" s="92">
        <f>'Restating Adj'!BJ35+'Pro Forma Adj'!BJ35</f>
        <v>0</v>
      </c>
      <c r="BK35" s="92">
        <f>'Restating Adj'!BK35+'Pro Forma Adj'!BK35</f>
        <v>0</v>
      </c>
      <c r="BL35" s="92">
        <f>'Restating Adj'!BL35+'Pro Forma Adj'!BL35</f>
        <v>0</v>
      </c>
      <c r="BM35" s="92">
        <f>'Restating Adj'!BM35+'Pro Forma Adj'!BM35</f>
        <v>0</v>
      </c>
      <c r="BN35" s="31">
        <f>'Restating Adj'!BN35+'Pro Forma Adj'!BN35</f>
        <v>0</v>
      </c>
      <c r="BO35" s="92">
        <f>'Restating Adj'!BO35+'Pro Forma Adj'!BO35</f>
        <v>0</v>
      </c>
      <c r="BP35" s="92">
        <f>'Restating Adj'!BP35+'Pro Forma Adj'!BP35</f>
        <v>0</v>
      </c>
      <c r="BQ35" s="92">
        <f>'Restating Adj'!BQ35+'Pro Forma Adj'!BQ35</f>
        <v>0</v>
      </c>
      <c r="BR35" s="92">
        <f>'Restating Adj'!BR35+'Pro Forma Adj'!BR35</f>
        <v>0</v>
      </c>
      <c r="BS35" s="92">
        <f>'Restating Adj'!BS35+'Pro Forma Adj'!BS35</f>
        <v>0</v>
      </c>
      <c r="BT35" s="92">
        <f>'Restating Adj'!BT35+'Pro Forma Adj'!BT35</f>
        <v>0</v>
      </c>
      <c r="BU35" s="92">
        <f>'Restating Adj'!BU35+'Pro Forma Adj'!BU35</f>
        <v>0</v>
      </c>
      <c r="BV35" s="299">
        <f>'Restating Adj'!BV35+'Pro Forma Adj'!BV35</f>
        <v>0</v>
      </c>
      <c r="BW35" s="31">
        <f>'Restating Adj'!BW35+'Pro Forma Adj'!BW35</f>
        <v>0</v>
      </c>
      <c r="BX35" s="93">
        <f>'Restating Adj'!BX35+'Pro Forma Adj'!BX35</f>
        <v>52082.892530000099</v>
      </c>
      <c r="BY35" s="15"/>
    </row>
    <row r="36" spans="1:77" ht="11.25" customHeight="1" x14ac:dyDescent="0.2">
      <c r="A36" s="14" t="s">
        <v>73</v>
      </c>
      <c r="B36" s="100">
        <f t="shared" si="9"/>
        <v>0</v>
      </c>
      <c r="C36" s="31">
        <f>'Restating Adj'!C36+'Pro Forma Adj'!C36</f>
        <v>0</v>
      </c>
      <c r="D36" s="92">
        <f>'Restating Adj'!D36+'Pro Forma Adj'!D36</f>
        <v>0</v>
      </c>
      <c r="E36" s="92">
        <f>'Restating Adj'!E36+'Pro Forma Adj'!E36</f>
        <v>0</v>
      </c>
      <c r="F36" s="92">
        <f>'Restating Adj'!F36+'Pro Forma Adj'!F36</f>
        <v>0</v>
      </c>
      <c r="G36" s="92">
        <f>'Restating Adj'!G36+'Pro Forma Adj'!G36</f>
        <v>0</v>
      </c>
      <c r="H36" s="90">
        <f>'Restating Adj'!H36+'Pro Forma Adj'!H36</f>
        <v>0</v>
      </c>
      <c r="I36" s="91">
        <f>'Restating Adj'!I36+'Pro Forma Adj'!I36</f>
        <v>0</v>
      </c>
      <c r="J36" s="30">
        <f>'Restating Adj'!J36+'Pro Forma Adj'!J36</f>
        <v>0</v>
      </c>
      <c r="K36" s="91">
        <f>'Restating Adj'!K36+'Pro Forma Adj'!K36</f>
        <v>0</v>
      </c>
      <c r="L36" s="31">
        <f>'Restating Adj'!L36+'Pro Forma Adj'!L36</f>
        <v>0</v>
      </c>
      <c r="M36" s="92">
        <f>'Restating Adj'!M36+'Pro Forma Adj'!M36</f>
        <v>0</v>
      </c>
      <c r="N36" s="92">
        <f>'Restating Adj'!N36+'Pro Forma Adj'!N36</f>
        <v>0</v>
      </c>
      <c r="O36" s="92">
        <f>'Restating Adj'!O36+'Pro Forma Adj'!O36</f>
        <v>0</v>
      </c>
      <c r="P36" s="92">
        <f>'Restating Adj'!P36+'Pro Forma Adj'!P36</f>
        <v>0</v>
      </c>
      <c r="Q36" s="93">
        <f>'Restating Adj'!Q36+'Pro Forma Adj'!Q36</f>
        <v>0</v>
      </c>
      <c r="R36" s="30">
        <f>'Restating Adj'!R36+'Pro Forma Adj'!R36</f>
        <v>0</v>
      </c>
      <c r="S36" s="90">
        <f>'Restating Adj'!S36+'Pro Forma Adj'!S36</f>
        <v>0</v>
      </c>
      <c r="T36" s="90">
        <f>'Restating Adj'!T36+'Pro Forma Adj'!T36</f>
        <v>0</v>
      </c>
      <c r="U36" s="90">
        <f>'Restating Adj'!U36+'Pro Forma Adj'!U36</f>
        <v>0</v>
      </c>
      <c r="V36" s="90">
        <f>'Restating Adj'!V36+'Pro Forma Adj'!V36</f>
        <v>0</v>
      </c>
      <c r="W36" s="90">
        <f>'Restating Adj'!W36+'Pro Forma Adj'!W36</f>
        <v>0</v>
      </c>
      <c r="X36" s="91">
        <f>'Restating Adj'!X36+'Pro Forma Adj'!X36</f>
        <v>0</v>
      </c>
      <c r="Y36" s="30">
        <f>'Restating Adj'!Y36+'Pro Forma Adj'!Y36</f>
        <v>0</v>
      </c>
      <c r="Z36" s="90">
        <f>'Restating Adj'!Z36+'Pro Forma Adj'!Z36</f>
        <v>0</v>
      </c>
      <c r="AA36" s="90">
        <f>'Restating Adj'!AA36+'Pro Forma Adj'!AA36</f>
        <v>0</v>
      </c>
      <c r="AB36" s="90">
        <f>'Restating Adj'!AB36+'Pro Forma Adj'!AB36</f>
        <v>0</v>
      </c>
      <c r="AC36" s="91">
        <f>'Restating Adj'!AC36+'Pro Forma Adj'!AC36</f>
        <v>0</v>
      </c>
      <c r="AD36" s="31">
        <f>'Restating Adj'!AD36+'Pro Forma Adj'!AD36</f>
        <v>0</v>
      </c>
      <c r="AE36" s="93">
        <f>'Restating Adj'!AE36+'Pro Forma Adj'!AE36</f>
        <v>0</v>
      </c>
      <c r="AF36" s="31">
        <f>'Restating Adj'!AF36+'Pro Forma Adj'!AF36</f>
        <v>0</v>
      </c>
      <c r="AG36" s="92">
        <f>'Restating Adj'!AG36+'Pro Forma Adj'!AG36</f>
        <v>0</v>
      </c>
      <c r="AH36" s="31">
        <f>'Restating Adj'!AH36+'Pro Forma Adj'!AH36</f>
        <v>0</v>
      </c>
      <c r="AI36" s="92">
        <f>'Restating Adj'!AI36+'Pro Forma Adj'!AI36</f>
        <v>0</v>
      </c>
      <c r="AJ36" s="92">
        <f>'Restating Adj'!AJ36+'Pro Forma Adj'!AJ36</f>
        <v>0</v>
      </c>
      <c r="AK36" s="93">
        <f>'Restating Adj'!AK36+'Pro Forma Adj'!AK36</f>
        <v>0</v>
      </c>
      <c r="AL36" s="31">
        <f>'Restating Adj'!AL36+'Pro Forma Adj'!AL36</f>
        <v>0</v>
      </c>
      <c r="AM36" s="92">
        <f>'Restating Adj'!AM36+'Pro Forma Adj'!AM36</f>
        <v>0</v>
      </c>
      <c r="AN36" s="92">
        <f>'Restating Adj'!AN36+'Pro Forma Adj'!AN36</f>
        <v>0</v>
      </c>
      <c r="AO36" s="92">
        <f>'Restating Adj'!AO36+'Pro Forma Adj'!AO36</f>
        <v>0</v>
      </c>
      <c r="AP36" s="92">
        <f>'Restating Adj'!AP36+'Pro Forma Adj'!AP36</f>
        <v>0</v>
      </c>
      <c r="AQ36" s="93">
        <f>'Restating Adj'!AQ36+'Pro Forma Adj'!AQ36</f>
        <v>0</v>
      </c>
      <c r="AR36" s="92">
        <f>'Restating Adj'!AR36+'Pro Forma Adj'!AR36</f>
        <v>0</v>
      </c>
      <c r="AS36" s="31">
        <f>'Restating Adj'!AS36+'Pro Forma Adj'!AS36</f>
        <v>0</v>
      </c>
      <c r="AT36" s="92">
        <f>'Restating Adj'!AT36+'Pro Forma Adj'!AT36</f>
        <v>0</v>
      </c>
      <c r="AU36" s="92">
        <f>'Restating Adj'!AU36+'Pro Forma Adj'!AU36</f>
        <v>0</v>
      </c>
      <c r="AV36" s="92">
        <f>'Restating Adj'!AV36+'Pro Forma Adj'!AV36</f>
        <v>0</v>
      </c>
      <c r="AW36" s="92">
        <f>'Restating Adj'!AW36+'Pro Forma Adj'!AW36</f>
        <v>0</v>
      </c>
      <c r="AX36" s="92">
        <f>'Restating Adj'!AX36+'Pro Forma Adj'!AX36</f>
        <v>0</v>
      </c>
      <c r="AY36" s="31">
        <f>'Restating Adj'!AY36+'Pro Forma Adj'!AY36</f>
        <v>0</v>
      </c>
      <c r="AZ36" s="92">
        <f>'Restating Adj'!AZ36+'Pro Forma Adj'!AZ36</f>
        <v>0</v>
      </c>
      <c r="BA36" s="92">
        <f>'Restating Adj'!BA36+'Pro Forma Adj'!BA36</f>
        <v>0</v>
      </c>
      <c r="BB36" s="31">
        <f>'Restating Adj'!BB36+'Pro Forma Adj'!BB36</f>
        <v>0</v>
      </c>
      <c r="BC36" s="90">
        <f>'Restating Adj'!BC36+'Pro Forma Adj'!BC36</f>
        <v>0</v>
      </c>
      <c r="BD36" s="90">
        <f>'Restating Adj'!BD36+'Pro Forma Adj'!BD36</f>
        <v>0</v>
      </c>
      <c r="BE36" s="90">
        <f>'Restating Adj'!BE36+'Pro Forma Adj'!BE36</f>
        <v>0</v>
      </c>
      <c r="BF36" s="30">
        <f>'Restating Adj'!BF36+'Pro Forma Adj'!BF36</f>
        <v>0</v>
      </c>
      <c r="BG36" s="90">
        <f>'Restating Adj'!BG36+'Pro Forma Adj'!BG36</f>
        <v>0</v>
      </c>
      <c r="BH36" s="12">
        <f>'Restating Adj'!BH36+'Pro Forma Adj'!BH36</f>
        <v>0</v>
      </c>
      <c r="BI36" s="90">
        <f>'Restating Adj'!BI36+'Pro Forma Adj'!BI36</f>
        <v>0</v>
      </c>
      <c r="BJ36" s="92">
        <f>'Restating Adj'!BJ36+'Pro Forma Adj'!BJ36</f>
        <v>0</v>
      </c>
      <c r="BK36" s="92">
        <f>'Restating Adj'!BK36+'Pro Forma Adj'!BK36</f>
        <v>0</v>
      </c>
      <c r="BL36" s="92">
        <f>'Restating Adj'!BL36+'Pro Forma Adj'!BL36</f>
        <v>0</v>
      </c>
      <c r="BM36" s="92">
        <f>'Restating Adj'!BM36+'Pro Forma Adj'!BM36</f>
        <v>0</v>
      </c>
      <c r="BN36" s="31">
        <f>'Restating Adj'!BN36+'Pro Forma Adj'!BN36</f>
        <v>0</v>
      </c>
      <c r="BO36" s="92">
        <f>'Restating Adj'!BO36+'Pro Forma Adj'!BO36</f>
        <v>0</v>
      </c>
      <c r="BP36" s="92">
        <f>'Restating Adj'!BP36+'Pro Forma Adj'!BP36</f>
        <v>0</v>
      </c>
      <c r="BQ36" s="92">
        <f>'Restating Adj'!BQ36+'Pro Forma Adj'!BQ36</f>
        <v>0</v>
      </c>
      <c r="BR36" s="92">
        <f>'Restating Adj'!BR36+'Pro Forma Adj'!BR36</f>
        <v>0</v>
      </c>
      <c r="BS36" s="92">
        <f>'Restating Adj'!BS36+'Pro Forma Adj'!BS36</f>
        <v>0</v>
      </c>
      <c r="BT36" s="92">
        <f>'Restating Adj'!BT36+'Pro Forma Adj'!BT36</f>
        <v>0</v>
      </c>
      <c r="BU36" s="92">
        <f>'Restating Adj'!BU36+'Pro Forma Adj'!BU36</f>
        <v>0</v>
      </c>
      <c r="BV36" s="299">
        <f>'Restating Adj'!BV36+'Pro Forma Adj'!BV36</f>
        <v>0</v>
      </c>
      <c r="BW36" s="31">
        <f>'Restating Adj'!BW36+'Pro Forma Adj'!BW36</f>
        <v>0</v>
      </c>
      <c r="BX36" s="93">
        <f>'Restating Adj'!BX36+'Pro Forma Adj'!BX36</f>
        <v>0</v>
      </c>
      <c r="BY36" s="15"/>
    </row>
    <row r="37" spans="1:77" x14ac:dyDescent="0.2">
      <c r="A37" s="14" t="s">
        <v>74</v>
      </c>
      <c r="B37" s="100">
        <f t="shared" si="9"/>
        <v>-779539.15291931701</v>
      </c>
      <c r="C37" s="31">
        <f>'Restating Adj'!C37+'Pro Forma Adj'!C37</f>
        <v>0</v>
      </c>
      <c r="D37" s="92">
        <f>'Restating Adj'!D37+'Pro Forma Adj'!D37</f>
        <v>0</v>
      </c>
      <c r="E37" s="92">
        <f>'Restating Adj'!E37+'Pro Forma Adj'!E37</f>
        <v>0</v>
      </c>
      <c r="F37" s="92">
        <f>'Restating Adj'!F37+'Pro Forma Adj'!F37</f>
        <v>-776048.95839665306</v>
      </c>
      <c r="G37" s="92">
        <f>'Restating Adj'!G37+'Pro Forma Adj'!G37</f>
        <v>0</v>
      </c>
      <c r="H37" s="90">
        <f>'Restating Adj'!H37+'Pro Forma Adj'!H37</f>
        <v>0</v>
      </c>
      <c r="I37" s="91">
        <f>'Restating Adj'!I37+'Pro Forma Adj'!I37</f>
        <v>0</v>
      </c>
      <c r="J37" s="30">
        <f>'Restating Adj'!J37+'Pro Forma Adj'!J37</f>
        <v>0</v>
      </c>
      <c r="K37" s="91">
        <f>'Restating Adj'!K37+'Pro Forma Adj'!K37</f>
        <v>0</v>
      </c>
      <c r="L37" s="31">
        <f>'Restating Adj'!L37+'Pro Forma Adj'!L37</f>
        <v>-7659.5617953912351</v>
      </c>
      <c r="M37" s="92">
        <f>'Restating Adj'!M37+'Pro Forma Adj'!M37</f>
        <v>0</v>
      </c>
      <c r="N37" s="92">
        <f>'Restating Adj'!N37+'Pro Forma Adj'!N37</f>
        <v>0</v>
      </c>
      <c r="O37" s="92">
        <f>'Restating Adj'!O37+'Pro Forma Adj'!O37</f>
        <v>0</v>
      </c>
      <c r="P37" s="92">
        <f>'Restating Adj'!P37+'Pro Forma Adj'!P37</f>
        <v>0</v>
      </c>
      <c r="Q37" s="93">
        <f>'Restating Adj'!Q37+'Pro Forma Adj'!Q37</f>
        <v>0</v>
      </c>
      <c r="R37" s="31">
        <f>'Restating Adj'!R37+'Pro Forma Adj'!R37</f>
        <v>0</v>
      </c>
      <c r="S37" s="92">
        <f>'Restating Adj'!S37+'Pro Forma Adj'!S37</f>
        <v>0</v>
      </c>
      <c r="T37" s="92">
        <f>'Restating Adj'!T37+'Pro Forma Adj'!T37</f>
        <v>0</v>
      </c>
      <c r="U37" s="92">
        <f>'Restating Adj'!U37+'Pro Forma Adj'!U37</f>
        <v>0</v>
      </c>
      <c r="V37" s="92">
        <f>'Restating Adj'!V37+'Pro Forma Adj'!V37</f>
        <v>0</v>
      </c>
      <c r="W37" s="92">
        <f>'Restating Adj'!W37+'Pro Forma Adj'!W37</f>
        <v>0</v>
      </c>
      <c r="X37" s="93">
        <f>'Restating Adj'!X37+'Pro Forma Adj'!X37</f>
        <v>0</v>
      </c>
      <c r="Y37" s="31">
        <f>'Restating Adj'!Y37+'Pro Forma Adj'!Y37</f>
        <v>0</v>
      </c>
      <c r="Z37" s="92">
        <f>'Restating Adj'!Z37+'Pro Forma Adj'!Z37</f>
        <v>0</v>
      </c>
      <c r="AA37" s="92">
        <f>'Restating Adj'!AA37+'Pro Forma Adj'!AA37</f>
        <v>0</v>
      </c>
      <c r="AB37" s="92">
        <f>'Restating Adj'!AB37+'Pro Forma Adj'!AB37</f>
        <v>0</v>
      </c>
      <c r="AC37" s="93">
        <f>'Restating Adj'!AC37+'Pro Forma Adj'!AC37</f>
        <v>0</v>
      </c>
      <c r="AD37" s="31">
        <f>'Restating Adj'!AD37+'Pro Forma Adj'!AD37</f>
        <v>0</v>
      </c>
      <c r="AE37" s="93">
        <f>'Restating Adj'!AE37+'Pro Forma Adj'!AE37</f>
        <v>0</v>
      </c>
      <c r="AF37" s="31">
        <f>'Restating Adj'!AF37+'Pro Forma Adj'!AF37</f>
        <v>0</v>
      </c>
      <c r="AG37" s="92">
        <f>'Restating Adj'!AG37+'Pro Forma Adj'!AG37</f>
        <v>0</v>
      </c>
      <c r="AH37" s="31">
        <f>'Restating Adj'!AH37+'Pro Forma Adj'!AH37</f>
        <v>0</v>
      </c>
      <c r="AI37" s="92">
        <f>'Restating Adj'!AI37+'Pro Forma Adj'!AI37</f>
        <v>0</v>
      </c>
      <c r="AJ37" s="92">
        <f>'Restating Adj'!AJ37+'Pro Forma Adj'!AJ37</f>
        <v>0</v>
      </c>
      <c r="AK37" s="93">
        <f>'Restating Adj'!AK37+'Pro Forma Adj'!AK37</f>
        <v>0</v>
      </c>
      <c r="AL37" s="31">
        <f>'Restating Adj'!AL37+'Pro Forma Adj'!AL37</f>
        <v>0</v>
      </c>
      <c r="AM37" s="92">
        <f>'Restating Adj'!AM37+'Pro Forma Adj'!AM37</f>
        <v>0</v>
      </c>
      <c r="AN37" s="92">
        <f>'Restating Adj'!AN37+'Pro Forma Adj'!AN37</f>
        <v>0</v>
      </c>
      <c r="AO37" s="92">
        <f>'Restating Adj'!AO37+'Pro Forma Adj'!AO37</f>
        <v>0</v>
      </c>
      <c r="AP37" s="92">
        <f>'Restating Adj'!AP37+'Pro Forma Adj'!AP37</f>
        <v>0</v>
      </c>
      <c r="AQ37" s="93">
        <f>'Restating Adj'!AQ37+'Pro Forma Adj'!AQ37</f>
        <v>0</v>
      </c>
      <c r="AR37" s="92">
        <f>'Restating Adj'!AR37+'Pro Forma Adj'!AR37</f>
        <v>0</v>
      </c>
      <c r="AS37" s="31">
        <f>'Restating Adj'!AS37+'Pro Forma Adj'!AS37</f>
        <v>0</v>
      </c>
      <c r="AT37" s="92">
        <f>'Restating Adj'!AT37+'Pro Forma Adj'!AT37</f>
        <v>0</v>
      </c>
      <c r="AU37" s="92">
        <f>'Restating Adj'!AU37+'Pro Forma Adj'!AU37</f>
        <v>0</v>
      </c>
      <c r="AV37" s="92">
        <f>'Restating Adj'!AV37+'Pro Forma Adj'!AV37</f>
        <v>0</v>
      </c>
      <c r="AW37" s="92">
        <f>'Restating Adj'!AW37+'Pro Forma Adj'!AW37</f>
        <v>0</v>
      </c>
      <c r="AX37" s="92">
        <f>'Restating Adj'!AX37+'Pro Forma Adj'!AX37</f>
        <v>0</v>
      </c>
      <c r="AY37" s="31">
        <f>'Restating Adj'!AY37+'Pro Forma Adj'!AY37</f>
        <v>0</v>
      </c>
      <c r="AZ37" s="92">
        <f>'Restating Adj'!AZ37+'Pro Forma Adj'!AZ37</f>
        <v>0</v>
      </c>
      <c r="BA37" s="92">
        <f>'Restating Adj'!BA37+'Pro Forma Adj'!BA37</f>
        <v>0</v>
      </c>
      <c r="BB37" s="31">
        <f>'Restating Adj'!BB37+'Pro Forma Adj'!BB37</f>
        <v>0</v>
      </c>
      <c r="BC37" s="90">
        <f>'Restating Adj'!BC37+'Pro Forma Adj'!BC37</f>
        <v>0</v>
      </c>
      <c r="BD37" s="90">
        <f>'Restating Adj'!BD37+'Pro Forma Adj'!BD37</f>
        <v>0</v>
      </c>
      <c r="BE37" s="90">
        <f>'Restating Adj'!BE37+'Pro Forma Adj'!BE37</f>
        <v>0</v>
      </c>
      <c r="BF37" s="30">
        <f>'Restating Adj'!BF37+'Pro Forma Adj'!BF37</f>
        <v>0</v>
      </c>
      <c r="BG37" s="90">
        <f>'Restating Adj'!BG37+'Pro Forma Adj'!BG37</f>
        <v>0</v>
      </c>
      <c r="BH37" s="12">
        <f>'Restating Adj'!BH37+'Pro Forma Adj'!BH37</f>
        <v>0</v>
      </c>
      <c r="BI37" s="90">
        <f>'Restating Adj'!BI37+'Pro Forma Adj'!BI37</f>
        <v>0</v>
      </c>
      <c r="BJ37" s="92">
        <f>'Restating Adj'!BJ37+'Pro Forma Adj'!BJ37</f>
        <v>0</v>
      </c>
      <c r="BK37" s="92">
        <f>'Restating Adj'!BK37+'Pro Forma Adj'!BK37</f>
        <v>0</v>
      </c>
      <c r="BL37" s="92">
        <f>'Restating Adj'!BL37+'Pro Forma Adj'!BL37</f>
        <v>4169.3672727272733</v>
      </c>
      <c r="BM37" s="92">
        <f>'Restating Adj'!BM37+'Pro Forma Adj'!BM37</f>
        <v>0</v>
      </c>
      <c r="BN37" s="31">
        <f>'Restating Adj'!BN37+'Pro Forma Adj'!BN37</f>
        <v>0</v>
      </c>
      <c r="BO37" s="92">
        <f>'Restating Adj'!BO37+'Pro Forma Adj'!BO37</f>
        <v>0</v>
      </c>
      <c r="BP37" s="92">
        <f>'Restating Adj'!BP37+'Pro Forma Adj'!BP37</f>
        <v>0</v>
      </c>
      <c r="BQ37" s="92">
        <f>'Restating Adj'!BQ37+'Pro Forma Adj'!BQ37</f>
        <v>0</v>
      </c>
      <c r="BR37" s="92">
        <f>'Restating Adj'!BR37+'Pro Forma Adj'!BR37</f>
        <v>0</v>
      </c>
      <c r="BS37" s="92">
        <f>'Restating Adj'!BS37+'Pro Forma Adj'!BS37</f>
        <v>0</v>
      </c>
      <c r="BT37" s="92">
        <f>'Restating Adj'!BT37+'Pro Forma Adj'!BT37</f>
        <v>0</v>
      </c>
      <c r="BU37" s="92">
        <f>'Restating Adj'!BU37+'Pro Forma Adj'!BU37</f>
        <v>0</v>
      </c>
      <c r="BV37" s="299">
        <f>'Restating Adj'!BV37+'Pro Forma Adj'!BV37</f>
        <v>0</v>
      </c>
      <c r="BW37" s="31">
        <f>'Restating Adj'!BW37+'Pro Forma Adj'!BW37</f>
        <v>0</v>
      </c>
      <c r="BX37" s="93">
        <f>'Restating Adj'!BX37+'Pro Forma Adj'!BX37</f>
        <v>0</v>
      </c>
      <c r="BY37" s="15"/>
    </row>
    <row r="38" spans="1:77" x14ac:dyDescent="0.2">
      <c r="A38" s="14" t="s">
        <v>75</v>
      </c>
      <c r="B38" s="186">
        <f t="shared" si="9"/>
        <v>-10559606.468269859</v>
      </c>
      <c r="C38" s="32">
        <f>SUM(C29:C37)</f>
        <v>-1992466.4444999998</v>
      </c>
      <c r="D38" s="94">
        <f t="shared" ref="D38:BE38" si="19">SUM(D29:D37)</f>
        <v>-2599654.5509476503</v>
      </c>
      <c r="E38" s="94">
        <f t="shared" si="19"/>
        <v>5959038.6872807294</v>
      </c>
      <c r="F38" s="94">
        <f t="shared" si="19"/>
        <v>-481473.27761135239</v>
      </c>
      <c r="G38" s="94">
        <f t="shared" si="19"/>
        <v>-788668.69587537274</v>
      </c>
      <c r="H38" s="94">
        <f t="shared" si="19"/>
        <v>9398.6155627084227</v>
      </c>
      <c r="I38" s="95">
        <f t="shared" si="19"/>
        <v>14464.037857284064</v>
      </c>
      <c r="J38" s="32">
        <f t="shared" ref="J38:K38" si="20">SUM(J29:J37)</f>
        <v>0</v>
      </c>
      <c r="K38" s="95">
        <f t="shared" si="20"/>
        <v>9061.0034923925705</v>
      </c>
      <c r="L38" s="32">
        <f t="shared" si="19"/>
        <v>-14374.098749112274</v>
      </c>
      <c r="M38" s="94">
        <f t="shared" si="19"/>
        <v>-30932.837736162648</v>
      </c>
      <c r="N38" s="94">
        <f t="shared" si="19"/>
        <v>-447617.81318040681</v>
      </c>
      <c r="O38" s="94">
        <f t="shared" si="19"/>
        <v>-3471.4899197574941</v>
      </c>
      <c r="P38" s="94">
        <f t="shared" si="19"/>
        <v>-57080.761782102127</v>
      </c>
      <c r="Q38" s="95">
        <f t="shared" si="19"/>
        <v>-6923689.1386707202</v>
      </c>
      <c r="R38" s="32">
        <f t="shared" si="19"/>
        <v>-1739134.8326140966</v>
      </c>
      <c r="S38" s="94">
        <f t="shared" si="19"/>
        <v>-261.26530187496314</v>
      </c>
      <c r="T38" s="94">
        <f t="shared" si="19"/>
        <v>972.74282173129757</v>
      </c>
      <c r="U38" s="94">
        <f t="shared" si="19"/>
        <v>274576.25423230953</v>
      </c>
      <c r="V38" s="94">
        <f t="shared" si="19"/>
        <v>477325.32113622106</v>
      </c>
      <c r="W38" s="94">
        <f t="shared" si="19"/>
        <v>-416342.48224204162</v>
      </c>
      <c r="X38" s="95">
        <f t="shared" si="19"/>
        <v>0</v>
      </c>
      <c r="Y38" s="32">
        <f t="shared" ref="Y38:AB38" si="21">SUM(Y29:Y37)</f>
        <v>0</v>
      </c>
      <c r="Z38" s="94">
        <f t="shared" si="21"/>
        <v>0</v>
      </c>
      <c r="AA38" s="94">
        <f t="shared" si="21"/>
        <v>0</v>
      </c>
      <c r="AB38" s="94">
        <f t="shared" si="21"/>
        <v>0</v>
      </c>
      <c r="AC38" s="95">
        <f t="shared" ref="AC38" si="22">SUM(AC29:AC37)</f>
        <v>0</v>
      </c>
      <c r="AD38" s="32">
        <f t="shared" si="19"/>
        <v>41631146.492785968</v>
      </c>
      <c r="AE38" s="95">
        <f t="shared" ref="AE38" si="23">SUM(AE29:AE37)</f>
        <v>-42795439.959716454</v>
      </c>
      <c r="AF38" s="32">
        <f t="shared" si="19"/>
        <v>237964.44587433519</v>
      </c>
      <c r="AG38" s="94">
        <f t="shared" si="19"/>
        <v>-314398.52210624242</v>
      </c>
      <c r="AH38" s="32">
        <f t="shared" si="19"/>
        <v>3780.842571246576</v>
      </c>
      <c r="AI38" s="94">
        <f t="shared" si="19"/>
        <v>0</v>
      </c>
      <c r="AJ38" s="94">
        <f t="shared" si="19"/>
        <v>0</v>
      </c>
      <c r="AK38" s="95">
        <f t="shared" si="19"/>
        <v>0</v>
      </c>
      <c r="AL38" s="32">
        <f t="shared" si="19"/>
        <v>928595.50968445325</v>
      </c>
      <c r="AM38" s="94">
        <f t="shared" ref="AM38:AQ38" si="24">SUM(AM29:AM37)</f>
        <v>0</v>
      </c>
      <c r="AN38" s="94">
        <f t="shared" ref="AN38:AP38" si="25">SUM(AN29:AN37)</f>
        <v>-42158.236139674264</v>
      </c>
      <c r="AO38" s="94">
        <f t="shared" si="25"/>
        <v>-57686.792211548636</v>
      </c>
      <c r="AP38" s="94">
        <f t="shared" si="25"/>
        <v>-28215.846569819794</v>
      </c>
      <c r="AQ38" s="95">
        <f t="shared" si="24"/>
        <v>11178.80419450879</v>
      </c>
      <c r="AR38" s="94">
        <f t="shared" ref="AR38" si="26">SUM(AR29:AR37)</f>
        <v>0</v>
      </c>
      <c r="AS38" s="32">
        <f t="shared" si="19"/>
        <v>-29345.108054750221</v>
      </c>
      <c r="AT38" s="94">
        <f t="shared" si="19"/>
        <v>70365.75</v>
      </c>
      <c r="AU38" s="94">
        <f t="shared" si="19"/>
        <v>-661916.82775972039</v>
      </c>
      <c r="AV38" s="94">
        <f t="shared" si="19"/>
        <v>0</v>
      </c>
      <c r="AW38" s="94">
        <f t="shared" si="19"/>
        <v>25872.6</v>
      </c>
      <c r="AX38" s="94">
        <f t="shared" si="19"/>
        <v>0</v>
      </c>
      <c r="AY38" s="32">
        <f t="shared" si="19"/>
        <v>-407648.85953784268</v>
      </c>
      <c r="AZ38" s="94">
        <f t="shared" si="19"/>
        <v>-491135</v>
      </c>
      <c r="BA38" s="94">
        <f>ROUNDUP(SUM(BA29:BA37),0)</f>
        <v>-524709</v>
      </c>
      <c r="BB38" s="32">
        <f t="shared" si="19"/>
        <v>138614.57201924626</v>
      </c>
      <c r="BC38" s="94">
        <f t="shared" si="19"/>
        <v>171516.53619326494</v>
      </c>
      <c r="BD38" s="94">
        <f t="shared" si="19"/>
        <v>0</v>
      </c>
      <c r="BE38" s="94">
        <f t="shared" si="19"/>
        <v>303135.06916481676</v>
      </c>
      <c r="BF38" s="32">
        <f t="shared" ref="BF38:BX38" si="27">SUM(BF29:BF37)</f>
        <v>126599.16256277473</v>
      </c>
      <c r="BG38" s="94">
        <f t="shared" si="27"/>
        <v>0</v>
      </c>
      <c r="BH38" s="94">
        <f t="shared" si="27"/>
        <v>0</v>
      </c>
      <c r="BI38" s="94">
        <f t="shared" si="27"/>
        <v>58361.274086542442</v>
      </c>
      <c r="BJ38" s="94">
        <f t="shared" si="27"/>
        <v>-17990.552800000001</v>
      </c>
      <c r="BK38" s="94">
        <f t="shared" si="27"/>
        <v>99761.9</v>
      </c>
      <c r="BL38" s="94">
        <f t="shared" si="27"/>
        <v>2710.0887272727277</v>
      </c>
      <c r="BM38" s="94">
        <f t="shared" si="27"/>
        <v>-1050000</v>
      </c>
      <c r="BN38" s="32">
        <f t="shared" si="27"/>
        <v>-4539.7498763290314</v>
      </c>
      <c r="BO38" s="94">
        <f t="shared" si="27"/>
        <v>0</v>
      </c>
      <c r="BP38" s="94">
        <f t="shared" si="27"/>
        <v>0</v>
      </c>
      <c r="BQ38" s="94">
        <f t="shared" si="27"/>
        <v>0</v>
      </c>
      <c r="BR38" s="94">
        <f t="shared" si="27"/>
        <v>0</v>
      </c>
      <c r="BS38" s="94">
        <f t="shared" si="27"/>
        <v>0</v>
      </c>
      <c r="BT38" s="94">
        <f t="shared" si="27"/>
        <v>0</v>
      </c>
      <c r="BU38" s="94">
        <f t="shared" si="27"/>
        <v>0</v>
      </c>
      <c r="BV38" s="186">
        <f t="shared" si="27"/>
        <v>0</v>
      </c>
      <c r="BW38" s="32">
        <f t="shared" si="27"/>
        <v>805421.44492121635</v>
      </c>
      <c r="BX38" s="95">
        <f t="shared" si="27"/>
        <v>884.52046415468067</v>
      </c>
      <c r="BY38" s="15"/>
    </row>
    <row r="39" spans="1:77" x14ac:dyDescent="0.2">
      <c r="A39" s="14"/>
      <c r="B39" s="88">
        <f t="shared" si="9"/>
        <v>0</v>
      </c>
      <c r="C39" s="29"/>
      <c r="D39" s="12"/>
      <c r="E39" s="12"/>
      <c r="F39" s="12"/>
      <c r="G39" s="12"/>
      <c r="H39" s="12"/>
      <c r="I39" s="86"/>
      <c r="J39" s="29"/>
      <c r="K39" s="86"/>
      <c r="L39" s="29"/>
      <c r="M39" s="12"/>
      <c r="N39" s="12"/>
      <c r="O39" s="12"/>
      <c r="P39" s="12"/>
      <c r="Q39" s="86"/>
      <c r="R39" s="29"/>
      <c r="S39" s="12"/>
      <c r="T39" s="12"/>
      <c r="U39" s="12"/>
      <c r="V39" s="12"/>
      <c r="W39" s="12"/>
      <c r="X39" s="86"/>
      <c r="Y39" s="29"/>
      <c r="Z39" s="12"/>
      <c r="AA39" s="12"/>
      <c r="AB39" s="12"/>
      <c r="AC39" s="86"/>
      <c r="AD39" s="29"/>
      <c r="AE39" s="86"/>
      <c r="AF39" s="29"/>
      <c r="AG39" s="12"/>
      <c r="AH39" s="29"/>
      <c r="AI39" s="12"/>
      <c r="AJ39" s="12"/>
      <c r="AK39" s="86"/>
      <c r="AL39" s="29"/>
      <c r="AM39" s="12"/>
      <c r="AN39" s="12"/>
      <c r="AO39" s="12"/>
      <c r="AP39" s="12"/>
      <c r="AQ39" s="86"/>
      <c r="AR39" s="12"/>
      <c r="AS39" s="29"/>
      <c r="AT39" s="12"/>
      <c r="AU39" s="12"/>
      <c r="AV39" s="12"/>
      <c r="AW39" s="12"/>
      <c r="AX39" s="12"/>
      <c r="AY39" s="29"/>
      <c r="AZ39" s="12"/>
      <c r="BA39" s="12"/>
      <c r="BB39" s="29"/>
      <c r="BC39" s="12"/>
      <c r="BD39" s="12"/>
      <c r="BE39" s="12"/>
      <c r="BF39" s="29"/>
      <c r="BG39" s="12"/>
      <c r="BH39" s="12"/>
      <c r="BI39" s="12"/>
      <c r="BJ39" s="12"/>
      <c r="BK39" s="12"/>
      <c r="BL39" s="12"/>
      <c r="BM39" s="12"/>
      <c r="BN39" s="29"/>
      <c r="BO39" s="12"/>
      <c r="BP39" s="12"/>
      <c r="BQ39" s="12"/>
      <c r="BR39" s="12"/>
      <c r="BS39" s="12"/>
      <c r="BT39" s="12"/>
      <c r="BU39" s="12"/>
      <c r="BV39" s="88"/>
      <c r="BW39" s="29"/>
      <c r="BX39" s="86"/>
      <c r="BY39" s="15"/>
    </row>
    <row r="40" spans="1:77" ht="13.5" thickBot="1" x14ac:dyDescent="0.25">
      <c r="A40" s="14" t="s">
        <v>76</v>
      </c>
      <c r="B40" s="188">
        <f t="shared" si="9"/>
        <v>13460609.091895232</v>
      </c>
      <c r="C40" s="34">
        <f t="shared" ref="C40" si="28">C16-C38</f>
        <v>-3700294.8254999998</v>
      </c>
      <c r="D40" s="101">
        <f t="shared" ref="D40:BE40" si="29">D16-D38</f>
        <v>-4827929.8803313505</v>
      </c>
      <c r="E40" s="101">
        <f t="shared" si="29"/>
        <v>11066786.133521356</v>
      </c>
      <c r="F40" s="101">
        <f t="shared" si="29"/>
        <v>481473.27761135239</v>
      </c>
      <c r="G40" s="101">
        <f t="shared" si="29"/>
        <v>-1464670.435197121</v>
      </c>
      <c r="H40" s="101">
        <f t="shared" si="29"/>
        <v>225695.19587542658</v>
      </c>
      <c r="I40" s="102">
        <f t="shared" si="29"/>
        <v>26861.784592098978</v>
      </c>
      <c r="J40" s="34">
        <f t="shared" ref="J40:K40" si="30">J16-J38</f>
        <v>0</v>
      </c>
      <c r="K40" s="102">
        <f t="shared" si="30"/>
        <v>16827.577914443347</v>
      </c>
      <c r="L40" s="34">
        <f t="shared" si="29"/>
        <v>14374.098749112274</v>
      </c>
      <c r="M40" s="101">
        <f t="shared" si="29"/>
        <v>30932.837736162648</v>
      </c>
      <c r="N40" s="101">
        <f t="shared" si="29"/>
        <v>447617.81318040681</v>
      </c>
      <c r="O40" s="101">
        <f t="shared" si="29"/>
        <v>3471.4899197574941</v>
      </c>
      <c r="P40" s="101">
        <f t="shared" si="29"/>
        <v>-101033.78529856091</v>
      </c>
      <c r="Q40" s="102">
        <f t="shared" si="29"/>
        <v>6923689.1386707202</v>
      </c>
      <c r="R40" s="34">
        <f t="shared" si="29"/>
        <v>1739134.8326140966</v>
      </c>
      <c r="S40" s="101">
        <f t="shared" si="29"/>
        <v>261.26530187496314</v>
      </c>
      <c r="T40" s="101">
        <f t="shared" si="29"/>
        <v>-972.74282173129757</v>
      </c>
      <c r="U40" s="101">
        <f t="shared" si="29"/>
        <v>-274576.25423230953</v>
      </c>
      <c r="V40" s="101">
        <f t="shared" si="29"/>
        <v>-477325.32113622106</v>
      </c>
      <c r="W40" s="101">
        <f t="shared" si="29"/>
        <v>416342.48224204162</v>
      </c>
      <c r="X40" s="102">
        <f t="shared" si="29"/>
        <v>0</v>
      </c>
      <c r="Y40" s="34">
        <f t="shared" ref="Y40:AB40" si="31">Y16-Y38</f>
        <v>0</v>
      </c>
      <c r="Z40" s="101">
        <f t="shared" si="31"/>
        <v>0</v>
      </c>
      <c r="AA40" s="101">
        <f t="shared" si="31"/>
        <v>0</v>
      </c>
      <c r="AB40" s="101">
        <f t="shared" si="31"/>
        <v>0</v>
      </c>
      <c r="AC40" s="102">
        <f t="shared" ref="AC40" si="32">AC16-AC38</f>
        <v>0</v>
      </c>
      <c r="AD40" s="34">
        <f t="shared" si="29"/>
        <v>7484567.7885333151</v>
      </c>
      <c r="AE40" s="102">
        <f t="shared" ref="AE40" si="33">AE16-AE38</f>
        <v>-3069122.4573623389</v>
      </c>
      <c r="AF40" s="34">
        <f t="shared" si="29"/>
        <v>441933.97090947971</v>
      </c>
      <c r="AG40" s="101">
        <f t="shared" si="29"/>
        <v>314398.52210624242</v>
      </c>
      <c r="AH40" s="34">
        <f t="shared" si="29"/>
        <v>-3780.842571246576</v>
      </c>
      <c r="AI40" s="101">
        <f t="shared" si="29"/>
        <v>0</v>
      </c>
      <c r="AJ40" s="101">
        <f t="shared" si="29"/>
        <v>0</v>
      </c>
      <c r="AK40" s="102">
        <f t="shared" si="29"/>
        <v>0</v>
      </c>
      <c r="AL40" s="34">
        <f t="shared" si="29"/>
        <v>-928595.50968445325</v>
      </c>
      <c r="AM40" s="101">
        <f t="shared" ref="AM40:AQ40" si="34">AM16-AM38</f>
        <v>0</v>
      </c>
      <c r="AN40" s="101">
        <f t="shared" ref="AN40:AP40" si="35">AN16-AN38</f>
        <v>42158.236139674264</v>
      </c>
      <c r="AO40" s="101">
        <f t="shared" si="35"/>
        <v>57686.792211548636</v>
      </c>
      <c r="AP40" s="101">
        <f t="shared" si="35"/>
        <v>28215.846569819794</v>
      </c>
      <c r="AQ40" s="102">
        <f t="shared" si="34"/>
        <v>-11178.80419450879</v>
      </c>
      <c r="AR40" s="101">
        <f t="shared" ref="AR40" si="36">AR16-AR38</f>
        <v>0</v>
      </c>
      <c r="AS40" s="34">
        <f t="shared" si="29"/>
        <v>29345.108054750221</v>
      </c>
      <c r="AT40" s="101">
        <f t="shared" si="29"/>
        <v>-70365.75</v>
      </c>
      <c r="AU40" s="101">
        <f t="shared" si="29"/>
        <v>661916.82775972039</v>
      </c>
      <c r="AV40" s="101">
        <f t="shared" si="29"/>
        <v>0</v>
      </c>
      <c r="AW40" s="101">
        <f t="shared" si="29"/>
        <v>-25872.6</v>
      </c>
      <c r="AX40" s="101">
        <f t="shared" si="29"/>
        <v>0</v>
      </c>
      <c r="AY40" s="34">
        <f t="shared" si="29"/>
        <v>407648.85953784268</v>
      </c>
      <c r="AZ40" s="101">
        <f t="shared" si="29"/>
        <v>491135</v>
      </c>
      <c r="BA40" s="101">
        <f t="shared" si="29"/>
        <v>524709</v>
      </c>
      <c r="BB40" s="34">
        <f t="shared" si="29"/>
        <v>-138614.57201924626</v>
      </c>
      <c r="BC40" s="101">
        <f t="shared" si="29"/>
        <v>-171516.53619326494</v>
      </c>
      <c r="BD40" s="101">
        <f t="shared" si="29"/>
        <v>0</v>
      </c>
      <c r="BE40" s="101">
        <f t="shared" si="29"/>
        <v>-303135.06916481676</v>
      </c>
      <c r="BF40" s="34">
        <f t="shared" ref="BF40:BX40" si="37">BF16-BF38</f>
        <v>-126599.16256277473</v>
      </c>
      <c r="BG40" s="101">
        <f t="shared" si="37"/>
        <v>0</v>
      </c>
      <c r="BH40" s="101">
        <f t="shared" si="37"/>
        <v>0</v>
      </c>
      <c r="BI40" s="101">
        <f t="shared" si="37"/>
        <v>-58361.274086542442</v>
      </c>
      <c r="BJ40" s="101">
        <f t="shared" si="37"/>
        <v>17990.552800000001</v>
      </c>
      <c r="BK40" s="101">
        <f t="shared" si="37"/>
        <v>-99761.9</v>
      </c>
      <c r="BL40" s="101">
        <f t="shared" si="37"/>
        <v>-2710.0887272727277</v>
      </c>
      <c r="BM40" s="101">
        <f t="shared" si="37"/>
        <v>-1950000</v>
      </c>
      <c r="BN40" s="34">
        <f t="shared" si="37"/>
        <v>4539.7498763290314</v>
      </c>
      <c r="BO40" s="101">
        <f t="shared" si="37"/>
        <v>0</v>
      </c>
      <c r="BP40" s="101">
        <f t="shared" si="37"/>
        <v>0</v>
      </c>
      <c r="BQ40" s="101">
        <f t="shared" si="37"/>
        <v>0</v>
      </c>
      <c r="BR40" s="101">
        <f t="shared" si="37"/>
        <v>0</v>
      </c>
      <c r="BS40" s="101">
        <f t="shared" si="37"/>
        <v>0</v>
      </c>
      <c r="BT40" s="101">
        <f t="shared" si="37"/>
        <v>0</v>
      </c>
      <c r="BU40" s="101">
        <f t="shared" si="37"/>
        <v>0</v>
      </c>
      <c r="BV40" s="188">
        <f t="shared" si="37"/>
        <v>0</v>
      </c>
      <c r="BW40" s="34">
        <f t="shared" si="37"/>
        <v>-637377.82235370425</v>
      </c>
      <c r="BX40" s="102">
        <f t="shared" si="37"/>
        <v>4690.5429051179744</v>
      </c>
      <c r="BY40" s="15"/>
    </row>
    <row r="41" spans="1:77" ht="13.5" thickTop="1" x14ac:dyDescent="0.2">
      <c r="A41" s="14"/>
      <c r="B41" s="88"/>
      <c r="C41" s="29"/>
      <c r="D41" s="12"/>
      <c r="E41" s="12"/>
      <c r="F41" s="12"/>
      <c r="G41" s="12"/>
      <c r="H41" s="12"/>
      <c r="I41" s="86"/>
      <c r="J41" s="29"/>
      <c r="K41" s="86"/>
      <c r="L41" s="29"/>
      <c r="M41" s="12"/>
      <c r="N41" s="12"/>
      <c r="O41" s="12"/>
      <c r="P41" s="12"/>
      <c r="Q41" s="86"/>
      <c r="R41" s="29"/>
      <c r="S41" s="12"/>
      <c r="T41" s="12"/>
      <c r="U41" s="12"/>
      <c r="V41" s="12"/>
      <c r="W41" s="12"/>
      <c r="X41" s="86"/>
      <c r="Y41" s="29"/>
      <c r="Z41" s="12"/>
      <c r="AA41" s="12"/>
      <c r="AB41" s="12"/>
      <c r="AC41" s="86"/>
      <c r="AD41" s="29"/>
      <c r="AE41" s="86"/>
      <c r="AF41" s="29"/>
      <c r="AG41" s="12"/>
      <c r="AH41" s="29"/>
      <c r="AI41" s="12"/>
      <c r="AJ41" s="12"/>
      <c r="AK41" s="86"/>
      <c r="AL41" s="29"/>
      <c r="AM41" s="12"/>
      <c r="AN41" s="12"/>
      <c r="AO41" s="12"/>
      <c r="AP41" s="12"/>
      <c r="AQ41" s="86"/>
      <c r="AR41" s="12"/>
      <c r="AS41" s="29"/>
      <c r="AT41" s="12"/>
      <c r="AU41" s="12"/>
      <c r="AV41" s="12"/>
      <c r="AW41" s="12"/>
      <c r="AX41" s="12"/>
      <c r="AY41" s="29"/>
      <c r="AZ41" s="12"/>
      <c r="BA41" s="12"/>
      <c r="BB41" s="29"/>
      <c r="BC41" s="12"/>
      <c r="BD41" s="12"/>
      <c r="BE41" s="12"/>
      <c r="BF41" s="29"/>
      <c r="BG41" s="12"/>
      <c r="BH41" s="12"/>
      <c r="BI41" s="12"/>
      <c r="BJ41" s="12"/>
      <c r="BK41" s="12"/>
      <c r="BL41" s="12"/>
      <c r="BM41" s="12"/>
      <c r="BN41" s="29"/>
      <c r="BO41" s="12"/>
      <c r="BP41" s="12"/>
      <c r="BQ41" s="12"/>
      <c r="BR41" s="12"/>
      <c r="BS41" s="12"/>
      <c r="BT41" s="12"/>
      <c r="BU41" s="12"/>
      <c r="BV41" s="88"/>
      <c r="BW41" s="29"/>
      <c r="BX41" s="86"/>
      <c r="BY41" s="15"/>
    </row>
    <row r="42" spans="1:77" x14ac:dyDescent="0.2">
      <c r="A42" s="14" t="s">
        <v>77</v>
      </c>
      <c r="B42" s="88">
        <f t="shared" ref="B42:B54" si="38">SUM(C42:BX42)</f>
        <v>0</v>
      </c>
      <c r="C42" s="29"/>
      <c r="D42" s="12"/>
      <c r="E42" s="12"/>
      <c r="F42" s="12"/>
      <c r="G42" s="12"/>
      <c r="H42" s="12"/>
      <c r="I42" s="86"/>
      <c r="J42" s="29"/>
      <c r="K42" s="86"/>
      <c r="L42" s="29"/>
      <c r="M42" s="12"/>
      <c r="N42" s="12"/>
      <c r="O42" s="12"/>
      <c r="P42" s="12"/>
      <c r="Q42" s="86"/>
      <c r="R42" s="29"/>
      <c r="S42" s="12"/>
      <c r="T42" s="12"/>
      <c r="U42" s="12"/>
      <c r="V42" s="12"/>
      <c r="W42" s="12"/>
      <c r="X42" s="86"/>
      <c r="Y42" s="29"/>
      <c r="Z42" s="12"/>
      <c r="AA42" s="12"/>
      <c r="AB42" s="12"/>
      <c r="AC42" s="86"/>
      <c r="AD42" s="29"/>
      <c r="AE42" s="86"/>
      <c r="AF42" s="29"/>
      <c r="AG42" s="12"/>
      <c r="AH42" s="29"/>
      <c r="AI42" s="12"/>
      <c r="AJ42" s="12"/>
      <c r="AK42" s="86"/>
      <c r="AL42" s="29"/>
      <c r="AM42" s="12"/>
      <c r="AN42" s="12"/>
      <c r="AO42" s="12"/>
      <c r="AP42" s="12"/>
      <c r="AQ42" s="86"/>
      <c r="AR42" s="12"/>
      <c r="AS42" s="29"/>
      <c r="AT42" s="12"/>
      <c r="AU42" s="12"/>
      <c r="AV42" s="12"/>
      <c r="AW42" s="12"/>
      <c r="AX42" s="12"/>
      <c r="AY42" s="29"/>
      <c r="AZ42" s="12"/>
      <c r="BA42" s="12"/>
      <c r="BB42" s="29"/>
      <c r="BC42" s="12"/>
      <c r="BD42" s="12"/>
      <c r="BE42" s="12"/>
      <c r="BF42" s="29"/>
      <c r="BG42" s="12"/>
      <c r="BH42" s="12"/>
      <c r="BI42" s="12"/>
      <c r="BJ42" s="12"/>
      <c r="BK42" s="12"/>
      <c r="BL42" s="12"/>
      <c r="BM42" s="12"/>
      <c r="BN42" s="29"/>
      <c r="BO42" s="12"/>
      <c r="BP42" s="12"/>
      <c r="BQ42" s="12"/>
      <c r="BR42" s="12"/>
      <c r="BS42" s="12"/>
      <c r="BT42" s="12"/>
      <c r="BU42" s="12"/>
      <c r="BV42" s="88"/>
      <c r="BW42" s="29"/>
      <c r="BX42" s="86"/>
      <c r="BY42" s="15"/>
    </row>
    <row r="43" spans="1:77" x14ac:dyDescent="0.2">
      <c r="A43" s="14" t="s">
        <v>78</v>
      </c>
      <c r="B43" s="100">
        <f t="shared" si="38"/>
        <v>62073491.812730849</v>
      </c>
      <c r="C43" s="31">
        <f>'Restating Adj'!C43+'Pro Forma Adj'!C43</f>
        <v>0</v>
      </c>
      <c r="D43" s="92">
        <f>'Restating Adj'!D43+'Pro Forma Adj'!D43</f>
        <v>0</v>
      </c>
      <c r="E43" s="92">
        <f>'Restating Adj'!E43+'Pro Forma Adj'!E43</f>
        <v>0</v>
      </c>
      <c r="F43" s="92">
        <f>'Restating Adj'!F43+'Pro Forma Adj'!F43</f>
        <v>0</v>
      </c>
      <c r="G43" s="92">
        <f>'Restating Adj'!G43+'Pro Forma Adj'!G43</f>
        <v>0</v>
      </c>
      <c r="H43" s="90">
        <f>'Restating Adj'!H43+'Pro Forma Adj'!H43</f>
        <v>0</v>
      </c>
      <c r="I43" s="91">
        <f>'Restating Adj'!I43+'Pro Forma Adj'!I43</f>
        <v>0</v>
      </c>
      <c r="J43" s="30">
        <f>'Restating Adj'!J43+'Pro Forma Adj'!J43</f>
        <v>0</v>
      </c>
      <c r="K43" s="91">
        <f>'Restating Adj'!K43+'Pro Forma Adj'!K43</f>
        <v>0</v>
      </c>
      <c r="L43" s="31">
        <f>'Restating Adj'!L43+'Pro Forma Adj'!L43</f>
        <v>0</v>
      </c>
      <c r="M43" s="92">
        <f>'Restating Adj'!M43+'Pro Forma Adj'!M43</f>
        <v>0</v>
      </c>
      <c r="N43" s="92">
        <f>'Restating Adj'!N43+'Pro Forma Adj'!N43</f>
        <v>0</v>
      </c>
      <c r="O43" s="92">
        <f>'Restating Adj'!O43+'Pro Forma Adj'!O43</f>
        <v>0</v>
      </c>
      <c r="P43" s="92">
        <f>'Restating Adj'!P43+'Pro Forma Adj'!P43</f>
        <v>0</v>
      </c>
      <c r="Q43" s="93">
        <f>'Restating Adj'!Q43+'Pro Forma Adj'!Q43</f>
        <v>0</v>
      </c>
      <c r="R43" s="30">
        <f>'Restating Adj'!R43+'Pro Forma Adj'!R43</f>
        <v>0</v>
      </c>
      <c r="S43" s="90">
        <f>'Restating Adj'!S43+'Pro Forma Adj'!S43</f>
        <v>0</v>
      </c>
      <c r="T43" s="90">
        <f>'Restating Adj'!T43+'Pro Forma Adj'!T43</f>
        <v>0</v>
      </c>
      <c r="U43" s="90">
        <f>'Restating Adj'!U43+'Pro Forma Adj'!U43</f>
        <v>0</v>
      </c>
      <c r="V43" s="90">
        <f>'Restating Adj'!V43+'Pro Forma Adj'!V43</f>
        <v>0</v>
      </c>
      <c r="W43" s="90">
        <f>'Restating Adj'!W43+'Pro Forma Adj'!W43</f>
        <v>0</v>
      </c>
      <c r="X43" s="91">
        <f>'Restating Adj'!X43+'Pro Forma Adj'!X43</f>
        <v>0</v>
      </c>
      <c r="Y43" s="30">
        <f>'Restating Adj'!Y43+'Pro Forma Adj'!Y43</f>
        <v>0</v>
      </c>
      <c r="Z43" s="90">
        <f>'Restating Adj'!Z43+'Pro Forma Adj'!Z43</f>
        <v>0</v>
      </c>
      <c r="AA43" s="90">
        <f>'Restating Adj'!AA43+'Pro Forma Adj'!AA43</f>
        <v>0</v>
      </c>
      <c r="AB43" s="90">
        <f>'Restating Adj'!AB43+'Pro Forma Adj'!AB43</f>
        <v>0</v>
      </c>
      <c r="AC43" s="91">
        <f>'Restating Adj'!AC43+'Pro Forma Adj'!AC43</f>
        <v>0</v>
      </c>
      <c r="AD43" s="31">
        <f>'Restating Adj'!AD43+'Pro Forma Adj'!AD43</f>
        <v>0</v>
      </c>
      <c r="AE43" s="93">
        <f>'Restating Adj'!AE43+'Pro Forma Adj'!AE43</f>
        <v>0</v>
      </c>
      <c r="AF43" s="31">
        <f>'Restating Adj'!AF43+'Pro Forma Adj'!AF43</f>
        <v>0</v>
      </c>
      <c r="AG43" s="92">
        <f>'Restating Adj'!AG43+'Pro Forma Adj'!AG43</f>
        <v>-28327255.80891481</v>
      </c>
      <c r="AH43" s="31">
        <f>'Restating Adj'!AH43+'Pro Forma Adj'!AH43</f>
        <v>0</v>
      </c>
      <c r="AI43" s="92">
        <f>'Restating Adj'!AI43+'Pro Forma Adj'!AI43</f>
        <v>0</v>
      </c>
      <c r="AJ43" s="92">
        <f>'Restating Adj'!AJ43+'Pro Forma Adj'!AJ43</f>
        <v>0</v>
      </c>
      <c r="AK43" s="93">
        <f>'Restating Adj'!AK43+'Pro Forma Adj'!AK43</f>
        <v>0</v>
      </c>
      <c r="AL43" s="31">
        <f>'Restating Adj'!AL43+'Pro Forma Adj'!AL43</f>
        <v>0</v>
      </c>
      <c r="AM43" s="92">
        <f>'Restating Adj'!AM43+'Pro Forma Adj'!AM43</f>
        <v>0</v>
      </c>
      <c r="AN43" s="92">
        <f>'Restating Adj'!AN43+'Pro Forma Adj'!AN43</f>
        <v>0</v>
      </c>
      <c r="AO43" s="92">
        <f>'Restating Adj'!AO43+'Pro Forma Adj'!AO43</f>
        <v>0</v>
      </c>
      <c r="AP43" s="92">
        <f>'Restating Adj'!AP43+'Pro Forma Adj'!AP43</f>
        <v>0</v>
      </c>
      <c r="AQ43" s="93">
        <f>'Restating Adj'!AQ43+'Pro Forma Adj'!AQ43</f>
        <v>0</v>
      </c>
      <c r="AR43" s="92">
        <f>'Restating Adj'!AR43+'Pro Forma Adj'!AR43</f>
        <v>0</v>
      </c>
      <c r="AS43" s="31">
        <f>'Restating Adj'!AS43+'Pro Forma Adj'!AS43</f>
        <v>0</v>
      </c>
      <c r="AT43" s="92">
        <f>'Restating Adj'!AT43+'Pro Forma Adj'!AT43</f>
        <v>0</v>
      </c>
      <c r="AU43" s="92">
        <f>'Restating Adj'!AU43+'Pro Forma Adj'!AU43</f>
        <v>0</v>
      </c>
      <c r="AV43" s="92">
        <f>'Restating Adj'!AV43+'Pro Forma Adj'!AV43</f>
        <v>0</v>
      </c>
      <c r="AW43" s="92">
        <f>'Restating Adj'!AW43+'Pro Forma Adj'!AW43</f>
        <v>0</v>
      </c>
      <c r="AX43" s="92">
        <f>'Restating Adj'!AX43+'Pro Forma Adj'!AX43</f>
        <v>0</v>
      </c>
      <c r="AY43" s="31">
        <f>'Restating Adj'!AY43+'Pro Forma Adj'!AY43</f>
        <v>0</v>
      </c>
      <c r="AZ43" s="92">
        <f>'Restating Adj'!AZ43+'Pro Forma Adj'!AZ43</f>
        <v>0</v>
      </c>
      <c r="BA43" s="92">
        <f>'Restating Adj'!BA43+'Pro Forma Adj'!BA43</f>
        <v>0</v>
      </c>
      <c r="BB43" s="31">
        <f>'Restating Adj'!BB43+'Pro Forma Adj'!BB43</f>
        <v>69500552.513709083</v>
      </c>
      <c r="BC43" s="90">
        <f>'Restating Adj'!BC43+'Pro Forma Adj'!BC43</f>
        <v>0</v>
      </c>
      <c r="BD43" s="90">
        <f>'Restating Adj'!BD43+'Pro Forma Adj'!BD43</f>
        <v>0</v>
      </c>
      <c r="BE43" s="90">
        <f>'Restating Adj'!BE43+'Pro Forma Adj'!BE43</f>
        <v>21097162.679424621</v>
      </c>
      <c r="BF43" s="30">
        <f>'Restating Adj'!BF43+'Pro Forma Adj'!BF43</f>
        <v>0</v>
      </c>
      <c r="BG43" s="90">
        <f>'Restating Adj'!BG43+'Pro Forma Adj'!BG43</f>
        <v>0</v>
      </c>
      <c r="BH43" s="12">
        <f>'Restating Adj'!BH43+'Pro Forma Adj'!BH43</f>
        <v>0</v>
      </c>
      <c r="BI43" s="90">
        <f>'Restating Adj'!BI43+'Pro Forma Adj'!BI43</f>
        <v>0</v>
      </c>
      <c r="BJ43" s="92">
        <f>'Restating Adj'!BJ43+'Pro Forma Adj'!BJ43</f>
        <v>-360048.63899999904</v>
      </c>
      <c r="BK43" s="92">
        <f>'Restating Adj'!BK43+'Pro Forma Adj'!BK43</f>
        <v>0</v>
      </c>
      <c r="BL43" s="92">
        <f>'Restating Adj'!BL43+'Pro Forma Adj'!BL43</f>
        <v>0</v>
      </c>
      <c r="BM43" s="92">
        <f>'Restating Adj'!BM43+'Pro Forma Adj'!BM43</f>
        <v>0</v>
      </c>
      <c r="BN43" s="31">
        <f>'Restating Adj'!BN43+'Pro Forma Adj'!BN43</f>
        <v>0</v>
      </c>
      <c r="BO43" s="92">
        <f>'Restating Adj'!BO43+'Pro Forma Adj'!BO43</f>
        <v>0</v>
      </c>
      <c r="BP43" s="92">
        <f>'Restating Adj'!BP43+'Pro Forma Adj'!BP43</f>
        <v>0</v>
      </c>
      <c r="BQ43" s="92">
        <f>'Restating Adj'!BQ43+'Pro Forma Adj'!BQ43</f>
        <v>0</v>
      </c>
      <c r="BR43" s="92">
        <f>'Restating Adj'!BR43+'Pro Forma Adj'!BR43</f>
        <v>0</v>
      </c>
      <c r="BS43" s="92">
        <f>'Restating Adj'!BS43+'Pro Forma Adj'!BS43</f>
        <v>0</v>
      </c>
      <c r="BT43" s="92">
        <f>'Restating Adj'!BT43+'Pro Forma Adj'!BT43</f>
        <v>0</v>
      </c>
      <c r="BU43" s="92">
        <f>'Restating Adj'!BU43+'Pro Forma Adj'!BU43</f>
        <v>0</v>
      </c>
      <c r="BV43" s="299">
        <f>'Restating Adj'!BV43+'Pro Forma Adj'!BV43</f>
        <v>0</v>
      </c>
      <c r="BW43" s="31">
        <f>'Restating Adj'!BW43+'Pro Forma Adj'!BW43</f>
        <v>163081.06751195365</v>
      </c>
      <c r="BX43" s="93">
        <f>'Restating Adj'!BX43+'Pro Forma Adj'!BX43</f>
        <v>0</v>
      </c>
      <c r="BY43" s="15"/>
    </row>
    <row r="44" spans="1:77" x14ac:dyDescent="0.2">
      <c r="A44" s="14" t="s">
        <v>79</v>
      </c>
      <c r="B44" s="100">
        <f t="shared" si="38"/>
        <v>0</v>
      </c>
      <c r="C44" s="31">
        <f>'Restating Adj'!C44+'Pro Forma Adj'!C44</f>
        <v>0</v>
      </c>
      <c r="D44" s="92">
        <f>'Restating Adj'!D44+'Pro Forma Adj'!D44</f>
        <v>0</v>
      </c>
      <c r="E44" s="92">
        <f>'Restating Adj'!E44+'Pro Forma Adj'!E44</f>
        <v>0</v>
      </c>
      <c r="F44" s="92">
        <f>'Restating Adj'!F44+'Pro Forma Adj'!F44</f>
        <v>0</v>
      </c>
      <c r="G44" s="92">
        <f>'Restating Adj'!G44+'Pro Forma Adj'!G44</f>
        <v>0</v>
      </c>
      <c r="H44" s="90">
        <f>'Restating Adj'!H44+'Pro Forma Adj'!H44</f>
        <v>0</v>
      </c>
      <c r="I44" s="91">
        <f>'Restating Adj'!I44+'Pro Forma Adj'!I44</f>
        <v>0</v>
      </c>
      <c r="J44" s="30">
        <f>'Restating Adj'!J44+'Pro Forma Adj'!J44</f>
        <v>0</v>
      </c>
      <c r="K44" s="91">
        <f>'Restating Adj'!K44+'Pro Forma Adj'!K44</f>
        <v>0</v>
      </c>
      <c r="L44" s="31">
        <f>'Restating Adj'!L44+'Pro Forma Adj'!L44</f>
        <v>0</v>
      </c>
      <c r="M44" s="92">
        <f>'Restating Adj'!M44+'Pro Forma Adj'!M44</f>
        <v>0</v>
      </c>
      <c r="N44" s="92">
        <f>'Restating Adj'!N44+'Pro Forma Adj'!N44</f>
        <v>0</v>
      </c>
      <c r="O44" s="92">
        <f>'Restating Adj'!O44+'Pro Forma Adj'!O44</f>
        <v>0</v>
      </c>
      <c r="P44" s="92">
        <f>'Restating Adj'!P44+'Pro Forma Adj'!P44</f>
        <v>0</v>
      </c>
      <c r="Q44" s="93">
        <f>'Restating Adj'!Q44+'Pro Forma Adj'!Q44</f>
        <v>0</v>
      </c>
      <c r="R44" s="30">
        <f>'Restating Adj'!R44+'Pro Forma Adj'!R44</f>
        <v>0</v>
      </c>
      <c r="S44" s="90">
        <f>'Restating Adj'!S44+'Pro Forma Adj'!S44</f>
        <v>0</v>
      </c>
      <c r="T44" s="90">
        <f>'Restating Adj'!T44+'Pro Forma Adj'!T44</f>
        <v>0</v>
      </c>
      <c r="U44" s="90">
        <f>'Restating Adj'!U44+'Pro Forma Adj'!U44</f>
        <v>0</v>
      </c>
      <c r="V44" s="90">
        <f>'Restating Adj'!V44+'Pro Forma Adj'!V44</f>
        <v>0</v>
      </c>
      <c r="W44" s="90">
        <f>'Restating Adj'!W44+'Pro Forma Adj'!W44</f>
        <v>0</v>
      </c>
      <c r="X44" s="91">
        <f>'Restating Adj'!X44+'Pro Forma Adj'!X44</f>
        <v>0</v>
      </c>
      <c r="Y44" s="30">
        <f>'Restating Adj'!Y44+'Pro Forma Adj'!Y44</f>
        <v>0</v>
      </c>
      <c r="Z44" s="90">
        <f>'Restating Adj'!Z44+'Pro Forma Adj'!Z44</f>
        <v>0</v>
      </c>
      <c r="AA44" s="90">
        <f>'Restating Adj'!AA44+'Pro Forma Adj'!AA44</f>
        <v>0</v>
      </c>
      <c r="AB44" s="90">
        <f>'Restating Adj'!AB44+'Pro Forma Adj'!AB44</f>
        <v>0</v>
      </c>
      <c r="AC44" s="91">
        <f>'Restating Adj'!AC44+'Pro Forma Adj'!AC44</f>
        <v>0</v>
      </c>
      <c r="AD44" s="31">
        <f>'Restating Adj'!AD44+'Pro Forma Adj'!AD44</f>
        <v>0</v>
      </c>
      <c r="AE44" s="93">
        <f>'Restating Adj'!AE44+'Pro Forma Adj'!AE44</f>
        <v>0</v>
      </c>
      <c r="AF44" s="31">
        <f>'Restating Adj'!AF44+'Pro Forma Adj'!AF44</f>
        <v>0</v>
      </c>
      <c r="AG44" s="92">
        <f>'Restating Adj'!AG44+'Pro Forma Adj'!AG44</f>
        <v>0</v>
      </c>
      <c r="AH44" s="31">
        <f>'Restating Adj'!AH44+'Pro Forma Adj'!AH44</f>
        <v>0</v>
      </c>
      <c r="AI44" s="92">
        <f>'Restating Adj'!AI44+'Pro Forma Adj'!AI44</f>
        <v>0</v>
      </c>
      <c r="AJ44" s="92">
        <f>'Restating Adj'!AJ44+'Pro Forma Adj'!AJ44</f>
        <v>0</v>
      </c>
      <c r="AK44" s="93">
        <f>'Restating Adj'!AK44+'Pro Forma Adj'!AK44</f>
        <v>0</v>
      </c>
      <c r="AL44" s="31">
        <f>'Restating Adj'!AL44+'Pro Forma Adj'!AL44</f>
        <v>0</v>
      </c>
      <c r="AM44" s="92">
        <f>'Restating Adj'!AM44+'Pro Forma Adj'!AM44</f>
        <v>0</v>
      </c>
      <c r="AN44" s="92">
        <f>'Restating Adj'!AN44+'Pro Forma Adj'!AN44</f>
        <v>0</v>
      </c>
      <c r="AO44" s="92">
        <f>'Restating Adj'!AO44+'Pro Forma Adj'!AO44</f>
        <v>0</v>
      </c>
      <c r="AP44" s="92">
        <f>'Restating Adj'!AP44+'Pro Forma Adj'!AP44</f>
        <v>0</v>
      </c>
      <c r="AQ44" s="93">
        <f>'Restating Adj'!AQ44+'Pro Forma Adj'!AQ44</f>
        <v>0</v>
      </c>
      <c r="AR44" s="92">
        <f>'Restating Adj'!AR44+'Pro Forma Adj'!AR44</f>
        <v>0</v>
      </c>
      <c r="AS44" s="31">
        <f>'Restating Adj'!AS44+'Pro Forma Adj'!AS44</f>
        <v>0</v>
      </c>
      <c r="AT44" s="92">
        <f>'Restating Adj'!AT44+'Pro Forma Adj'!AT44</f>
        <v>0</v>
      </c>
      <c r="AU44" s="92">
        <f>'Restating Adj'!AU44+'Pro Forma Adj'!AU44</f>
        <v>0</v>
      </c>
      <c r="AV44" s="92">
        <f>'Restating Adj'!AV44+'Pro Forma Adj'!AV44</f>
        <v>0</v>
      </c>
      <c r="AW44" s="92">
        <f>'Restating Adj'!AW44+'Pro Forma Adj'!AW44</f>
        <v>0</v>
      </c>
      <c r="AX44" s="92">
        <f>'Restating Adj'!AX44+'Pro Forma Adj'!AX44</f>
        <v>0</v>
      </c>
      <c r="AY44" s="31">
        <f>'Restating Adj'!AY44+'Pro Forma Adj'!AY44</f>
        <v>0</v>
      </c>
      <c r="AZ44" s="92">
        <f>'Restating Adj'!AZ44+'Pro Forma Adj'!AZ44</f>
        <v>0</v>
      </c>
      <c r="BA44" s="92">
        <f>'Restating Adj'!BA44+'Pro Forma Adj'!BA44</f>
        <v>0</v>
      </c>
      <c r="BB44" s="31">
        <f>'Restating Adj'!BB44+'Pro Forma Adj'!BB44</f>
        <v>0</v>
      </c>
      <c r="BC44" s="90">
        <f>'Restating Adj'!BC44+'Pro Forma Adj'!BC44</f>
        <v>0</v>
      </c>
      <c r="BD44" s="90">
        <f>'Restating Adj'!BD44+'Pro Forma Adj'!BD44</f>
        <v>0</v>
      </c>
      <c r="BE44" s="90">
        <f>'Restating Adj'!BE44+'Pro Forma Adj'!BE44</f>
        <v>0</v>
      </c>
      <c r="BF44" s="30">
        <f>'Restating Adj'!BF44+'Pro Forma Adj'!BF44</f>
        <v>0</v>
      </c>
      <c r="BG44" s="90">
        <f>'Restating Adj'!BG44+'Pro Forma Adj'!BG44</f>
        <v>0</v>
      </c>
      <c r="BH44" s="12">
        <f>'Restating Adj'!BH44+'Pro Forma Adj'!BH44</f>
        <v>0</v>
      </c>
      <c r="BI44" s="90">
        <f>'Restating Adj'!BI44+'Pro Forma Adj'!BI44</f>
        <v>0</v>
      </c>
      <c r="BJ44" s="92">
        <f>'Restating Adj'!BJ44+'Pro Forma Adj'!BJ44</f>
        <v>0</v>
      </c>
      <c r="BK44" s="92">
        <f>'Restating Adj'!BK44+'Pro Forma Adj'!BK44</f>
        <v>0</v>
      </c>
      <c r="BL44" s="92">
        <f>'Restating Adj'!BL44+'Pro Forma Adj'!BL44</f>
        <v>0</v>
      </c>
      <c r="BM44" s="92">
        <f>'Restating Adj'!BM44+'Pro Forma Adj'!BM44</f>
        <v>0</v>
      </c>
      <c r="BN44" s="31">
        <f>'Restating Adj'!BN44+'Pro Forma Adj'!BN44</f>
        <v>0</v>
      </c>
      <c r="BO44" s="92">
        <f>'Restating Adj'!BO44+'Pro Forma Adj'!BO44</f>
        <v>0</v>
      </c>
      <c r="BP44" s="92">
        <f>'Restating Adj'!BP44+'Pro Forma Adj'!BP44</f>
        <v>0</v>
      </c>
      <c r="BQ44" s="92">
        <f>'Restating Adj'!BQ44+'Pro Forma Adj'!BQ44</f>
        <v>0</v>
      </c>
      <c r="BR44" s="92">
        <f>'Restating Adj'!BR44+'Pro Forma Adj'!BR44</f>
        <v>0</v>
      </c>
      <c r="BS44" s="92">
        <f>'Restating Adj'!BS44+'Pro Forma Adj'!BS44</f>
        <v>0</v>
      </c>
      <c r="BT44" s="92">
        <f>'Restating Adj'!BT44+'Pro Forma Adj'!BT44</f>
        <v>0</v>
      </c>
      <c r="BU44" s="92">
        <f>'Restating Adj'!BU44+'Pro Forma Adj'!BU44</f>
        <v>0</v>
      </c>
      <c r="BV44" s="299">
        <f>'Restating Adj'!BV44+'Pro Forma Adj'!BV44</f>
        <v>0</v>
      </c>
      <c r="BW44" s="31">
        <f>'Restating Adj'!BW44+'Pro Forma Adj'!BW44</f>
        <v>0</v>
      </c>
      <c r="BX44" s="93">
        <f>'Restating Adj'!BX44+'Pro Forma Adj'!BX44</f>
        <v>0</v>
      </c>
      <c r="BY44" s="15"/>
    </row>
    <row r="45" spans="1:77" x14ac:dyDescent="0.2">
      <c r="A45" s="14" t="s">
        <v>80</v>
      </c>
      <c r="B45" s="100">
        <f t="shared" si="38"/>
        <v>-5671386.2543606469</v>
      </c>
      <c r="C45" s="31">
        <f>'Restating Adj'!C45+'Pro Forma Adj'!C45</f>
        <v>0</v>
      </c>
      <c r="D45" s="92">
        <f>'Restating Adj'!D45+'Pro Forma Adj'!D45</f>
        <v>0</v>
      </c>
      <c r="E45" s="92">
        <f>'Restating Adj'!E45+'Pro Forma Adj'!E45</f>
        <v>0</v>
      </c>
      <c r="F45" s="92">
        <f>'Restating Adj'!F45+'Pro Forma Adj'!F45</f>
        <v>0</v>
      </c>
      <c r="G45" s="92">
        <f>'Restating Adj'!G45+'Pro Forma Adj'!G45</f>
        <v>0</v>
      </c>
      <c r="H45" s="90">
        <f>'Restating Adj'!H45+'Pro Forma Adj'!H45</f>
        <v>0</v>
      </c>
      <c r="I45" s="91">
        <f>'Restating Adj'!I45+'Pro Forma Adj'!I45</f>
        <v>0</v>
      </c>
      <c r="J45" s="30">
        <f>'Restating Adj'!J45+'Pro Forma Adj'!J45</f>
        <v>0</v>
      </c>
      <c r="K45" s="91">
        <f>'Restating Adj'!K45+'Pro Forma Adj'!K45</f>
        <v>0</v>
      </c>
      <c r="L45" s="31">
        <f>'Restating Adj'!L45+'Pro Forma Adj'!L45</f>
        <v>0</v>
      </c>
      <c r="M45" s="92">
        <f>'Restating Adj'!M45+'Pro Forma Adj'!M45</f>
        <v>0</v>
      </c>
      <c r="N45" s="92">
        <f>'Restating Adj'!N45+'Pro Forma Adj'!N45</f>
        <v>0</v>
      </c>
      <c r="O45" s="92">
        <f>'Restating Adj'!O45+'Pro Forma Adj'!O45</f>
        <v>0</v>
      </c>
      <c r="P45" s="92">
        <f>'Restating Adj'!P45+'Pro Forma Adj'!P45</f>
        <v>0</v>
      </c>
      <c r="Q45" s="93">
        <f>'Restating Adj'!Q45+'Pro Forma Adj'!Q45</f>
        <v>0</v>
      </c>
      <c r="R45" s="30">
        <f>'Restating Adj'!R45+'Pro Forma Adj'!R45</f>
        <v>0</v>
      </c>
      <c r="S45" s="90">
        <f>'Restating Adj'!S45+'Pro Forma Adj'!S45</f>
        <v>0</v>
      </c>
      <c r="T45" s="90">
        <f>'Restating Adj'!T45+'Pro Forma Adj'!T45</f>
        <v>0</v>
      </c>
      <c r="U45" s="90">
        <f>'Restating Adj'!U45+'Pro Forma Adj'!U45</f>
        <v>0</v>
      </c>
      <c r="V45" s="90">
        <f>'Restating Adj'!V45+'Pro Forma Adj'!V45</f>
        <v>0</v>
      </c>
      <c r="W45" s="90">
        <f>'Restating Adj'!W45+'Pro Forma Adj'!W45</f>
        <v>0</v>
      </c>
      <c r="X45" s="91">
        <f>'Restating Adj'!X45+'Pro Forma Adj'!X45</f>
        <v>0</v>
      </c>
      <c r="Y45" s="30">
        <f>'Restating Adj'!Y45+'Pro Forma Adj'!Y45</f>
        <v>0</v>
      </c>
      <c r="Z45" s="90">
        <f>'Restating Adj'!Z45+'Pro Forma Adj'!Z45</f>
        <v>0</v>
      </c>
      <c r="AA45" s="90">
        <f>'Restating Adj'!AA45+'Pro Forma Adj'!AA45</f>
        <v>0</v>
      </c>
      <c r="AB45" s="90">
        <f>'Restating Adj'!AB45+'Pro Forma Adj'!AB45</f>
        <v>0</v>
      </c>
      <c r="AC45" s="91">
        <f>'Restating Adj'!AC45+'Pro Forma Adj'!AC45</f>
        <v>0</v>
      </c>
      <c r="AD45" s="31">
        <f>'Restating Adj'!AD45+'Pro Forma Adj'!AD45</f>
        <v>0</v>
      </c>
      <c r="AE45" s="93">
        <f>'Restating Adj'!AE45+'Pro Forma Adj'!AE45</f>
        <v>0</v>
      </c>
      <c r="AF45" s="31">
        <f>'Restating Adj'!AF45+'Pro Forma Adj'!AF45</f>
        <v>0</v>
      </c>
      <c r="AG45" s="92">
        <f>'Restating Adj'!AG45+'Pro Forma Adj'!AG45</f>
        <v>0</v>
      </c>
      <c r="AH45" s="31">
        <f>'Restating Adj'!AH45+'Pro Forma Adj'!AH45</f>
        <v>0</v>
      </c>
      <c r="AI45" s="92">
        <f>'Restating Adj'!AI45+'Pro Forma Adj'!AI45</f>
        <v>0</v>
      </c>
      <c r="AJ45" s="92">
        <f>'Restating Adj'!AJ45+'Pro Forma Adj'!AJ45</f>
        <v>0</v>
      </c>
      <c r="AK45" s="93">
        <f>'Restating Adj'!AK45+'Pro Forma Adj'!AK45</f>
        <v>0</v>
      </c>
      <c r="AL45" s="31">
        <f>'Restating Adj'!AL45+'Pro Forma Adj'!AL45</f>
        <v>0</v>
      </c>
      <c r="AM45" s="92">
        <f>'Restating Adj'!AM45+'Pro Forma Adj'!AM45</f>
        <v>0</v>
      </c>
      <c r="AN45" s="92">
        <f>'Restating Adj'!AN45+'Pro Forma Adj'!AN45</f>
        <v>0</v>
      </c>
      <c r="AO45" s="92">
        <f>'Restating Adj'!AO45+'Pro Forma Adj'!AO45</f>
        <v>0</v>
      </c>
      <c r="AP45" s="92">
        <f>'Restating Adj'!AP45+'Pro Forma Adj'!AP45</f>
        <v>0</v>
      </c>
      <c r="AQ45" s="93">
        <f>'Restating Adj'!AQ45+'Pro Forma Adj'!AQ45</f>
        <v>0</v>
      </c>
      <c r="AR45" s="92">
        <f>'Restating Adj'!AR45+'Pro Forma Adj'!AR45</f>
        <v>0</v>
      </c>
      <c r="AS45" s="31">
        <f>'Restating Adj'!AS45+'Pro Forma Adj'!AS45</f>
        <v>0</v>
      </c>
      <c r="AT45" s="92">
        <f>'Restating Adj'!AT45+'Pro Forma Adj'!AT45</f>
        <v>0</v>
      </c>
      <c r="AU45" s="92">
        <f>'Restating Adj'!AU45+'Pro Forma Adj'!AU45</f>
        <v>0</v>
      </c>
      <c r="AV45" s="92">
        <f>'Restating Adj'!AV45+'Pro Forma Adj'!AV45</f>
        <v>0</v>
      </c>
      <c r="AW45" s="92">
        <f>'Restating Adj'!AW45+'Pro Forma Adj'!AW45</f>
        <v>0</v>
      </c>
      <c r="AX45" s="92">
        <f>'Restating Adj'!AX45+'Pro Forma Adj'!AX45</f>
        <v>0</v>
      </c>
      <c r="AY45" s="31">
        <f>'Restating Adj'!AY45+'Pro Forma Adj'!AY45</f>
        <v>0</v>
      </c>
      <c r="AZ45" s="92">
        <f>'Restating Adj'!AZ45+'Pro Forma Adj'!AZ45</f>
        <v>0</v>
      </c>
      <c r="BA45" s="92">
        <f>'Restating Adj'!BA45+'Pro Forma Adj'!BA45</f>
        <v>0</v>
      </c>
      <c r="BB45" s="31">
        <f>'Restating Adj'!BB45+'Pro Forma Adj'!BB45</f>
        <v>98976.422746625845</v>
      </c>
      <c r="BC45" s="90">
        <f>'Restating Adj'!BC45+'Pro Forma Adj'!BC45</f>
        <v>130636.84776425855</v>
      </c>
      <c r="BD45" s="90">
        <f>'Restating Adj'!BD45+'Pro Forma Adj'!BD45</f>
        <v>0</v>
      </c>
      <c r="BE45" s="90">
        <f>'Restating Adj'!BE45+'Pro Forma Adj'!BE45</f>
        <v>0</v>
      </c>
      <c r="BF45" s="30">
        <f>'Restating Adj'!BF45+'Pro Forma Adj'!BF45</f>
        <v>0</v>
      </c>
      <c r="BG45" s="90">
        <f>'Restating Adj'!BG45+'Pro Forma Adj'!BG45</f>
        <v>0</v>
      </c>
      <c r="BH45" s="12">
        <f>'Restating Adj'!BH45+'Pro Forma Adj'!BH45</f>
        <v>-5698347.8147794101</v>
      </c>
      <c r="BI45" s="90">
        <f>'Restating Adj'!BI45+'Pro Forma Adj'!BI45</f>
        <v>-202651.71009212057</v>
      </c>
      <c r="BJ45" s="92">
        <f>'Restating Adj'!BJ45+'Pro Forma Adj'!BJ45</f>
        <v>0</v>
      </c>
      <c r="BK45" s="92">
        <f>'Restating Adj'!BK45+'Pro Forma Adj'!BK45</f>
        <v>0</v>
      </c>
      <c r="BL45" s="92">
        <f>'Restating Adj'!BL45+'Pro Forma Adj'!BL45</f>
        <v>0</v>
      </c>
      <c r="BM45" s="92">
        <f>'Restating Adj'!BM45+'Pro Forma Adj'!BM45</f>
        <v>0</v>
      </c>
      <c r="BN45" s="31">
        <f>'Restating Adj'!BN45+'Pro Forma Adj'!BN45</f>
        <v>0</v>
      </c>
      <c r="BO45" s="92">
        <f>'Restating Adj'!BO45+'Pro Forma Adj'!BO45</f>
        <v>0</v>
      </c>
      <c r="BP45" s="92">
        <f>'Restating Adj'!BP45+'Pro Forma Adj'!BP45</f>
        <v>0</v>
      </c>
      <c r="BQ45" s="92">
        <f>'Restating Adj'!BQ45+'Pro Forma Adj'!BQ45</f>
        <v>0</v>
      </c>
      <c r="BR45" s="92">
        <f>'Restating Adj'!BR45+'Pro Forma Adj'!BR45</f>
        <v>0</v>
      </c>
      <c r="BS45" s="92">
        <f>'Restating Adj'!BS45+'Pro Forma Adj'!BS45</f>
        <v>0</v>
      </c>
      <c r="BT45" s="92">
        <f>'Restating Adj'!BT45+'Pro Forma Adj'!BT45</f>
        <v>0</v>
      </c>
      <c r="BU45" s="92">
        <f>'Restating Adj'!BU45+'Pro Forma Adj'!BU45</f>
        <v>0</v>
      </c>
      <c r="BV45" s="299">
        <f>'Restating Adj'!BV45+'Pro Forma Adj'!BV45</f>
        <v>0</v>
      </c>
      <c r="BW45" s="31">
        <f>'Restating Adj'!BW45+'Pro Forma Adj'!BW45</f>
        <v>0</v>
      </c>
      <c r="BX45" s="93">
        <f>'Restating Adj'!BX45+'Pro Forma Adj'!BX45</f>
        <v>0</v>
      </c>
      <c r="BY45" s="15"/>
    </row>
    <row r="46" spans="1:77" x14ac:dyDescent="0.2">
      <c r="A46" s="14" t="s">
        <v>81</v>
      </c>
      <c r="B46" s="100">
        <f t="shared" si="38"/>
        <v>0</v>
      </c>
      <c r="C46" s="31">
        <f>'Restating Adj'!C46+'Pro Forma Adj'!C46</f>
        <v>0</v>
      </c>
      <c r="D46" s="92">
        <f>'Restating Adj'!D46+'Pro Forma Adj'!D46</f>
        <v>0</v>
      </c>
      <c r="E46" s="92">
        <f>'Restating Adj'!E46+'Pro Forma Adj'!E46</f>
        <v>0</v>
      </c>
      <c r="F46" s="92">
        <f>'Restating Adj'!F46+'Pro Forma Adj'!F46</f>
        <v>0</v>
      </c>
      <c r="G46" s="92">
        <f>'Restating Adj'!G46+'Pro Forma Adj'!G46</f>
        <v>0</v>
      </c>
      <c r="H46" s="90">
        <f>'Restating Adj'!H46+'Pro Forma Adj'!H46</f>
        <v>0</v>
      </c>
      <c r="I46" s="91">
        <f>'Restating Adj'!I46+'Pro Forma Adj'!I46</f>
        <v>0</v>
      </c>
      <c r="J46" s="30">
        <f>'Restating Adj'!J46+'Pro Forma Adj'!J46</f>
        <v>0</v>
      </c>
      <c r="K46" s="91">
        <f>'Restating Adj'!K46+'Pro Forma Adj'!K46</f>
        <v>0</v>
      </c>
      <c r="L46" s="31">
        <f>'Restating Adj'!L46+'Pro Forma Adj'!L46</f>
        <v>0</v>
      </c>
      <c r="M46" s="92">
        <f>'Restating Adj'!M46+'Pro Forma Adj'!M46</f>
        <v>0</v>
      </c>
      <c r="N46" s="92">
        <f>'Restating Adj'!N46+'Pro Forma Adj'!N46</f>
        <v>0</v>
      </c>
      <c r="O46" s="92">
        <f>'Restating Adj'!O46+'Pro Forma Adj'!O46</f>
        <v>0</v>
      </c>
      <c r="P46" s="92">
        <f>'Restating Adj'!P46+'Pro Forma Adj'!P46</f>
        <v>0</v>
      </c>
      <c r="Q46" s="93">
        <f>'Restating Adj'!Q46+'Pro Forma Adj'!Q46</f>
        <v>0</v>
      </c>
      <c r="R46" s="30">
        <f>'Restating Adj'!R46+'Pro Forma Adj'!R46</f>
        <v>0</v>
      </c>
      <c r="S46" s="90">
        <f>'Restating Adj'!S46+'Pro Forma Adj'!S46</f>
        <v>0</v>
      </c>
      <c r="T46" s="90">
        <f>'Restating Adj'!T46+'Pro Forma Adj'!T46</f>
        <v>0</v>
      </c>
      <c r="U46" s="90">
        <f>'Restating Adj'!U46+'Pro Forma Adj'!U46</f>
        <v>0</v>
      </c>
      <c r="V46" s="90">
        <f>'Restating Adj'!V46+'Pro Forma Adj'!V46</f>
        <v>0</v>
      </c>
      <c r="W46" s="90">
        <f>'Restating Adj'!W46+'Pro Forma Adj'!W46</f>
        <v>0</v>
      </c>
      <c r="X46" s="91">
        <f>'Restating Adj'!X46+'Pro Forma Adj'!X46</f>
        <v>0</v>
      </c>
      <c r="Y46" s="30">
        <f>'Restating Adj'!Y46+'Pro Forma Adj'!Y46</f>
        <v>0</v>
      </c>
      <c r="Z46" s="90">
        <f>'Restating Adj'!Z46+'Pro Forma Adj'!Z46</f>
        <v>0</v>
      </c>
      <c r="AA46" s="90">
        <f>'Restating Adj'!AA46+'Pro Forma Adj'!AA46</f>
        <v>0</v>
      </c>
      <c r="AB46" s="90">
        <f>'Restating Adj'!AB46+'Pro Forma Adj'!AB46</f>
        <v>0</v>
      </c>
      <c r="AC46" s="91">
        <f>'Restating Adj'!AC46+'Pro Forma Adj'!AC46</f>
        <v>0</v>
      </c>
      <c r="AD46" s="31">
        <f>'Restating Adj'!AD46+'Pro Forma Adj'!AD46</f>
        <v>0</v>
      </c>
      <c r="AE46" s="93">
        <f>'Restating Adj'!AE46+'Pro Forma Adj'!AE46</f>
        <v>0</v>
      </c>
      <c r="AF46" s="31">
        <f>'Restating Adj'!AF46+'Pro Forma Adj'!AF46</f>
        <v>0</v>
      </c>
      <c r="AG46" s="92">
        <f>'Restating Adj'!AG46+'Pro Forma Adj'!AG46</f>
        <v>0</v>
      </c>
      <c r="AH46" s="31">
        <f>'Restating Adj'!AH46+'Pro Forma Adj'!AH46</f>
        <v>0</v>
      </c>
      <c r="AI46" s="92">
        <f>'Restating Adj'!AI46+'Pro Forma Adj'!AI46</f>
        <v>0</v>
      </c>
      <c r="AJ46" s="92">
        <f>'Restating Adj'!AJ46+'Pro Forma Adj'!AJ46</f>
        <v>0</v>
      </c>
      <c r="AK46" s="93">
        <f>'Restating Adj'!AK46+'Pro Forma Adj'!AK46</f>
        <v>0</v>
      </c>
      <c r="AL46" s="31">
        <f>'Restating Adj'!AL46+'Pro Forma Adj'!AL46</f>
        <v>0</v>
      </c>
      <c r="AM46" s="92">
        <f>'Restating Adj'!AM46+'Pro Forma Adj'!AM46</f>
        <v>0</v>
      </c>
      <c r="AN46" s="92">
        <f>'Restating Adj'!AN46+'Pro Forma Adj'!AN46</f>
        <v>0</v>
      </c>
      <c r="AO46" s="92">
        <f>'Restating Adj'!AO46+'Pro Forma Adj'!AO46</f>
        <v>0</v>
      </c>
      <c r="AP46" s="92">
        <f>'Restating Adj'!AP46+'Pro Forma Adj'!AP46</f>
        <v>0</v>
      </c>
      <c r="AQ46" s="93">
        <f>'Restating Adj'!AQ46+'Pro Forma Adj'!AQ46</f>
        <v>0</v>
      </c>
      <c r="AR46" s="92">
        <f>'Restating Adj'!AR46+'Pro Forma Adj'!AR46</f>
        <v>0</v>
      </c>
      <c r="AS46" s="31">
        <f>'Restating Adj'!AS46+'Pro Forma Adj'!AS46</f>
        <v>0</v>
      </c>
      <c r="AT46" s="92">
        <f>'Restating Adj'!AT46+'Pro Forma Adj'!AT46</f>
        <v>0</v>
      </c>
      <c r="AU46" s="92">
        <f>'Restating Adj'!AU46+'Pro Forma Adj'!AU46</f>
        <v>0</v>
      </c>
      <c r="AV46" s="92">
        <f>'Restating Adj'!AV46+'Pro Forma Adj'!AV46</f>
        <v>0</v>
      </c>
      <c r="AW46" s="92">
        <f>'Restating Adj'!AW46+'Pro Forma Adj'!AW46</f>
        <v>0</v>
      </c>
      <c r="AX46" s="92">
        <f>'Restating Adj'!AX46+'Pro Forma Adj'!AX46</f>
        <v>0</v>
      </c>
      <c r="AY46" s="31">
        <f>'Restating Adj'!AY46+'Pro Forma Adj'!AY46</f>
        <v>0</v>
      </c>
      <c r="AZ46" s="92">
        <f>'Restating Adj'!AZ46+'Pro Forma Adj'!AZ46</f>
        <v>0</v>
      </c>
      <c r="BA46" s="92">
        <f>'Restating Adj'!BA46+'Pro Forma Adj'!BA46</f>
        <v>0</v>
      </c>
      <c r="BB46" s="31">
        <f>'Restating Adj'!BB46+'Pro Forma Adj'!BB46</f>
        <v>0</v>
      </c>
      <c r="BC46" s="90">
        <f>'Restating Adj'!BC46+'Pro Forma Adj'!BC46</f>
        <v>0</v>
      </c>
      <c r="BD46" s="90">
        <f>'Restating Adj'!BD46+'Pro Forma Adj'!BD46</f>
        <v>0</v>
      </c>
      <c r="BE46" s="90">
        <f>'Restating Adj'!BE46+'Pro Forma Adj'!BE46</f>
        <v>0</v>
      </c>
      <c r="BF46" s="30">
        <f>'Restating Adj'!BF46+'Pro Forma Adj'!BF46</f>
        <v>0</v>
      </c>
      <c r="BG46" s="90">
        <f>'Restating Adj'!BG46+'Pro Forma Adj'!BG46</f>
        <v>0</v>
      </c>
      <c r="BH46" s="12">
        <f>'Restating Adj'!BH46+'Pro Forma Adj'!BH46</f>
        <v>0</v>
      </c>
      <c r="BI46" s="90">
        <f>'Restating Adj'!BI46+'Pro Forma Adj'!BI46</f>
        <v>0</v>
      </c>
      <c r="BJ46" s="92">
        <f>'Restating Adj'!BJ46+'Pro Forma Adj'!BJ46</f>
        <v>0</v>
      </c>
      <c r="BK46" s="92">
        <f>'Restating Adj'!BK46+'Pro Forma Adj'!BK46</f>
        <v>0</v>
      </c>
      <c r="BL46" s="92">
        <f>'Restating Adj'!BL46+'Pro Forma Adj'!BL46</f>
        <v>0</v>
      </c>
      <c r="BM46" s="92">
        <f>'Restating Adj'!BM46+'Pro Forma Adj'!BM46</f>
        <v>0</v>
      </c>
      <c r="BN46" s="31">
        <f>'Restating Adj'!BN46+'Pro Forma Adj'!BN46</f>
        <v>0</v>
      </c>
      <c r="BO46" s="92">
        <f>'Restating Adj'!BO46+'Pro Forma Adj'!BO46</f>
        <v>0</v>
      </c>
      <c r="BP46" s="92">
        <f>'Restating Adj'!BP46+'Pro Forma Adj'!BP46</f>
        <v>0</v>
      </c>
      <c r="BQ46" s="92">
        <f>'Restating Adj'!BQ46+'Pro Forma Adj'!BQ46</f>
        <v>0</v>
      </c>
      <c r="BR46" s="92">
        <f>'Restating Adj'!BR46+'Pro Forma Adj'!BR46</f>
        <v>0</v>
      </c>
      <c r="BS46" s="92">
        <f>'Restating Adj'!BS46+'Pro Forma Adj'!BS46</f>
        <v>0</v>
      </c>
      <c r="BT46" s="92">
        <f>'Restating Adj'!BT46+'Pro Forma Adj'!BT46</f>
        <v>0</v>
      </c>
      <c r="BU46" s="92">
        <f>'Restating Adj'!BU46+'Pro Forma Adj'!BU46</f>
        <v>0</v>
      </c>
      <c r="BV46" s="299">
        <f>'Restating Adj'!BV46+'Pro Forma Adj'!BV46</f>
        <v>0</v>
      </c>
      <c r="BW46" s="31">
        <f>'Restating Adj'!BW46+'Pro Forma Adj'!BW46</f>
        <v>0</v>
      </c>
      <c r="BX46" s="93">
        <f>'Restating Adj'!BX46+'Pro Forma Adj'!BX46</f>
        <v>0</v>
      </c>
      <c r="BY46" s="15"/>
    </row>
    <row r="47" spans="1:77" x14ac:dyDescent="0.2">
      <c r="A47" s="14" t="s">
        <v>82</v>
      </c>
      <c r="B47" s="100">
        <f t="shared" si="38"/>
        <v>0</v>
      </c>
      <c r="C47" s="31">
        <f>'Restating Adj'!C47+'Pro Forma Adj'!C47</f>
        <v>0</v>
      </c>
      <c r="D47" s="92">
        <f>'Restating Adj'!D47+'Pro Forma Adj'!D47</f>
        <v>0</v>
      </c>
      <c r="E47" s="92">
        <f>'Restating Adj'!E47+'Pro Forma Adj'!E47</f>
        <v>0</v>
      </c>
      <c r="F47" s="92">
        <f>'Restating Adj'!F47+'Pro Forma Adj'!F47</f>
        <v>0</v>
      </c>
      <c r="G47" s="92">
        <f>'Restating Adj'!G47+'Pro Forma Adj'!G47</f>
        <v>0</v>
      </c>
      <c r="H47" s="90">
        <f>'Restating Adj'!H47+'Pro Forma Adj'!H47</f>
        <v>0</v>
      </c>
      <c r="I47" s="91">
        <f>'Restating Adj'!I47+'Pro Forma Adj'!I47</f>
        <v>0</v>
      </c>
      <c r="J47" s="30">
        <f>'Restating Adj'!J47+'Pro Forma Adj'!J47</f>
        <v>0</v>
      </c>
      <c r="K47" s="91">
        <f>'Restating Adj'!K47+'Pro Forma Adj'!K47</f>
        <v>0</v>
      </c>
      <c r="L47" s="31">
        <f>'Restating Adj'!L47+'Pro Forma Adj'!L47</f>
        <v>0</v>
      </c>
      <c r="M47" s="92">
        <f>'Restating Adj'!M47+'Pro Forma Adj'!M47</f>
        <v>0</v>
      </c>
      <c r="N47" s="92">
        <f>'Restating Adj'!N47+'Pro Forma Adj'!N47</f>
        <v>0</v>
      </c>
      <c r="O47" s="92">
        <f>'Restating Adj'!O47+'Pro Forma Adj'!O47</f>
        <v>0</v>
      </c>
      <c r="P47" s="92">
        <f>'Restating Adj'!P47+'Pro Forma Adj'!P47</f>
        <v>0</v>
      </c>
      <c r="Q47" s="93">
        <f>'Restating Adj'!Q47+'Pro Forma Adj'!Q47</f>
        <v>0</v>
      </c>
      <c r="R47" s="30">
        <f>'Restating Adj'!R47+'Pro Forma Adj'!R47</f>
        <v>0</v>
      </c>
      <c r="S47" s="90">
        <f>'Restating Adj'!S47+'Pro Forma Adj'!S47</f>
        <v>0</v>
      </c>
      <c r="T47" s="90">
        <f>'Restating Adj'!T47+'Pro Forma Adj'!T47</f>
        <v>0</v>
      </c>
      <c r="U47" s="90">
        <f>'Restating Adj'!U47+'Pro Forma Adj'!U47</f>
        <v>0</v>
      </c>
      <c r="V47" s="90">
        <f>'Restating Adj'!V47+'Pro Forma Adj'!V47</f>
        <v>0</v>
      </c>
      <c r="W47" s="90">
        <f>'Restating Adj'!W47+'Pro Forma Adj'!W47</f>
        <v>0</v>
      </c>
      <c r="X47" s="91">
        <f>'Restating Adj'!X47+'Pro Forma Adj'!X47</f>
        <v>0</v>
      </c>
      <c r="Y47" s="30">
        <f>'Restating Adj'!Y47+'Pro Forma Adj'!Y47</f>
        <v>0</v>
      </c>
      <c r="Z47" s="90">
        <f>'Restating Adj'!Z47+'Pro Forma Adj'!Z47</f>
        <v>0</v>
      </c>
      <c r="AA47" s="90">
        <f>'Restating Adj'!AA47+'Pro Forma Adj'!AA47</f>
        <v>0</v>
      </c>
      <c r="AB47" s="90">
        <f>'Restating Adj'!AB47+'Pro Forma Adj'!AB47</f>
        <v>0</v>
      </c>
      <c r="AC47" s="91">
        <f>'Restating Adj'!AC47+'Pro Forma Adj'!AC47</f>
        <v>0</v>
      </c>
      <c r="AD47" s="31">
        <f>'Restating Adj'!AD47+'Pro Forma Adj'!AD47</f>
        <v>0</v>
      </c>
      <c r="AE47" s="93">
        <f>'Restating Adj'!AE47+'Pro Forma Adj'!AE47</f>
        <v>0</v>
      </c>
      <c r="AF47" s="31">
        <f>'Restating Adj'!AF47+'Pro Forma Adj'!AF47</f>
        <v>0</v>
      </c>
      <c r="AG47" s="92">
        <f>'Restating Adj'!AG47+'Pro Forma Adj'!AG47</f>
        <v>0</v>
      </c>
      <c r="AH47" s="31">
        <f>'Restating Adj'!AH47+'Pro Forma Adj'!AH47</f>
        <v>0</v>
      </c>
      <c r="AI47" s="92">
        <f>'Restating Adj'!AI47+'Pro Forma Adj'!AI47</f>
        <v>0</v>
      </c>
      <c r="AJ47" s="92">
        <f>'Restating Adj'!AJ47+'Pro Forma Adj'!AJ47</f>
        <v>0</v>
      </c>
      <c r="AK47" s="93">
        <f>'Restating Adj'!AK47+'Pro Forma Adj'!AK47</f>
        <v>0</v>
      </c>
      <c r="AL47" s="31">
        <f>'Restating Adj'!AL47+'Pro Forma Adj'!AL47</f>
        <v>0</v>
      </c>
      <c r="AM47" s="92">
        <f>'Restating Adj'!AM47+'Pro Forma Adj'!AM47</f>
        <v>0</v>
      </c>
      <c r="AN47" s="92">
        <f>'Restating Adj'!AN47+'Pro Forma Adj'!AN47</f>
        <v>0</v>
      </c>
      <c r="AO47" s="92">
        <f>'Restating Adj'!AO47+'Pro Forma Adj'!AO47</f>
        <v>0</v>
      </c>
      <c r="AP47" s="92">
        <f>'Restating Adj'!AP47+'Pro Forma Adj'!AP47</f>
        <v>0</v>
      </c>
      <c r="AQ47" s="93">
        <f>'Restating Adj'!AQ47+'Pro Forma Adj'!AQ47</f>
        <v>0</v>
      </c>
      <c r="AR47" s="92">
        <f>'Restating Adj'!AR47+'Pro Forma Adj'!AR47</f>
        <v>0</v>
      </c>
      <c r="AS47" s="31">
        <f>'Restating Adj'!AS47+'Pro Forma Adj'!AS47</f>
        <v>0</v>
      </c>
      <c r="AT47" s="92">
        <f>'Restating Adj'!AT47+'Pro Forma Adj'!AT47</f>
        <v>0</v>
      </c>
      <c r="AU47" s="92">
        <f>'Restating Adj'!AU47+'Pro Forma Adj'!AU47</f>
        <v>0</v>
      </c>
      <c r="AV47" s="92">
        <f>'Restating Adj'!AV47+'Pro Forma Adj'!AV47</f>
        <v>0</v>
      </c>
      <c r="AW47" s="92">
        <f>'Restating Adj'!AW47+'Pro Forma Adj'!AW47</f>
        <v>0</v>
      </c>
      <c r="AX47" s="92">
        <f>'Restating Adj'!AX47+'Pro Forma Adj'!AX47</f>
        <v>0</v>
      </c>
      <c r="AY47" s="31">
        <f>'Restating Adj'!AY47+'Pro Forma Adj'!AY47</f>
        <v>0</v>
      </c>
      <c r="AZ47" s="92">
        <f>'Restating Adj'!AZ47+'Pro Forma Adj'!AZ47</f>
        <v>0</v>
      </c>
      <c r="BA47" s="92">
        <f>'Restating Adj'!BA47+'Pro Forma Adj'!BA47</f>
        <v>0</v>
      </c>
      <c r="BB47" s="31">
        <f>'Restating Adj'!BB47+'Pro Forma Adj'!BB47</f>
        <v>0</v>
      </c>
      <c r="BC47" s="90">
        <f>'Restating Adj'!BC47+'Pro Forma Adj'!BC47</f>
        <v>0</v>
      </c>
      <c r="BD47" s="90">
        <f>'Restating Adj'!BD47+'Pro Forma Adj'!BD47</f>
        <v>0</v>
      </c>
      <c r="BE47" s="90">
        <f>'Restating Adj'!BE47+'Pro Forma Adj'!BE47</f>
        <v>0</v>
      </c>
      <c r="BF47" s="30">
        <f>'Restating Adj'!BF47+'Pro Forma Adj'!BF47</f>
        <v>0</v>
      </c>
      <c r="BG47" s="90">
        <f>'Restating Adj'!BG47+'Pro Forma Adj'!BG47</f>
        <v>0</v>
      </c>
      <c r="BH47" s="12">
        <f>'Restating Adj'!BH47+'Pro Forma Adj'!BH47</f>
        <v>0</v>
      </c>
      <c r="BI47" s="90">
        <f>'Restating Adj'!BI47+'Pro Forma Adj'!BI47</f>
        <v>0</v>
      </c>
      <c r="BJ47" s="92">
        <f>'Restating Adj'!BJ47+'Pro Forma Adj'!BJ47</f>
        <v>0</v>
      </c>
      <c r="BK47" s="92">
        <f>'Restating Adj'!BK47+'Pro Forma Adj'!BK47</f>
        <v>0</v>
      </c>
      <c r="BL47" s="92">
        <f>'Restating Adj'!BL47+'Pro Forma Adj'!BL47</f>
        <v>0</v>
      </c>
      <c r="BM47" s="92">
        <f>'Restating Adj'!BM47+'Pro Forma Adj'!BM47</f>
        <v>0</v>
      </c>
      <c r="BN47" s="31">
        <f>'Restating Adj'!BN47+'Pro Forma Adj'!BN47</f>
        <v>0</v>
      </c>
      <c r="BO47" s="92">
        <f>'Restating Adj'!BO47+'Pro Forma Adj'!BO47</f>
        <v>0</v>
      </c>
      <c r="BP47" s="92">
        <f>'Restating Adj'!BP47+'Pro Forma Adj'!BP47</f>
        <v>0</v>
      </c>
      <c r="BQ47" s="92">
        <f>'Restating Adj'!BQ47+'Pro Forma Adj'!BQ47</f>
        <v>0</v>
      </c>
      <c r="BR47" s="92">
        <f>'Restating Adj'!BR47+'Pro Forma Adj'!BR47</f>
        <v>0</v>
      </c>
      <c r="BS47" s="92">
        <f>'Restating Adj'!BS47+'Pro Forma Adj'!BS47</f>
        <v>0</v>
      </c>
      <c r="BT47" s="92">
        <f>'Restating Adj'!BT47+'Pro Forma Adj'!BT47</f>
        <v>0</v>
      </c>
      <c r="BU47" s="92">
        <f>'Restating Adj'!BU47+'Pro Forma Adj'!BU47</f>
        <v>0</v>
      </c>
      <c r="BV47" s="299">
        <f>'Restating Adj'!BV47+'Pro Forma Adj'!BV47</f>
        <v>0</v>
      </c>
      <c r="BW47" s="31">
        <f>'Restating Adj'!BW47+'Pro Forma Adj'!BW47</f>
        <v>0</v>
      </c>
      <c r="BX47" s="93">
        <f>'Restating Adj'!BX47+'Pro Forma Adj'!BX47</f>
        <v>0</v>
      </c>
      <c r="BY47" s="15"/>
    </row>
    <row r="48" spans="1:77" x14ac:dyDescent="0.2">
      <c r="A48" s="14" t="s">
        <v>83</v>
      </c>
      <c r="B48" s="100">
        <f t="shared" si="38"/>
        <v>-1743278.7185106392</v>
      </c>
      <c r="C48" s="31">
        <f>'Restating Adj'!C48+'Pro Forma Adj'!C48</f>
        <v>0</v>
      </c>
      <c r="D48" s="92">
        <f>'Restating Adj'!D48+'Pro Forma Adj'!D48</f>
        <v>0</v>
      </c>
      <c r="E48" s="92">
        <f>'Restating Adj'!E48+'Pro Forma Adj'!E48</f>
        <v>0</v>
      </c>
      <c r="F48" s="92">
        <f>'Restating Adj'!F48+'Pro Forma Adj'!F48</f>
        <v>0</v>
      </c>
      <c r="G48" s="92">
        <f>'Restating Adj'!G48+'Pro Forma Adj'!G48</f>
        <v>0</v>
      </c>
      <c r="H48" s="90">
        <f>'Restating Adj'!H48+'Pro Forma Adj'!H48</f>
        <v>0</v>
      </c>
      <c r="I48" s="91">
        <f>'Restating Adj'!I48+'Pro Forma Adj'!I48</f>
        <v>0</v>
      </c>
      <c r="J48" s="30">
        <f>'Restating Adj'!J48+'Pro Forma Adj'!J48</f>
        <v>0</v>
      </c>
      <c r="K48" s="91">
        <f>'Restating Adj'!K48+'Pro Forma Adj'!K48</f>
        <v>0</v>
      </c>
      <c r="L48" s="31">
        <f>'Restating Adj'!L48+'Pro Forma Adj'!L48</f>
        <v>0</v>
      </c>
      <c r="M48" s="92">
        <f>'Restating Adj'!M48+'Pro Forma Adj'!M48</f>
        <v>0</v>
      </c>
      <c r="N48" s="92">
        <f>'Restating Adj'!N48+'Pro Forma Adj'!N48</f>
        <v>0</v>
      </c>
      <c r="O48" s="92">
        <f>'Restating Adj'!O48+'Pro Forma Adj'!O48</f>
        <v>0</v>
      </c>
      <c r="P48" s="92">
        <f>'Restating Adj'!P48+'Pro Forma Adj'!P48</f>
        <v>0</v>
      </c>
      <c r="Q48" s="93">
        <f>'Restating Adj'!Q48+'Pro Forma Adj'!Q48</f>
        <v>0</v>
      </c>
      <c r="R48" s="30">
        <f>'Restating Adj'!R48+'Pro Forma Adj'!R48</f>
        <v>0</v>
      </c>
      <c r="S48" s="90">
        <f>'Restating Adj'!S48+'Pro Forma Adj'!S48</f>
        <v>0</v>
      </c>
      <c r="T48" s="90">
        <f>'Restating Adj'!T48+'Pro Forma Adj'!T48</f>
        <v>0</v>
      </c>
      <c r="U48" s="90">
        <f>'Restating Adj'!U48+'Pro Forma Adj'!U48</f>
        <v>0</v>
      </c>
      <c r="V48" s="90">
        <f>'Restating Adj'!V48+'Pro Forma Adj'!V48</f>
        <v>0</v>
      </c>
      <c r="W48" s="90">
        <f>'Restating Adj'!W48+'Pro Forma Adj'!W48</f>
        <v>0</v>
      </c>
      <c r="X48" s="91">
        <f>'Restating Adj'!X48+'Pro Forma Adj'!X48</f>
        <v>0</v>
      </c>
      <c r="Y48" s="30">
        <f>'Restating Adj'!Y48+'Pro Forma Adj'!Y48</f>
        <v>0</v>
      </c>
      <c r="Z48" s="90">
        <f>'Restating Adj'!Z48+'Pro Forma Adj'!Z48</f>
        <v>0</v>
      </c>
      <c r="AA48" s="90">
        <f>'Restating Adj'!AA48+'Pro Forma Adj'!AA48</f>
        <v>0</v>
      </c>
      <c r="AB48" s="90">
        <f>'Restating Adj'!AB48+'Pro Forma Adj'!AB48</f>
        <v>0</v>
      </c>
      <c r="AC48" s="91">
        <f>'Restating Adj'!AC48+'Pro Forma Adj'!AC48</f>
        <v>0</v>
      </c>
      <c r="AD48" s="31">
        <f>'Restating Adj'!AD48+'Pro Forma Adj'!AD48</f>
        <v>0</v>
      </c>
      <c r="AE48" s="93">
        <f>'Restating Adj'!AE48+'Pro Forma Adj'!AE48</f>
        <v>0</v>
      </c>
      <c r="AF48" s="31">
        <f>'Restating Adj'!AF48+'Pro Forma Adj'!AF48</f>
        <v>0</v>
      </c>
      <c r="AG48" s="92">
        <f>'Restating Adj'!AG48+'Pro Forma Adj'!AG48</f>
        <v>0</v>
      </c>
      <c r="AH48" s="31">
        <f>'Restating Adj'!AH48+'Pro Forma Adj'!AH48</f>
        <v>0</v>
      </c>
      <c r="AI48" s="92">
        <f>'Restating Adj'!AI48+'Pro Forma Adj'!AI48</f>
        <v>0</v>
      </c>
      <c r="AJ48" s="92">
        <f>'Restating Adj'!AJ48+'Pro Forma Adj'!AJ48</f>
        <v>0</v>
      </c>
      <c r="AK48" s="93">
        <f>'Restating Adj'!AK48+'Pro Forma Adj'!AK48</f>
        <v>0</v>
      </c>
      <c r="AL48" s="31">
        <f>'Restating Adj'!AL48+'Pro Forma Adj'!AL48</f>
        <v>0</v>
      </c>
      <c r="AM48" s="92">
        <f>'Restating Adj'!AM48+'Pro Forma Adj'!AM48</f>
        <v>0</v>
      </c>
      <c r="AN48" s="92">
        <f>'Restating Adj'!AN48+'Pro Forma Adj'!AN48</f>
        <v>0</v>
      </c>
      <c r="AO48" s="92">
        <f>'Restating Adj'!AO48+'Pro Forma Adj'!AO48</f>
        <v>0</v>
      </c>
      <c r="AP48" s="92">
        <f>'Restating Adj'!AP48+'Pro Forma Adj'!AP48</f>
        <v>0</v>
      </c>
      <c r="AQ48" s="93">
        <f>'Restating Adj'!AQ48+'Pro Forma Adj'!AQ48</f>
        <v>0</v>
      </c>
      <c r="AR48" s="92">
        <f>'Restating Adj'!AR48+'Pro Forma Adj'!AR48</f>
        <v>0</v>
      </c>
      <c r="AS48" s="31">
        <f>'Restating Adj'!AS48+'Pro Forma Adj'!AS48</f>
        <v>0</v>
      </c>
      <c r="AT48" s="92">
        <f>'Restating Adj'!AT48+'Pro Forma Adj'!AT48</f>
        <v>0</v>
      </c>
      <c r="AU48" s="92">
        <f>'Restating Adj'!AU48+'Pro Forma Adj'!AU48</f>
        <v>0</v>
      </c>
      <c r="AV48" s="92">
        <f>'Restating Adj'!AV48+'Pro Forma Adj'!AV48</f>
        <v>0</v>
      </c>
      <c r="AW48" s="92">
        <f>'Restating Adj'!AW48+'Pro Forma Adj'!AW48</f>
        <v>0</v>
      </c>
      <c r="AX48" s="92">
        <f>'Restating Adj'!AX48+'Pro Forma Adj'!AX48</f>
        <v>0</v>
      </c>
      <c r="AY48" s="31">
        <f>'Restating Adj'!AY48+'Pro Forma Adj'!AY48</f>
        <v>0</v>
      </c>
      <c r="AZ48" s="92">
        <f>'Restating Adj'!AZ48+'Pro Forma Adj'!AZ48</f>
        <v>0</v>
      </c>
      <c r="BA48" s="92">
        <f>'Restating Adj'!BA48+'Pro Forma Adj'!BA48</f>
        <v>0</v>
      </c>
      <c r="BB48" s="31">
        <f>'Restating Adj'!BB48+'Pro Forma Adj'!BB48</f>
        <v>0</v>
      </c>
      <c r="BC48" s="90">
        <f>'Restating Adj'!BC48+'Pro Forma Adj'!BC48</f>
        <v>0</v>
      </c>
      <c r="BD48" s="90">
        <f>'Restating Adj'!BD48+'Pro Forma Adj'!BD48</f>
        <v>0</v>
      </c>
      <c r="BE48" s="90">
        <f>'Restating Adj'!BE48+'Pro Forma Adj'!BE48</f>
        <v>0</v>
      </c>
      <c r="BF48" s="30">
        <f>'Restating Adj'!BF48+'Pro Forma Adj'!BF48</f>
        <v>0</v>
      </c>
      <c r="BG48" s="90">
        <f>'Restating Adj'!BG48+'Pro Forma Adj'!BG48</f>
        <v>-1541203.4693454588</v>
      </c>
      <c r="BH48" s="12">
        <f>'Restating Adj'!BH48+'Pro Forma Adj'!BH48</f>
        <v>-202075.24916518037</v>
      </c>
      <c r="BI48" s="90">
        <f>'Restating Adj'!BI48+'Pro Forma Adj'!BI48</f>
        <v>0</v>
      </c>
      <c r="BJ48" s="92">
        <f>'Restating Adj'!BJ48+'Pro Forma Adj'!BJ48</f>
        <v>0</v>
      </c>
      <c r="BK48" s="92">
        <f>'Restating Adj'!BK48+'Pro Forma Adj'!BK48</f>
        <v>0</v>
      </c>
      <c r="BL48" s="92">
        <f>'Restating Adj'!BL48+'Pro Forma Adj'!BL48</f>
        <v>0</v>
      </c>
      <c r="BM48" s="92">
        <f>'Restating Adj'!BM48+'Pro Forma Adj'!BM48</f>
        <v>0</v>
      </c>
      <c r="BN48" s="31">
        <f>'Restating Adj'!BN48+'Pro Forma Adj'!BN48</f>
        <v>0</v>
      </c>
      <c r="BO48" s="92">
        <f>'Restating Adj'!BO48+'Pro Forma Adj'!BO48</f>
        <v>0</v>
      </c>
      <c r="BP48" s="92">
        <f>'Restating Adj'!BP48+'Pro Forma Adj'!BP48</f>
        <v>0</v>
      </c>
      <c r="BQ48" s="92">
        <f>'Restating Adj'!BQ48+'Pro Forma Adj'!BQ48</f>
        <v>0</v>
      </c>
      <c r="BR48" s="92">
        <f>'Restating Adj'!BR48+'Pro Forma Adj'!BR48</f>
        <v>0</v>
      </c>
      <c r="BS48" s="92">
        <f>'Restating Adj'!BS48+'Pro Forma Adj'!BS48</f>
        <v>0</v>
      </c>
      <c r="BT48" s="92">
        <f>'Restating Adj'!BT48+'Pro Forma Adj'!BT48</f>
        <v>0</v>
      </c>
      <c r="BU48" s="92">
        <f>'Restating Adj'!BU48+'Pro Forma Adj'!BU48</f>
        <v>0</v>
      </c>
      <c r="BV48" s="299">
        <f>'Restating Adj'!BV48+'Pro Forma Adj'!BV48</f>
        <v>0</v>
      </c>
      <c r="BW48" s="31">
        <f>'Restating Adj'!BW48+'Pro Forma Adj'!BW48</f>
        <v>0</v>
      </c>
      <c r="BX48" s="93">
        <f>'Restating Adj'!BX48+'Pro Forma Adj'!BX48</f>
        <v>0</v>
      </c>
      <c r="BY48" s="15"/>
    </row>
    <row r="49" spans="1:77" x14ac:dyDescent="0.2">
      <c r="A49" s="14" t="s">
        <v>84</v>
      </c>
      <c r="B49" s="100">
        <f t="shared" si="38"/>
        <v>-6914148.5720945681</v>
      </c>
      <c r="C49" s="31">
        <f>'Restating Adj'!C49+'Pro Forma Adj'!C49</f>
        <v>0</v>
      </c>
      <c r="D49" s="92">
        <f>'Restating Adj'!D49+'Pro Forma Adj'!D49</f>
        <v>0</v>
      </c>
      <c r="E49" s="92">
        <f>'Restating Adj'!E49+'Pro Forma Adj'!E49</f>
        <v>0</v>
      </c>
      <c r="F49" s="92">
        <f>'Restating Adj'!F49+'Pro Forma Adj'!F49</f>
        <v>0</v>
      </c>
      <c r="G49" s="92">
        <f>'Restating Adj'!G49+'Pro Forma Adj'!G49</f>
        <v>0</v>
      </c>
      <c r="H49" s="90">
        <f>'Restating Adj'!H49+'Pro Forma Adj'!H49</f>
        <v>0</v>
      </c>
      <c r="I49" s="91">
        <f>'Restating Adj'!I49+'Pro Forma Adj'!I49</f>
        <v>0</v>
      </c>
      <c r="J49" s="30">
        <f>'Restating Adj'!J49+'Pro Forma Adj'!J49</f>
        <v>0</v>
      </c>
      <c r="K49" s="91">
        <f>'Restating Adj'!K49+'Pro Forma Adj'!K49</f>
        <v>0</v>
      </c>
      <c r="L49" s="31">
        <f>'Restating Adj'!L49+'Pro Forma Adj'!L49</f>
        <v>0</v>
      </c>
      <c r="M49" s="92">
        <f>'Restating Adj'!M49+'Pro Forma Adj'!M49</f>
        <v>0</v>
      </c>
      <c r="N49" s="92">
        <f>'Restating Adj'!N49+'Pro Forma Adj'!N49</f>
        <v>0</v>
      </c>
      <c r="O49" s="92">
        <f>'Restating Adj'!O49+'Pro Forma Adj'!O49</f>
        <v>0</v>
      </c>
      <c r="P49" s="92">
        <f>'Restating Adj'!P49+'Pro Forma Adj'!P49</f>
        <v>0</v>
      </c>
      <c r="Q49" s="93">
        <f>'Restating Adj'!Q49+'Pro Forma Adj'!Q49</f>
        <v>0</v>
      </c>
      <c r="R49" s="30">
        <f>'Restating Adj'!R49+'Pro Forma Adj'!R49</f>
        <v>0</v>
      </c>
      <c r="S49" s="90">
        <f>'Restating Adj'!S49+'Pro Forma Adj'!S49</f>
        <v>0</v>
      </c>
      <c r="T49" s="90">
        <f>'Restating Adj'!T49+'Pro Forma Adj'!T49</f>
        <v>0</v>
      </c>
      <c r="U49" s="90">
        <f>'Restating Adj'!U49+'Pro Forma Adj'!U49</f>
        <v>0</v>
      </c>
      <c r="V49" s="90">
        <f>'Restating Adj'!V49+'Pro Forma Adj'!V49</f>
        <v>0</v>
      </c>
      <c r="W49" s="90">
        <f>'Restating Adj'!W49+'Pro Forma Adj'!W49</f>
        <v>0</v>
      </c>
      <c r="X49" s="91">
        <f>'Restating Adj'!X49+'Pro Forma Adj'!X49</f>
        <v>0</v>
      </c>
      <c r="Y49" s="30">
        <f>'Restating Adj'!Y49+'Pro Forma Adj'!Y49</f>
        <v>0</v>
      </c>
      <c r="Z49" s="90">
        <f>'Restating Adj'!Z49+'Pro Forma Adj'!Z49</f>
        <v>0</v>
      </c>
      <c r="AA49" s="90">
        <f>'Restating Adj'!AA49+'Pro Forma Adj'!AA49</f>
        <v>0</v>
      </c>
      <c r="AB49" s="90">
        <f>'Restating Adj'!AB49+'Pro Forma Adj'!AB49</f>
        <v>0</v>
      </c>
      <c r="AC49" s="91">
        <f>'Restating Adj'!AC49+'Pro Forma Adj'!AC49</f>
        <v>0</v>
      </c>
      <c r="AD49" s="31">
        <f>'Restating Adj'!AD49+'Pro Forma Adj'!AD49</f>
        <v>0</v>
      </c>
      <c r="AE49" s="93">
        <f>'Restating Adj'!AE49+'Pro Forma Adj'!AE49</f>
        <v>0</v>
      </c>
      <c r="AF49" s="31">
        <f>'Restating Adj'!AF49+'Pro Forma Adj'!AF49</f>
        <v>0</v>
      </c>
      <c r="AG49" s="92">
        <f>'Restating Adj'!AG49+'Pro Forma Adj'!AG49</f>
        <v>0</v>
      </c>
      <c r="AH49" s="31">
        <f>'Restating Adj'!AH49+'Pro Forma Adj'!AH49</f>
        <v>0</v>
      </c>
      <c r="AI49" s="92">
        <f>'Restating Adj'!AI49+'Pro Forma Adj'!AI49</f>
        <v>0</v>
      </c>
      <c r="AJ49" s="92">
        <f>'Restating Adj'!AJ49+'Pro Forma Adj'!AJ49</f>
        <v>0</v>
      </c>
      <c r="AK49" s="93">
        <f>'Restating Adj'!AK49+'Pro Forma Adj'!AK49</f>
        <v>0</v>
      </c>
      <c r="AL49" s="31">
        <f>'Restating Adj'!AL49+'Pro Forma Adj'!AL49</f>
        <v>0</v>
      </c>
      <c r="AM49" s="92">
        <f>'Restating Adj'!AM49+'Pro Forma Adj'!AM49</f>
        <v>0</v>
      </c>
      <c r="AN49" s="92">
        <f>'Restating Adj'!AN49+'Pro Forma Adj'!AN49</f>
        <v>0</v>
      </c>
      <c r="AO49" s="92">
        <f>'Restating Adj'!AO49+'Pro Forma Adj'!AO49</f>
        <v>0</v>
      </c>
      <c r="AP49" s="92">
        <f>'Restating Adj'!AP49+'Pro Forma Adj'!AP49</f>
        <v>0</v>
      </c>
      <c r="AQ49" s="93">
        <f>'Restating Adj'!AQ49+'Pro Forma Adj'!AQ49</f>
        <v>0</v>
      </c>
      <c r="AR49" s="92">
        <f>'Restating Adj'!AR49+'Pro Forma Adj'!AR49</f>
        <v>0</v>
      </c>
      <c r="AS49" s="31">
        <f>'Restating Adj'!AS49+'Pro Forma Adj'!AS49</f>
        <v>0</v>
      </c>
      <c r="AT49" s="92">
        <f>'Restating Adj'!AT49+'Pro Forma Adj'!AT49</f>
        <v>0</v>
      </c>
      <c r="AU49" s="92">
        <f>'Restating Adj'!AU49+'Pro Forma Adj'!AU49</f>
        <v>0</v>
      </c>
      <c r="AV49" s="92">
        <f>'Restating Adj'!AV49+'Pro Forma Adj'!AV49</f>
        <v>0</v>
      </c>
      <c r="AW49" s="92">
        <f>'Restating Adj'!AW49+'Pro Forma Adj'!AW49</f>
        <v>0</v>
      </c>
      <c r="AX49" s="92">
        <f>'Restating Adj'!AX49+'Pro Forma Adj'!AX49</f>
        <v>0</v>
      </c>
      <c r="AY49" s="31">
        <f>'Restating Adj'!AY49+'Pro Forma Adj'!AY49</f>
        <v>0</v>
      </c>
      <c r="AZ49" s="92">
        <f>'Restating Adj'!AZ49+'Pro Forma Adj'!AZ49</f>
        <v>0</v>
      </c>
      <c r="BA49" s="92">
        <f>'Restating Adj'!BA49+'Pro Forma Adj'!BA49</f>
        <v>0</v>
      </c>
      <c r="BB49" s="31">
        <f>'Restating Adj'!BB49+'Pro Forma Adj'!BB49</f>
        <v>0</v>
      </c>
      <c r="BC49" s="90">
        <f>'Restating Adj'!BC49+'Pro Forma Adj'!BC49</f>
        <v>0</v>
      </c>
      <c r="BD49" s="90">
        <f>'Restating Adj'!BD49+'Pro Forma Adj'!BD49</f>
        <v>0</v>
      </c>
      <c r="BE49" s="90">
        <f>'Restating Adj'!BE49+'Pro Forma Adj'!BE49</f>
        <v>0</v>
      </c>
      <c r="BF49" s="30">
        <f>'Restating Adj'!BF49+'Pro Forma Adj'!BF49</f>
        <v>0</v>
      </c>
      <c r="BG49" s="90">
        <f>'Restating Adj'!BG49+'Pro Forma Adj'!BG49</f>
        <v>-6914148.5720945681</v>
      </c>
      <c r="BH49" s="12">
        <f>'Restating Adj'!BH49+'Pro Forma Adj'!BH49</f>
        <v>0</v>
      </c>
      <c r="BI49" s="90">
        <f>'Restating Adj'!BI49+'Pro Forma Adj'!BI49</f>
        <v>0</v>
      </c>
      <c r="BJ49" s="92">
        <f>'Restating Adj'!BJ49+'Pro Forma Adj'!BJ49</f>
        <v>0</v>
      </c>
      <c r="BK49" s="92">
        <f>'Restating Adj'!BK49+'Pro Forma Adj'!BK49</f>
        <v>0</v>
      </c>
      <c r="BL49" s="92">
        <f>'Restating Adj'!BL49+'Pro Forma Adj'!BL49</f>
        <v>0</v>
      </c>
      <c r="BM49" s="92">
        <f>'Restating Adj'!BM49+'Pro Forma Adj'!BM49</f>
        <v>0</v>
      </c>
      <c r="BN49" s="31">
        <f>'Restating Adj'!BN49+'Pro Forma Adj'!BN49</f>
        <v>0</v>
      </c>
      <c r="BO49" s="92">
        <f>'Restating Adj'!BO49+'Pro Forma Adj'!BO49</f>
        <v>0</v>
      </c>
      <c r="BP49" s="92">
        <f>'Restating Adj'!BP49+'Pro Forma Adj'!BP49</f>
        <v>0</v>
      </c>
      <c r="BQ49" s="92">
        <f>'Restating Adj'!BQ49+'Pro Forma Adj'!BQ49</f>
        <v>0</v>
      </c>
      <c r="BR49" s="92">
        <f>'Restating Adj'!BR49+'Pro Forma Adj'!BR49</f>
        <v>0</v>
      </c>
      <c r="BS49" s="92">
        <f>'Restating Adj'!BS49+'Pro Forma Adj'!BS49</f>
        <v>0</v>
      </c>
      <c r="BT49" s="92">
        <f>'Restating Adj'!BT49+'Pro Forma Adj'!BT49</f>
        <v>0</v>
      </c>
      <c r="BU49" s="92">
        <f>'Restating Adj'!BU49+'Pro Forma Adj'!BU49</f>
        <v>0</v>
      </c>
      <c r="BV49" s="299">
        <f>'Restating Adj'!BV49+'Pro Forma Adj'!BV49</f>
        <v>0</v>
      </c>
      <c r="BW49" s="31">
        <f>'Restating Adj'!BW49+'Pro Forma Adj'!BW49</f>
        <v>0</v>
      </c>
      <c r="BX49" s="93">
        <f>'Restating Adj'!BX49+'Pro Forma Adj'!BX49</f>
        <v>0</v>
      </c>
      <c r="BY49" s="15"/>
    </row>
    <row r="50" spans="1:77" x14ac:dyDescent="0.2">
      <c r="A50" s="14" t="s">
        <v>85</v>
      </c>
      <c r="B50" s="100">
        <f t="shared" si="38"/>
        <v>-6926884.9266495155</v>
      </c>
      <c r="C50" s="31">
        <f>'Restating Adj'!C50+'Pro Forma Adj'!C50</f>
        <v>0</v>
      </c>
      <c r="D50" s="92">
        <f>'Restating Adj'!D50+'Pro Forma Adj'!D50</f>
        <v>0</v>
      </c>
      <c r="E50" s="92">
        <f>'Restating Adj'!E50+'Pro Forma Adj'!E50</f>
        <v>0</v>
      </c>
      <c r="F50" s="92">
        <f>'Restating Adj'!F50+'Pro Forma Adj'!F50</f>
        <v>0</v>
      </c>
      <c r="G50" s="92">
        <f>'Restating Adj'!G50+'Pro Forma Adj'!G50</f>
        <v>0</v>
      </c>
      <c r="H50" s="90">
        <f>'Restating Adj'!H50+'Pro Forma Adj'!H50</f>
        <v>0</v>
      </c>
      <c r="I50" s="91">
        <f>'Restating Adj'!I50+'Pro Forma Adj'!I50</f>
        <v>0</v>
      </c>
      <c r="J50" s="30">
        <f>'Restating Adj'!J50+'Pro Forma Adj'!J50</f>
        <v>0</v>
      </c>
      <c r="K50" s="91">
        <f>'Restating Adj'!K50+'Pro Forma Adj'!K50</f>
        <v>0</v>
      </c>
      <c r="L50" s="31">
        <f>'Restating Adj'!L50+'Pro Forma Adj'!L50</f>
        <v>0</v>
      </c>
      <c r="M50" s="92">
        <f>'Restating Adj'!M50+'Pro Forma Adj'!M50</f>
        <v>0</v>
      </c>
      <c r="N50" s="92">
        <f>'Restating Adj'!N50+'Pro Forma Adj'!N50</f>
        <v>0</v>
      </c>
      <c r="O50" s="92">
        <f>'Restating Adj'!O50+'Pro Forma Adj'!O50</f>
        <v>0</v>
      </c>
      <c r="P50" s="92">
        <f>'Restating Adj'!P50+'Pro Forma Adj'!P50</f>
        <v>0</v>
      </c>
      <c r="Q50" s="93">
        <f>'Restating Adj'!Q50+'Pro Forma Adj'!Q50</f>
        <v>0</v>
      </c>
      <c r="R50" s="30">
        <f>'Restating Adj'!R50+'Pro Forma Adj'!R50</f>
        <v>0</v>
      </c>
      <c r="S50" s="90">
        <f>'Restating Adj'!S50+'Pro Forma Adj'!S50</f>
        <v>0</v>
      </c>
      <c r="T50" s="90">
        <f>'Restating Adj'!T50+'Pro Forma Adj'!T50</f>
        <v>0</v>
      </c>
      <c r="U50" s="90">
        <f>'Restating Adj'!U50+'Pro Forma Adj'!U50</f>
        <v>0</v>
      </c>
      <c r="V50" s="90">
        <f>'Restating Adj'!V50+'Pro Forma Adj'!V50</f>
        <v>0</v>
      </c>
      <c r="W50" s="90">
        <f>'Restating Adj'!W50+'Pro Forma Adj'!W50</f>
        <v>0</v>
      </c>
      <c r="X50" s="91">
        <f>'Restating Adj'!X50+'Pro Forma Adj'!X50</f>
        <v>0</v>
      </c>
      <c r="Y50" s="30">
        <f>'Restating Adj'!Y50+'Pro Forma Adj'!Y50</f>
        <v>0</v>
      </c>
      <c r="Z50" s="90">
        <f>'Restating Adj'!Z50+'Pro Forma Adj'!Z50</f>
        <v>0</v>
      </c>
      <c r="AA50" s="90">
        <f>'Restating Adj'!AA50+'Pro Forma Adj'!AA50</f>
        <v>0</v>
      </c>
      <c r="AB50" s="90">
        <f>'Restating Adj'!AB50+'Pro Forma Adj'!AB50</f>
        <v>0</v>
      </c>
      <c r="AC50" s="91">
        <f>'Restating Adj'!AC50+'Pro Forma Adj'!AC50</f>
        <v>0</v>
      </c>
      <c r="AD50" s="31">
        <f>'Restating Adj'!AD50+'Pro Forma Adj'!AD50</f>
        <v>0</v>
      </c>
      <c r="AE50" s="93">
        <f>'Restating Adj'!AE50+'Pro Forma Adj'!AE50</f>
        <v>0</v>
      </c>
      <c r="AF50" s="31">
        <f>'Restating Adj'!AF50+'Pro Forma Adj'!AF50</f>
        <v>0</v>
      </c>
      <c r="AG50" s="92">
        <f>'Restating Adj'!AG50+'Pro Forma Adj'!AG50</f>
        <v>0</v>
      </c>
      <c r="AH50" s="31">
        <f>'Restating Adj'!AH50+'Pro Forma Adj'!AH50</f>
        <v>0</v>
      </c>
      <c r="AI50" s="92">
        <f>'Restating Adj'!AI50+'Pro Forma Adj'!AI50</f>
        <v>0</v>
      </c>
      <c r="AJ50" s="92">
        <f>'Restating Adj'!AJ50+'Pro Forma Adj'!AJ50</f>
        <v>0</v>
      </c>
      <c r="AK50" s="93">
        <f>'Restating Adj'!AK50+'Pro Forma Adj'!AK50</f>
        <v>0</v>
      </c>
      <c r="AL50" s="31">
        <f>'Restating Adj'!AL50+'Pro Forma Adj'!AL50</f>
        <v>0</v>
      </c>
      <c r="AM50" s="92">
        <f>'Restating Adj'!AM50+'Pro Forma Adj'!AM50</f>
        <v>0</v>
      </c>
      <c r="AN50" s="92">
        <f>'Restating Adj'!AN50+'Pro Forma Adj'!AN50</f>
        <v>0</v>
      </c>
      <c r="AO50" s="92">
        <f>'Restating Adj'!AO50+'Pro Forma Adj'!AO50</f>
        <v>0</v>
      </c>
      <c r="AP50" s="92">
        <f>'Restating Adj'!AP50+'Pro Forma Adj'!AP50</f>
        <v>0</v>
      </c>
      <c r="AQ50" s="93">
        <f>'Restating Adj'!AQ50+'Pro Forma Adj'!AQ50</f>
        <v>0</v>
      </c>
      <c r="AR50" s="92">
        <f>'Restating Adj'!AR50+'Pro Forma Adj'!AR50</f>
        <v>0</v>
      </c>
      <c r="AS50" s="31">
        <f>'Restating Adj'!AS50+'Pro Forma Adj'!AS50</f>
        <v>0</v>
      </c>
      <c r="AT50" s="92">
        <f>'Restating Adj'!AT50+'Pro Forma Adj'!AT50</f>
        <v>0</v>
      </c>
      <c r="AU50" s="92">
        <f>'Restating Adj'!AU50+'Pro Forma Adj'!AU50</f>
        <v>0</v>
      </c>
      <c r="AV50" s="92">
        <f>'Restating Adj'!AV50+'Pro Forma Adj'!AV50</f>
        <v>0</v>
      </c>
      <c r="AW50" s="92">
        <f>'Restating Adj'!AW50+'Pro Forma Adj'!AW50</f>
        <v>0</v>
      </c>
      <c r="AX50" s="92">
        <f>'Restating Adj'!AX50+'Pro Forma Adj'!AX50</f>
        <v>0</v>
      </c>
      <c r="AY50" s="31">
        <f>'Restating Adj'!AY50+'Pro Forma Adj'!AY50</f>
        <v>0</v>
      </c>
      <c r="AZ50" s="92">
        <f>'Restating Adj'!AZ50+'Pro Forma Adj'!AZ50</f>
        <v>0</v>
      </c>
      <c r="BA50" s="92">
        <f>'Restating Adj'!BA50+'Pro Forma Adj'!BA50</f>
        <v>0</v>
      </c>
      <c r="BB50" s="31">
        <f>'Restating Adj'!BB50+'Pro Forma Adj'!BB50</f>
        <v>0</v>
      </c>
      <c r="BC50" s="90">
        <f>'Restating Adj'!BC50+'Pro Forma Adj'!BC50</f>
        <v>0</v>
      </c>
      <c r="BD50" s="90">
        <f>'Restating Adj'!BD50+'Pro Forma Adj'!BD50</f>
        <v>0</v>
      </c>
      <c r="BE50" s="90">
        <f>'Restating Adj'!BE50+'Pro Forma Adj'!BE50</f>
        <v>0</v>
      </c>
      <c r="BF50" s="30">
        <f>'Restating Adj'!BF50+'Pro Forma Adj'!BF50</f>
        <v>0</v>
      </c>
      <c r="BG50" s="90">
        <f>'Restating Adj'!BG50+'Pro Forma Adj'!BG50</f>
        <v>-6926884.9266495155</v>
      </c>
      <c r="BH50" s="12">
        <f>'Restating Adj'!BH50+'Pro Forma Adj'!BH50</f>
        <v>0</v>
      </c>
      <c r="BI50" s="90">
        <f>'Restating Adj'!BI50+'Pro Forma Adj'!BI50</f>
        <v>0</v>
      </c>
      <c r="BJ50" s="92">
        <f>'Restating Adj'!BJ50+'Pro Forma Adj'!BJ50</f>
        <v>0</v>
      </c>
      <c r="BK50" s="92">
        <f>'Restating Adj'!BK50+'Pro Forma Adj'!BK50</f>
        <v>0</v>
      </c>
      <c r="BL50" s="92">
        <f>'Restating Adj'!BL50+'Pro Forma Adj'!BL50</f>
        <v>0</v>
      </c>
      <c r="BM50" s="92">
        <f>'Restating Adj'!BM50+'Pro Forma Adj'!BM50</f>
        <v>0</v>
      </c>
      <c r="BN50" s="31">
        <f>'Restating Adj'!BN50+'Pro Forma Adj'!BN50</f>
        <v>0</v>
      </c>
      <c r="BO50" s="92">
        <f>'Restating Adj'!BO50+'Pro Forma Adj'!BO50</f>
        <v>0</v>
      </c>
      <c r="BP50" s="92">
        <f>'Restating Adj'!BP50+'Pro Forma Adj'!BP50</f>
        <v>0</v>
      </c>
      <c r="BQ50" s="92">
        <f>'Restating Adj'!BQ50+'Pro Forma Adj'!BQ50</f>
        <v>0</v>
      </c>
      <c r="BR50" s="92">
        <f>'Restating Adj'!BR50+'Pro Forma Adj'!BR50</f>
        <v>0</v>
      </c>
      <c r="BS50" s="92">
        <f>'Restating Adj'!BS50+'Pro Forma Adj'!BS50</f>
        <v>0</v>
      </c>
      <c r="BT50" s="92">
        <f>'Restating Adj'!BT50+'Pro Forma Adj'!BT50</f>
        <v>0</v>
      </c>
      <c r="BU50" s="92">
        <f>'Restating Adj'!BU50+'Pro Forma Adj'!BU50</f>
        <v>0</v>
      </c>
      <c r="BV50" s="299">
        <f>'Restating Adj'!BV50+'Pro Forma Adj'!BV50</f>
        <v>0</v>
      </c>
      <c r="BW50" s="31">
        <f>'Restating Adj'!BW50+'Pro Forma Adj'!BW50</f>
        <v>0</v>
      </c>
      <c r="BX50" s="93">
        <f>'Restating Adj'!BX50+'Pro Forma Adj'!BX50</f>
        <v>0</v>
      </c>
      <c r="BY50" s="15"/>
    </row>
    <row r="51" spans="1:77" x14ac:dyDescent="0.2">
      <c r="A51" s="14" t="s">
        <v>86</v>
      </c>
      <c r="B51" s="100">
        <f t="shared" si="38"/>
        <v>28579779.133268069</v>
      </c>
      <c r="C51" s="31">
        <f>'Restating Adj'!C51+'Pro Forma Adj'!C51</f>
        <v>0</v>
      </c>
      <c r="D51" s="92">
        <f>'Restating Adj'!D51+'Pro Forma Adj'!D51</f>
        <v>0</v>
      </c>
      <c r="E51" s="92">
        <f>'Restating Adj'!E51+'Pro Forma Adj'!E51</f>
        <v>0</v>
      </c>
      <c r="F51" s="92">
        <f>'Restating Adj'!F51+'Pro Forma Adj'!F51</f>
        <v>0</v>
      </c>
      <c r="G51" s="92">
        <f>'Restating Adj'!G51+'Pro Forma Adj'!G51</f>
        <v>0</v>
      </c>
      <c r="H51" s="90">
        <f>'Restating Adj'!H51+'Pro Forma Adj'!H51</f>
        <v>0</v>
      </c>
      <c r="I51" s="91">
        <f>'Restating Adj'!I51+'Pro Forma Adj'!I51</f>
        <v>0</v>
      </c>
      <c r="J51" s="30">
        <f>'Restating Adj'!J51+'Pro Forma Adj'!J51</f>
        <v>0</v>
      </c>
      <c r="K51" s="91">
        <f>'Restating Adj'!K51+'Pro Forma Adj'!K51</f>
        <v>0</v>
      </c>
      <c r="L51" s="31">
        <f>'Restating Adj'!L51+'Pro Forma Adj'!L51</f>
        <v>0</v>
      </c>
      <c r="M51" s="92">
        <f>'Restating Adj'!M51+'Pro Forma Adj'!M51</f>
        <v>0</v>
      </c>
      <c r="N51" s="92">
        <f>'Restating Adj'!N51+'Pro Forma Adj'!N51</f>
        <v>0</v>
      </c>
      <c r="O51" s="92">
        <f>'Restating Adj'!O51+'Pro Forma Adj'!O51</f>
        <v>0</v>
      </c>
      <c r="P51" s="92">
        <f>'Restating Adj'!P51+'Pro Forma Adj'!P51</f>
        <v>0</v>
      </c>
      <c r="Q51" s="93">
        <f>'Restating Adj'!Q51+'Pro Forma Adj'!Q51</f>
        <v>0</v>
      </c>
      <c r="R51" s="30">
        <f>'Restating Adj'!R51+'Pro Forma Adj'!R51</f>
        <v>0</v>
      </c>
      <c r="S51" s="90">
        <f>'Restating Adj'!S51+'Pro Forma Adj'!S51</f>
        <v>0</v>
      </c>
      <c r="T51" s="90">
        <f>'Restating Adj'!T51+'Pro Forma Adj'!T51</f>
        <v>0</v>
      </c>
      <c r="U51" s="90">
        <f>'Restating Adj'!U51+'Pro Forma Adj'!U51</f>
        <v>0</v>
      </c>
      <c r="V51" s="90">
        <f>'Restating Adj'!V51+'Pro Forma Adj'!V51</f>
        <v>0</v>
      </c>
      <c r="W51" s="90">
        <f>'Restating Adj'!W51+'Pro Forma Adj'!W51</f>
        <v>0</v>
      </c>
      <c r="X51" s="91">
        <f>'Restating Adj'!X51+'Pro Forma Adj'!X51</f>
        <v>0</v>
      </c>
      <c r="Y51" s="30">
        <f>'Restating Adj'!Y51+'Pro Forma Adj'!Y51</f>
        <v>0</v>
      </c>
      <c r="Z51" s="90">
        <f>'Restating Adj'!Z51+'Pro Forma Adj'!Z51</f>
        <v>0</v>
      </c>
      <c r="AA51" s="90">
        <f>'Restating Adj'!AA51+'Pro Forma Adj'!AA51</f>
        <v>0</v>
      </c>
      <c r="AB51" s="90">
        <f>'Restating Adj'!AB51+'Pro Forma Adj'!AB51</f>
        <v>0</v>
      </c>
      <c r="AC51" s="91">
        <f>'Restating Adj'!AC51+'Pro Forma Adj'!AC51</f>
        <v>0</v>
      </c>
      <c r="AD51" s="31">
        <f>'Restating Adj'!AD51+'Pro Forma Adj'!AD51</f>
        <v>0</v>
      </c>
      <c r="AE51" s="93">
        <f>'Restating Adj'!AE51+'Pro Forma Adj'!AE51</f>
        <v>0</v>
      </c>
      <c r="AF51" s="31">
        <f>'Restating Adj'!AF51+'Pro Forma Adj'!AF51</f>
        <v>0</v>
      </c>
      <c r="AG51" s="92">
        <f>'Restating Adj'!AG51+'Pro Forma Adj'!AG51</f>
        <v>0</v>
      </c>
      <c r="AH51" s="31">
        <f>'Restating Adj'!AH51+'Pro Forma Adj'!AH51</f>
        <v>0</v>
      </c>
      <c r="AI51" s="92">
        <f>'Restating Adj'!AI51+'Pro Forma Adj'!AI51</f>
        <v>0</v>
      </c>
      <c r="AJ51" s="92">
        <f>'Restating Adj'!AJ51+'Pro Forma Adj'!AJ51</f>
        <v>0</v>
      </c>
      <c r="AK51" s="93">
        <f>'Restating Adj'!AK51+'Pro Forma Adj'!AK51</f>
        <v>0</v>
      </c>
      <c r="AL51" s="31">
        <f>'Restating Adj'!AL51+'Pro Forma Adj'!AL51</f>
        <v>0</v>
      </c>
      <c r="AM51" s="92">
        <f>'Restating Adj'!AM51+'Pro Forma Adj'!AM51</f>
        <v>0</v>
      </c>
      <c r="AN51" s="92">
        <f>'Restating Adj'!AN51+'Pro Forma Adj'!AN51</f>
        <v>0</v>
      </c>
      <c r="AO51" s="92">
        <f>'Restating Adj'!AO51+'Pro Forma Adj'!AO51</f>
        <v>0</v>
      </c>
      <c r="AP51" s="92">
        <f>'Restating Adj'!AP51+'Pro Forma Adj'!AP51</f>
        <v>0</v>
      </c>
      <c r="AQ51" s="93">
        <f>'Restating Adj'!AQ51+'Pro Forma Adj'!AQ51</f>
        <v>0</v>
      </c>
      <c r="AR51" s="92">
        <f>'Restating Adj'!AR51+'Pro Forma Adj'!AR51</f>
        <v>0</v>
      </c>
      <c r="AS51" s="31">
        <f>'Restating Adj'!AS51+'Pro Forma Adj'!AS51</f>
        <v>0</v>
      </c>
      <c r="AT51" s="92">
        <f>'Restating Adj'!AT51+'Pro Forma Adj'!AT51</f>
        <v>0</v>
      </c>
      <c r="AU51" s="92">
        <f>'Restating Adj'!AU51+'Pro Forma Adj'!AU51</f>
        <v>0</v>
      </c>
      <c r="AV51" s="92">
        <f>'Restating Adj'!AV51+'Pro Forma Adj'!AV51</f>
        <v>0</v>
      </c>
      <c r="AW51" s="92">
        <f>'Restating Adj'!AW51+'Pro Forma Adj'!AW51</f>
        <v>0</v>
      </c>
      <c r="AX51" s="92">
        <f>'Restating Adj'!AX51+'Pro Forma Adj'!AX51</f>
        <v>0</v>
      </c>
      <c r="AY51" s="31">
        <f>'Restating Adj'!AY51+'Pro Forma Adj'!AY51</f>
        <v>0</v>
      </c>
      <c r="AZ51" s="92">
        <f>'Restating Adj'!AZ51+'Pro Forma Adj'!AZ51</f>
        <v>0</v>
      </c>
      <c r="BA51" s="92">
        <f>'Restating Adj'!BA51+'Pro Forma Adj'!BA51</f>
        <v>0</v>
      </c>
      <c r="BB51" s="31">
        <f>'Restating Adj'!BB51+'Pro Forma Adj'!BB51</f>
        <v>0</v>
      </c>
      <c r="BC51" s="90">
        <f>'Restating Adj'!BC51+'Pro Forma Adj'!BC51</f>
        <v>0</v>
      </c>
      <c r="BD51" s="90">
        <f>'Restating Adj'!BD51+'Pro Forma Adj'!BD51</f>
        <v>0</v>
      </c>
      <c r="BE51" s="90">
        <f>'Restating Adj'!BE51+'Pro Forma Adj'!BE51</f>
        <v>0</v>
      </c>
      <c r="BF51" s="30">
        <f>'Restating Adj'!BF51+'Pro Forma Adj'!BF51</f>
        <v>0</v>
      </c>
      <c r="BG51" s="90">
        <f>'Restating Adj'!BG51+'Pro Forma Adj'!BG51</f>
        <v>-2438703.9515725183</v>
      </c>
      <c r="BH51" s="12">
        <f>'Restating Adj'!BH51+'Pro Forma Adj'!BH51</f>
        <v>0</v>
      </c>
      <c r="BI51" s="90">
        <f>'Restating Adj'!BI51+'Pro Forma Adj'!BI51</f>
        <v>0</v>
      </c>
      <c r="BJ51" s="92">
        <f>'Restating Adj'!BJ51+'Pro Forma Adj'!BJ51</f>
        <v>0</v>
      </c>
      <c r="BK51" s="92">
        <f>'Restating Adj'!BK51+'Pro Forma Adj'!BK51</f>
        <v>0</v>
      </c>
      <c r="BL51" s="92">
        <f>'Restating Adj'!BL51+'Pro Forma Adj'!BL51</f>
        <v>0</v>
      </c>
      <c r="BM51" s="92">
        <f>'Restating Adj'!BM51+'Pro Forma Adj'!BM51</f>
        <v>0</v>
      </c>
      <c r="BN51" s="31">
        <f>'Restating Adj'!BN51+'Pro Forma Adj'!BN51</f>
        <v>0</v>
      </c>
      <c r="BO51" s="92">
        <f>'Restating Adj'!BO51+'Pro Forma Adj'!BO51</f>
        <v>0</v>
      </c>
      <c r="BP51" s="92">
        <f>'Restating Adj'!BP51+'Pro Forma Adj'!BP51</f>
        <v>0</v>
      </c>
      <c r="BQ51" s="92">
        <f>'Restating Adj'!BQ51+'Pro Forma Adj'!BQ51</f>
        <v>0</v>
      </c>
      <c r="BR51" s="92">
        <f>'Restating Adj'!BR51+'Pro Forma Adj'!BR51</f>
        <v>0</v>
      </c>
      <c r="BS51" s="92">
        <f>'Restating Adj'!BS51+'Pro Forma Adj'!BS51</f>
        <v>0</v>
      </c>
      <c r="BT51" s="92">
        <f>'Restating Adj'!BT51+'Pro Forma Adj'!BT51</f>
        <v>0</v>
      </c>
      <c r="BU51" s="92">
        <f>'Restating Adj'!BU51+'Pro Forma Adj'!BU51</f>
        <v>0</v>
      </c>
      <c r="BV51" s="299">
        <f>'Restating Adj'!BV51+'Pro Forma Adj'!BV51</f>
        <v>31018483.084840588</v>
      </c>
      <c r="BW51" s="31">
        <f>'Restating Adj'!BW51+'Pro Forma Adj'!BW51</f>
        <v>0</v>
      </c>
      <c r="BX51" s="93">
        <f>'Restating Adj'!BX51+'Pro Forma Adj'!BX51</f>
        <v>0</v>
      </c>
      <c r="BY51" s="15"/>
    </row>
    <row r="52" spans="1:77" x14ac:dyDescent="0.2">
      <c r="A52" s="14" t="s">
        <v>87</v>
      </c>
      <c r="B52" s="100">
        <f t="shared" si="38"/>
        <v>0</v>
      </c>
      <c r="C52" s="31">
        <f>'Restating Adj'!C52+'Pro Forma Adj'!C52</f>
        <v>0</v>
      </c>
      <c r="D52" s="92">
        <f>'Restating Adj'!D52+'Pro Forma Adj'!D52</f>
        <v>0</v>
      </c>
      <c r="E52" s="92">
        <f>'Restating Adj'!E52+'Pro Forma Adj'!E52</f>
        <v>0</v>
      </c>
      <c r="F52" s="92">
        <f>'Restating Adj'!F52+'Pro Forma Adj'!F52</f>
        <v>0</v>
      </c>
      <c r="G52" s="92">
        <f>'Restating Adj'!G52+'Pro Forma Adj'!G52</f>
        <v>0</v>
      </c>
      <c r="H52" s="90">
        <f>'Restating Adj'!H52+'Pro Forma Adj'!H52</f>
        <v>0</v>
      </c>
      <c r="I52" s="91">
        <f>'Restating Adj'!I52+'Pro Forma Adj'!I52</f>
        <v>0</v>
      </c>
      <c r="J52" s="30">
        <f>'Restating Adj'!J52+'Pro Forma Adj'!J52</f>
        <v>0</v>
      </c>
      <c r="K52" s="91">
        <f>'Restating Adj'!K52+'Pro Forma Adj'!K52</f>
        <v>0</v>
      </c>
      <c r="L52" s="31">
        <f>'Restating Adj'!L52+'Pro Forma Adj'!L52</f>
        <v>0</v>
      </c>
      <c r="M52" s="92">
        <f>'Restating Adj'!M52+'Pro Forma Adj'!M52</f>
        <v>0</v>
      </c>
      <c r="N52" s="92">
        <f>'Restating Adj'!N52+'Pro Forma Adj'!N52</f>
        <v>0</v>
      </c>
      <c r="O52" s="92">
        <f>'Restating Adj'!O52+'Pro Forma Adj'!O52</f>
        <v>0</v>
      </c>
      <c r="P52" s="92">
        <f>'Restating Adj'!P52+'Pro Forma Adj'!P52</f>
        <v>0</v>
      </c>
      <c r="Q52" s="93">
        <f>'Restating Adj'!Q52+'Pro Forma Adj'!Q52</f>
        <v>0</v>
      </c>
      <c r="R52" s="30">
        <f>'Restating Adj'!R52+'Pro Forma Adj'!R52</f>
        <v>0</v>
      </c>
      <c r="S52" s="90">
        <f>'Restating Adj'!S52+'Pro Forma Adj'!S52</f>
        <v>0</v>
      </c>
      <c r="T52" s="90">
        <f>'Restating Adj'!T52+'Pro Forma Adj'!T52</f>
        <v>0</v>
      </c>
      <c r="U52" s="90">
        <f>'Restating Adj'!U52+'Pro Forma Adj'!U52</f>
        <v>0</v>
      </c>
      <c r="V52" s="90">
        <f>'Restating Adj'!V52+'Pro Forma Adj'!V52</f>
        <v>0</v>
      </c>
      <c r="W52" s="90">
        <f>'Restating Adj'!W52+'Pro Forma Adj'!W52</f>
        <v>0</v>
      </c>
      <c r="X52" s="91">
        <f>'Restating Adj'!X52+'Pro Forma Adj'!X52</f>
        <v>0</v>
      </c>
      <c r="Y52" s="30">
        <f>'Restating Adj'!Y52+'Pro Forma Adj'!Y52</f>
        <v>0</v>
      </c>
      <c r="Z52" s="90">
        <f>'Restating Adj'!Z52+'Pro Forma Adj'!Z52</f>
        <v>0</v>
      </c>
      <c r="AA52" s="90">
        <f>'Restating Adj'!AA52+'Pro Forma Adj'!AA52</f>
        <v>0</v>
      </c>
      <c r="AB52" s="90">
        <f>'Restating Adj'!AB52+'Pro Forma Adj'!AB52</f>
        <v>0</v>
      </c>
      <c r="AC52" s="91">
        <f>'Restating Adj'!AC52+'Pro Forma Adj'!AC52</f>
        <v>0</v>
      </c>
      <c r="AD52" s="31">
        <f>'Restating Adj'!AD52+'Pro Forma Adj'!AD52</f>
        <v>0</v>
      </c>
      <c r="AE52" s="93">
        <f>'Restating Adj'!AE52+'Pro Forma Adj'!AE52</f>
        <v>0</v>
      </c>
      <c r="AF52" s="31">
        <f>'Restating Adj'!AF52+'Pro Forma Adj'!AF52</f>
        <v>0</v>
      </c>
      <c r="AG52" s="92">
        <f>'Restating Adj'!AG52+'Pro Forma Adj'!AG52</f>
        <v>0</v>
      </c>
      <c r="AH52" s="31">
        <f>'Restating Adj'!AH52+'Pro Forma Adj'!AH52</f>
        <v>0</v>
      </c>
      <c r="AI52" s="92">
        <f>'Restating Adj'!AI52+'Pro Forma Adj'!AI52</f>
        <v>0</v>
      </c>
      <c r="AJ52" s="92">
        <f>'Restating Adj'!AJ52+'Pro Forma Adj'!AJ52</f>
        <v>0</v>
      </c>
      <c r="AK52" s="93">
        <f>'Restating Adj'!AK52+'Pro Forma Adj'!AK52</f>
        <v>0</v>
      </c>
      <c r="AL52" s="31">
        <f>'Restating Adj'!AL52+'Pro Forma Adj'!AL52</f>
        <v>0</v>
      </c>
      <c r="AM52" s="92">
        <f>'Restating Adj'!AM52+'Pro Forma Adj'!AM52</f>
        <v>0</v>
      </c>
      <c r="AN52" s="92">
        <f>'Restating Adj'!AN52+'Pro Forma Adj'!AN52</f>
        <v>0</v>
      </c>
      <c r="AO52" s="92">
        <f>'Restating Adj'!AO52+'Pro Forma Adj'!AO52</f>
        <v>0</v>
      </c>
      <c r="AP52" s="92">
        <f>'Restating Adj'!AP52+'Pro Forma Adj'!AP52</f>
        <v>0</v>
      </c>
      <c r="AQ52" s="93">
        <f>'Restating Adj'!AQ52+'Pro Forma Adj'!AQ52</f>
        <v>0</v>
      </c>
      <c r="AR52" s="92">
        <f>'Restating Adj'!AR52+'Pro Forma Adj'!AR52</f>
        <v>0</v>
      </c>
      <c r="AS52" s="31">
        <f>'Restating Adj'!AS52+'Pro Forma Adj'!AS52</f>
        <v>0</v>
      </c>
      <c r="AT52" s="92">
        <f>'Restating Adj'!AT52+'Pro Forma Adj'!AT52</f>
        <v>0</v>
      </c>
      <c r="AU52" s="92">
        <f>'Restating Adj'!AU52+'Pro Forma Adj'!AU52</f>
        <v>0</v>
      </c>
      <c r="AV52" s="92">
        <f>'Restating Adj'!AV52+'Pro Forma Adj'!AV52</f>
        <v>0</v>
      </c>
      <c r="AW52" s="92">
        <f>'Restating Adj'!AW52+'Pro Forma Adj'!AW52</f>
        <v>0</v>
      </c>
      <c r="AX52" s="92">
        <f>'Restating Adj'!AX52+'Pro Forma Adj'!AX52</f>
        <v>0</v>
      </c>
      <c r="AY52" s="31">
        <f>'Restating Adj'!AY52+'Pro Forma Adj'!AY52</f>
        <v>0</v>
      </c>
      <c r="AZ52" s="92">
        <f>'Restating Adj'!AZ52+'Pro Forma Adj'!AZ52</f>
        <v>0</v>
      </c>
      <c r="BA52" s="92">
        <f>'Restating Adj'!BA52+'Pro Forma Adj'!BA52</f>
        <v>0</v>
      </c>
      <c r="BB52" s="31">
        <f>'Restating Adj'!BB52+'Pro Forma Adj'!BB52</f>
        <v>0</v>
      </c>
      <c r="BC52" s="90">
        <f>'Restating Adj'!BC52+'Pro Forma Adj'!BC52</f>
        <v>0</v>
      </c>
      <c r="BD52" s="90">
        <f>'Restating Adj'!BD52+'Pro Forma Adj'!BD52</f>
        <v>0</v>
      </c>
      <c r="BE52" s="90">
        <f>'Restating Adj'!BE52+'Pro Forma Adj'!BE52</f>
        <v>0</v>
      </c>
      <c r="BF52" s="30">
        <f>'Restating Adj'!BF52+'Pro Forma Adj'!BF52</f>
        <v>0</v>
      </c>
      <c r="BG52" s="90">
        <f>'Restating Adj'!BG52+'Pro Forma Adj'!BG52</f>
        <v>0</v>
      </c>
      <c r="BH52" s="12">
        <f>'Restating Adj'!BH52+'Pro Forma Adj'!BH52</f>
        <v>0</v>
      </c>
      <c r="BI52" s="90">
        <f>'Restating Adj'!BI52+'Pro Forma Adj'!BI52</f>
        <v>0</v>
      </c>
      <c r="BJ52" s="92">
        <f>'Restating Adj'!BJ52+'Pro Forma Adj'!BJ52</f>
        <v>0</v>
      </c>
      <c r="BK52" s="92">
        <f>'Restating Adj'!BK52+'Pro Forma Adj'!BK52</f>
        <v>0</v>
      </c>
      <c r="BL52" s="92">
        <f>'Restating Adj'!BL52+'Pro Forma Adj'!BL52</f>
        <v>0</v>
      </c>
      <c r="BM52" s="92">
        <f>'Restating Adj'!BM52+'Pro Forma Adj'!BM52</f>
        <v>0</v>
      </c>
      <c r="BN52" s="31">
        <f>'Restating Adj'!BN52+'Pro Forma Adj'!BN52</f>
        <v>0</v>
      </c>
      <c r="BO52" s="92">
        <f>'Restating Adj'!BO52+'Pro Forma Adj'!BO52</f>
        <v>0</v>
      </c>
      <c r="BP52" s="92">
        <f>'Restating Adj'!BP52+'Pro Forma Adj'!BP52</f>
        <v>0</v>
      </c>
      <c r="BQ52" s="92">
        <f>'Restating Adj'!BQ52+'Pro Forma Adj'!BQ52</f>
        <v>0</v>
      </c>
      <c r="BR52" s="92">
        <f>'Restating Adj'!BR52+'Pro Forma Adj'!BR52</f>
        <v>0</v>
      </c>
      <c r="BS52" s="92">
        <f>'Restating Adj'!BS52+'Pro Forma Adj'!BS52</f>
        <v>0</v>
      </c>
      <c r="BT52" s="92">
        <f>'Restating Adj'!BT52+'Pro Forma Adj'!BT52</f>
        <v>0</v>
      </c>
      <c r="BU52" s="92">
        <f>'Restating Adj'!BU52+'Pro Forma Adj'!BU52</f>
        <v>0</v>
      </c>
      <c r="BV52" s="299">
        <f>'Restating Adj'!BV52+'Pro Forma Adj'!BV52</f>
        <v>0</v>
      </c>
      <c r="BW52" s="31">
        <f>'Restating Adj'!BW52+'Pro Forma Adj'!BW52</f>
        <v>0</v>
      </c>
      <c r="BX52" s="93">
        <f>'Restating Adj'!BX52+'Pro Forma Adj'!BX52</f>
        <v>0</v>
      </c>
      <c r="BY52" s="15"/>
    </row>
    <row r="53" spans="1:77" x14ac:dyDescent="0.2">
      <c r="A53" s="14" t="s">
        <v>88</v>
      </c>
      <c r="B53" s="100">
        <f t="shared" si="38"/>
        <v>0</v>
      </c>
      <c r="C53" s="31">
        <f>'Restating Adj'!C53+'Pro Forma Adj'!C53</f>
        <v>0</v>
      </c>
      <c r="D53" s="92">
        <f>'Restating Adj'!D53+'Pro Forma Adj'!D53</f>
        <v>0</v>
      </c>
      <c r="E53" s="92">
        <f>'Restating Adj'!E53+'Pro Forma Adj'!E53</f>
        <v>0</v>
      </c>
      <c r="F53" s="92">
        <f>'Restating Adj'!F53+'Pro Forma Adj'!F53</f>
        <v>0</v>
      </c>
      <c r="G53" s="92">
        <f>'Restating Adj'!G53+'Pro Forma Adj'!G53</f>
        <v>0</v>
      </c>
      <c r="H53" s="90">
        <f>'Restating Adj'!H53+'Pro Forma Adj'!H53</f>
        <v>0</v>
      </c>
      <c r="I53" s="91">
        <f>'Restating Adj'!I53+'Pro Forma Adj'!I53</f>
        <v>0</v>
      </c>
      <c r="J53" s="30">
        <f>'Restating Adj'!J53+'Pro Forma Adj'!J53</f>
        <v>0</v>
      </c>
      <c r="K53" s="91">
        <f>'Restating Adj'!K53+'Pro Forma Adj'!K53</f>
        <v>0</v>
      </c>
      <c r="L53" s="31">
        <f>'Restating Adj'!L53+'Pro Forma Adj'!L53</f>
        <v>0</v>
      </c>
      <c r="M53" s="92">
        <f>'Restating Adj'!M53+'Pro Forma Adj'!M53</f>
        <v>0</v>
      </c>
      <c r="N53" s="92">
        <f>'Restating Adj'!N53+'Pro Forma Adj'!N53</f>
        <v>0</v>
      </c>
      <c r="O53" s="92">
        <f>'Restating Adj'!O53+'Pro Forma Adj'!O53</f>
        <v>0</v>
      </c>
      <c r="P53" s="92">
        <f>'Restating Adj'!P53+'Pro Forma Adj'!P53</f>
        <v>0</v>
      </c>
      <c r="Q53" s="93">
        <f>'Restating Adj'!Q53+'Pro Forma Adj'!Q53</f>
        <v>0</v>
      </c>
      <c r="R53" s="30">
        <f>'Restating Adj'!R53+'Pro Forma Adj'!R53</f>
        <v>0</v>
      </c>
      <c r="S53" s="90">
        <f>'Restating Adj'!S53+'Pro Forma Adj'!S53</f>
        <v>0</v>
      </c>
      <c r="T53" s="90">
        <f>'Restating Adj'!T53+'Pro Forma Adj'!T53</f>
        <v>0</v>
      </c>
      <c r="U53" s="90">
        <f>'Restating Adj'!U53+'Pro Forma Adj'!U53</f>
        <v>0</v>
      </c>
      <c r="V53" s="90">
        <f>'Restating Adj'!V53+'Pro Forma Adj'!V53</f>
        <v>0</v>
      </c>
      <c r="W53" s="90">
        <f>'Restating Adj'!W53+'Pro Forma Adj'!W53</f>
        <v>0</v>
      </c>
      <c r="X53" s="91">
        <f>'Restating Adj'!X53+'Pro Forma Adj'!X53</f>
        <v>0</v>
      </c>
      <c r="Y53" s="30">
        <f>'Restating Adj'!Y53+'Pro Forma Adj'!Y53</f>
        <v>0</v>
      </c>
      <c r="Z53" s="90">
        <f>'Restating Adj'!Z53+'Pro Forma Adj'!Z53</f>
        <v>0</v>
      </c>
      <c r="AA53" s="90">
        <f>'Restating Adj'!AA53+'Pro Forma Adj'!AA53</f>
        <v>0</v>
      </c>
      <c r="AB53" s="90">
        <f>'Restating Adj'!AB53+'Pro Forma Adj'!AB53</f>
        <v>0</v>
      </c>
      <c r="AC53" s="91">
        <f>'Restating Adj'!AC53+'Pro Forma Adj'!AC53</f>
        <v>0</v>
      </c>
      <c r="AD53" s="31">
        <f>'Restating Adj'!AD53+'Pro Forma Adj'!AD53</f>
        <v>0</v>
      </c>
      <c r="AE53" s="93">
        <f>'Restating Adj'!AE53+'Pro Forma Adj'!AE53</f>
        <v>0</v>
      </c>
      <c r="AF53" s="31">
        <f>'Restating Adj'!AF53+'Pro Forma Adj'!AF53</f>
        <v>0</v>
      </c>
      <c r="AG53" s="92">
        <f>'Restating Adj'!AG53+'Pro Forma Adj'!AG53</f>
        <v>0</v>
      </c>
      <c r="AH53" s="31">
        <f>'Restating Adj'!AH53+'Pro Forma Adj'!AH53</f>
        <v>0</v>
      </c>
      <c r="AI53" s="92">
        <f>'Restating Adj'!AI53+'Pro Forma Adj'!AI53</f>
        <v>0</v>
      </c>
      <c r="AJ53" s="92">
        <f>'Restating Adj'!AJ53+'Pro Forma Adj'!AJ53</f>
        <v>0</v>
      </c>
      <c r="AK53" s="93">
        <f>'Restating Adj'!AK53+'Pro Forma Adj'!AK53</f>
        <v>0</v>
      </c>
      <c r="AL53" s="31">
        <f>'Restating Adj'!AL53+'Pro Forma Adj'!AL53</f>
        <v>0</v>
      </c>
      <c r="AM53" s="92">
        <f>'Restating Adj'!AM53+'Pro Forma Adj'!AM53</f>
        <v>0</v>
      </c>
      <c r="AN53" s="92">
        <f>'Restating Adj'!AN53+'Pro Forma Adj'!AN53</f>
        <v>0</v>
      </c>
      <c r="AO53" s="92">
        <f>'Restating Adj'!AO53+'Pro Forma Adj'!AO53</f>
        <v>0</v>
      </c>
      <c r="AP53" s="92">
        <f>'Restating Adj'!AP53+'Pro Forma Adj'!AP53</f>
        <v>0</v>
      </c>
      <c r="AQ53" s="93">
        <f>'Restating Adj'!AQ53+'Pro Forma Adj'!AQ53</f>
        <v>0</v>
      </c>
      <c r="AR53" s="92">
        <f>'Restating Adj'!AR53+'Pro Forma Adj'!AR53</f>
        <v>0</v>
      </c>
      <c r="AS53" s="31">
        <f>'Restating Adj'!AS53+'Pro Forma Adj'!AS53</f>
        <v>0</v>
      </c>
      <c r="AT53" s="92">
        <f>'Restating Adj'!AT53+'Pro Forma Adj'!AT53</f>
        <v>0</v>
      </c>
      <c r="AU53" s="92">
        <f>'Restating Adj'!AU53+'Pro Forma Adj'!AU53</f>
        <v>0</v>
      </c>
      <c r="AV53" s="92">
        <f>'Restating Adj'!AV53+'Pro Forma Adj'!AV53</f>
        <v>0</v>
      </c>
      <c r="AW53" s="92">
        <f>'Restating Adj'!AW53+'Pro Forma Adj'!AW53</f>
        <v>0</v>
      </c>
      <c r="AX53" s="92">
        <f>'Restating Adj'!AX53+'Pro Forma Adj'!AX53</f>
        <v>0</v>
      </c>
      <c r="AY53" s="31">
        <f>'Restating Adj'!AY53+'Pro Forma Adj'!AY53</f>
        <v>0</v>
      </c>
      <c r="AZ53" s="92">
        <f>'Restating Adj'!AZ53+'Pro Forma Adj'!AZ53</f>
        <v>0</v>
      </c>
      <c r="BA53" s="92">
        <f>'Restating Adj'!BA53+'Pro Forma Adj'!BA53</f>
        <v>0</v>
      </c>
      <c r="BB53" s="31">
        <f>'Restating Adj'!BB53+'Pro Forma Adj'!BB53</f>
        <v>0</v>
      </c>
      <c r="BC53" s="90">
        <f>'Restating Adj'!BC53+'Pro Forma Adj'!BC53</f>
        <v>0</v>
      </c>
      <c r="BD53" s="90">
        <f>'Restating Adj'!BD53+'Pro Forma Adj'!BD53</f>
        <v>0</v>
      </c>
      <c r="BE53" s="90">
        <f>'Restating Adj'!BE53+'Pro Forma Adj'!BE53</f>
        <v>0</v>
      </c>
      <c r="BF53" s="30">
        <f>'Restating Adj'!BF53+'Pro Forma Adj'!BF53</f>
        <v>0</v>
      </c>
      <c r="BG53" s="90">
        <f>'Restating Adj'!BG53+'Pro Forma Adj'!BG53</f>
        <v>0</v>
      </c>
      <c r="BH53" s="12">
        <f>'Restating Adj'!BH53+'Pro Forma Adj'!BH53</f>
        <v>0</v>
      </c>
      <c r="BI53" s="90">
        <f>'Restating Adj'!BI53+'Pro Forma Adj'!BI53</f>
        <v>0</v>
      </c>
      <c r="BJ53" s="92">
        <f>'Restating Adj'!BJ53+'Pro Forma Adj'!BJ53</f>
        <v>0</v>
      </c>
      <c r="BK53" s="92">
        <f>'Restating Adj'!BK53+'Pro Forma Adj'!BK53</f>
        <v>0</v>
      </c>
      <c r="BL53" s="92">
        <f>'Restating Adj'!BL53+'Pro Forma Adj'!BL53</f>
        <v>0</v>
      </c>
      <c r="BM53" s="92">
        <f>'Restating Adj'!BM53+'Pro Forma Adj'!BM53</f>
        <v>0</v>
      </c>
      <c r="BN53" s="31">
        <f>'Restating Adj'!BN53+'Pro Forma Adj'!BN53</f>
        <v>0</v>
      </c>
      <c r="BO53" s="92">
        <f>'Restating Adj'!BO53+'Pro Forma Adj'!BO53</f>
        <v>0</v>
      </c>
      <c r="BP53" s="92">
        <f>'Restating Adj'!BP53+'Pro Forma Adj'!BP53</f>
        <v>0</v>
      </c>
      <c r="BQ53" s="92">
        <f>'Restating Adj'!BQ53+'Pro Forma Adj'!BQ53</f>
        <v>0</v>
      </c>
      <c r="BR53" s="92">
        <f>'Restating Adj'!BR53+'Pro Forma Adj'!BR53</f>
        <v>0</v>
      </c>
      <c r="BS53" s="92">
        <f>'Restating Adj'!BS53+'Pro Forma Adj'!BS53</f>
        <v>0</v>
      </c>
      <c r="BT53" s="92">
        <f>'Restating Adj'!BT53+'Pro Forma Adj'!BT53</f>
        <v>0</v>
      </c>
      <c r="BU53" s="92">
        <f>'Restating Adj'!BU53+'Pro Forma Adj'!BU53</f>
        <v>0</v>
      </c>
      <c r="BV53" s="299">
        <f>'Restating Adj'!BV53+'Pro Forma Adj'!BV53</f>
        <v>0</v>
      </c>
      <c r="BW53" s="31">
        <f>'Restating Adj'!BW53+'Pro Forma Adj'!BW53</f>
        <v>0</v>
      </c>
      <c r="BX53" s="93">
        <f>'Restating Adj'!BX53+'Pro Forma Adj'!BX53</f>
        <v>0</v>
      </c>
      <c r="BY53" s="15"/>
    </row>
    <row r="54" spans="1:77" x14ac:dyDescent="0.2">
      <c r="A54" s="14" t="s">
        <v>89</v>
      </c>
      <c r="B54" s="189">
        <f t="shared" si="38"/>
        <v>69397572.474383563</v>
      </c>
      <c r="C54" s="35">
        <f>SUM(C43:C53)</f>
        <v>0</v>
      </c>
      <c r="D54" s="103">
        <f t="shared" ref="D54:BE54" si="39">SUM(D43:D53)</f>
        <v>0</v>
      </c>
      <c r="E54" s="103">
        <f t="shared" si="39"/>
        <v>0</v>
      </c>
      <c r="F54" s="103">
        <f t="shared" si="39"/>
        <v>0</v>
      </c>
      <c r="G54" s="103">
        <f t="shared" si="39"/>
        <v>0</v>
      </c>
      <c r="H54" s="103">
        <f t="shared" si="39"/>
        <v>0</v>
      </c>
      <c r="I54" s="104">
        <f t="shared" si="39"/>
        <v>0</v>
      </c>
      <c r="J54" s="35">
        <f t="shared" ref="J54:K54" si="40">SUM(J43:J53)</f>
        <v>0</v>
      </c>
      <c r="K54" s="104">
        <f t="shared" si="40"/>
        <v>0</v>
      </c>
      <c r="L54" s="35">
        <f t="shared" si="39"/>
        <v>0</v>
      </c>
      <c r="M54" s="103">
        <f t="shared" si="39"/>
        <v>0</v>
      </c>
      <c r="N54" s="103">
        <f t="shared" si="39"/>
        <v>0</v>
      </c>
      <c r="O54" s="103">
        <f t="shared" si="39"/>
        <v>0</v>
      </c>
      <c r="P54" s="103">
        <f t="shared" si="39"/>
        <v>0</v>
      </c>
      <c r="Q54" s="104">
        <f t="shared" si="39"/>
        <v>0</v>
      </c>
      <c r="R54" s="35">
        <f t="shared" si="39"/>
        <v>0</v>
      </c>
      <c r="S54" s="103">
        <f t="shared" si="39"/>
        <v>0</v>
      </c>
      <c r="T54" s="103">
        <f t="shared" si="39"/>
        <v>0</v>
      </c>
      <c r="U54" s="103">
        <f t="shared" si="39"/>
        <v>0</v>
      </c>
      <c r="V54" s="103">
        <f t="shared" si="39"/>
        <v>0</v>
      </c>
      <c r="W54" s="103">
        <f t="shared" si="39"/>
        <v>0</v>
      </c>
      <c r="X54" s="104">
        <f t="shared" si="39"/>
        <v>0</v>
      </c>
      <c r="Y54" s="35">
        <f t="shared" ref="Y54:AB54" si="41">SUM(Y43:Y53)</f>
        <v>0</v>
      </c>
      <c r="Z54" s="103">
        <f t="shared" si="41"/>
        <v>0</v>
      </c>
      <c r="AA54" s="103">
        <f t="shared" si="41"/>
        <v>0</v>
      </c>
      <c r="AB54" s="103">
        <f t="shared" si="41"/>
        <v>0</v>
      </c>
      <c r="AC54" s="104">
        <f t="shared" ref="AC54" si="42">SUM(AC43:AC53)</f>
        <v>0</v>
      </c>
      <c r="AD54" s="35">
        <f t="shared" si="39"/>
        <v>0</v>
      </c>
      <c r="AE54" s="104">
        <f t="shared" ref="AE54" si="43">SUM(AE43:AE53)</f>
        <v>0</v>
      </c>
      <c r="AF54" s="35">
        <f t="shared" si="39"/>
        <v>0</v>
      </c>
      <c r="AG54" s="103">
        <f t="shared" si="39"/>
        <v>-28327255.80891481</v>
      </c>
      <c r="AH54" s="35">
        <f t="shared" si="39"/>
        <v>0</v>
      </c>
      <c r="AI54" s="103">
        <f t="shared" si="39"/>
        <v>0</v>
      </c>
      <c r="AJ54" s="103">
        <f t="shared" si="39"/>
        <v>0</v>
      </c>
      <c r="AK54" s="104">
        <f t="shared" si="39"/>
        <v>0</v>
      </c>
      <c r="AL54" s="35">
        <f t="shared" si="39"/>
        <v>0</v>
      </c>
      <c r="AM54" s="103">
        <f t="shared" ref="AM54:AQ54" si="44">SUM(AM43:AM53)</f>
        <v>0</v>
      </c>
      <c r="AN54" s="103">
        <f t="shared" ref="AN54:AP54" si="45">SUM(AN43:AN53)</f>
        <v>0</v>
      </c>
      <c r="AO54" s="103">
        <f t="shared" si="45"/>
        <v>0</v>
      </c>
      <c r="AP54" s="103">
        <f t="shared" si="45"/>
        <v>0</v>
      </c>
      <c r="AQ54" s="104">
        <f t="shared" si="44"/>
        <v>0</v>
      </c>
      <c r="AR54" s="103">
        <f t="shared" ref="AR54" si="46">SUM(AR43:AR53)</f>
        <v>0</v>
      </c>
      <c r="AS54" s="35">
        <f t="shared" si="39"/>
        <v>0</v>
      </c>
      <c r="AT54" s="103">
        <f t="shared" si="39"/>
        <v>0</v>
      </c>
      <c r="AU54" s="103">
        <f t="shared" si="39"/>
        <v>0</v>
      </c>
      <c r="AV54" s="103">
        <f t="shared" si="39"/>
        <v>0</v>
      </c>
      <c r="AW54" s="103">
        <f t="shared" si="39"/>
        <v>0</v>
      </c>
      <c r="AX54" s="103">
        <f t="shared" si="39"/>
        <v>0</v>
      </c>
      <c r="AY54" s="35">
        <f t="shared" si="39"/>
        <v>0</v>
      </c>
      <c r="AZ54" s="103">
        <f t="shared" si="39"/>
        <v>0</v>
      </c>
      <c r="BA54" s="103">
        <f t="shared" si="39"/>
        <v>0</v>
      </c>
      <c r="BB54" s="35">
        <f t="shared" si="39"/>
        <v>69599528.936455712</v>
      </c>
      <c r="BC54" s="103">
        <f t="shared" si="39"/>
        <v>130636.84776425855</v>
      </c>
      <c r="BD54" s="103">
        <f t="shared" si="39"/>
        <v>0</v>
      </c>
      <c r="BE54" s="103">
        <f t="shared" si="39"/>
        <v>21097162.679424621</v>
      </c>
      <c r="BF54" s="35">
        <f t="shared" ref="BF54:BX54" si="47">SUM(BF43:BF53)</f>
        <v>0</v>
      </c>
      <c r="BG54" s="103">
        <f t="shared" si="47"/>
        <v>-17820940.919662062</v>
      </c>
      <c r="BH54" s="103">
        <f t="shared" si="47"/>
        <v>-5900423.0639445903</v>
      </c>
      <c r="BI54" s="103">
        <f t="shared" si="47"/>
        <v>-202651.71009212057</v>
      </c>
      <c r="BJ54" s="103">
        <f t="shared" si="47"/>
        <v>-360048.63899999904</v>
      </c>
      <c r="BK54" s="103">
        <f t="shared" si="47"/>
        <v>0</v>
      </c>
      <c r="BL54" s="103">
        <f t="shared" si="47"/>
        <v>0</v>
      </c>
      <c r="BM54" s="103">
        <f t="shared" si="47"/>
        <v>0</v>
      </c>
      <c r="BN54" s="35">
        <f t="shared" si="47"/>
        <v>0</v>
      </c>
      <c r="BO54" s="103">
        <f t="shared" si="47"/>
        <v>0</v>
      </c>
      <c r="BP54" s="103">
        <f t="shared" si="47"/>
        <v>0</v>
      </c>
      <c r="BQ54" s="103">
        <f t="shared" si="47"/>
        <v>0</v>
      </c>
      <c r="BR54" s="103">
        <f t="shared" si="47"/>
        <v>0</v>
      </c>
      <c r="BS54" s="103">
        <f t="shared" si="47"/>
        <v>0</v>
      </c>
      <c r="BT54" s="103">
        <f t="shared" si="47"/>
        <v>0</v>
      </c>
      <c r="BU54" s="103">
        <f t="shared" si="47"/>
        <v>0</v>
      </c>
      <c r="BV54" s="189">
        <f t="shared" si="47"/>
        <v>31018483.084840588</v>
      </c>
      <c r="BW54" s="35">
        <f t="shared" si="47"/>
        <v>163081.06751195365</v>
      </c>
      <c r="BX54" s="104">
        <f t="shared" si="47"/>
        <v>0</v>
      </c>
      <c r="BY54" s="15"/>
    </row>
    <row r="55" spans="1:77" x14ac:dyDescent="0.2">
      <c r="A55" s="14"/>
      <c r="B55" s="88"/>
      <c r="C55" s="29"/>
      <c r="D55" s="12"/>
      <c r="E55" s="12"/>
      <c r="F55" s="12"/>
      <c r="G55" s="12"/>
      <c r="H55" s="12"/>
      <c r="I55" s="86"/>
      <c r="J55" s="29"/>
      <c r="K55" s="86"/>
      <c r="L55" s="29"/>
      <c r="M55" s="12"/>
      <c r="N55" s="12"/>
      <c r="O55" s="12"/>
      <c r="P55" s="12"/>
      <c r="Q55" s="86"/>
      <c r="R55" s="29"/>
      <c r="S55" s="12"/>
      <c r="T55" s="12"/>
      <c r="U55" s="12"/>
      <c r="V55" s="12"/>
      <c r="W55" s="12"/>
      <c r="X55" s="86"/>
      <c r="Y55" s="29"/>
      <c r="Z55" s="12"/>
      <c r="AA55" s="12"/>
      <c r="AB55" s="12"/>
      <c r="AC55" s="86"/>
      <c r="AD55" s="29"/>
      <c r="AE55" s="86"/>
      <c r="AF55" s="29"/>
      <c r="AG55" s="12"/>
      <c r="AH55" s="29"/>
      <c r="AI55" s="12"/>
      <c r="AJ55" s="12"/>
      <c r="AK55" s="86"/>
      <c r="AL55" s="29"/>
      <c r="AM55" s="12"/>
      <c r="AN55" s="12"/>
      <c r="AO55" s="12"/>
      <c r="AP55" s="12"/>
      <c r="AQ55" s="86"/>
      <c r="AR55" s="12"/>
      <c r="AS55" s="29"/>
      <c r="AT55" s="12"/>
      <c r="AU55" s="12"/>
      <c r="AV55" s="12"/>
      <c r="AW55" s="12"/>
      <c r="AX55" s="12"/>
      <c r="AY55" s="29"/>
      <c r="AZ55" s="12"/>
      <c r="BA55" s="12"/>
      <c r="BB55" s="29"/>
      <c r="BC55" s="12"/>
      <c r="BD55" s="12"/>
      <c r="BE55" s="12"/>
      <c r="BF55" s="29"/>
      <c r="BG55" s="12"/>
      <c r="BH55" s="12"/>
      <c r="BI55" s="12"/>
      <c r="BJ55" s="12"/>
      <c r="BK55" s="12"/>
      <c r="BL55" s="12"/>
      <c r="BM55" s="12"/>
      <c r="BN55" s="29"/>
      <c r="BO55" s="12"/>
      <c r="BP55" s="12"/>
      <c r="BQ55" s="12"/>
      <c r="BR55" s="12"/>
      <c r="BS55" s="12"/>
      <c r="BT55" s="12"/>
      <c r="BU55" s="12"/>
      <c r="BV55" s="88"/>
      <c r="BW55" s="29"/>
      <c r="BX55" s="86"/>
      <c r="BY55" s="15"/>
    </row>
    <row r="56" spans="1:77" x14ac:dyDescent="0.2">
      <c r="A56" s="14" t="s">
        <v>90</v>
      </c>
      <c r="B56" s="88">
        <f t="shared" ref="B56:B65" si="48">SUM(C56:BX56)</f>
        <v>0</v>
      </c>
      <c r="C56" s="29"/>
      <c r="D56" s="12"/>
      <c r="E56" s="12"/>
      <c r="F56" s="12"/>
      <c r="G56" s="12"/>
      <c r="H56" s="12"/>
      <c r="I56" s="86"/>
      <c r="J56" s="29"/>
      <c r="K56" s="86"/>
      <c r="L56" s="29"/>
      <c r="M56" s="12"/>
      <c r="N56" s="12"/>
      <c r="O56" s="12"/>
      <c r="P56" s="12"/>
      <c r="Q56" s="86"/>
      <c r="R56" s="29"/>
      <c r="S56" s="12"/>
      <c r="T56" s="12"/>
      <c r="U56" s="12"/>
      <c r="V56" s="12"/>
      <c r="W56" s="12"/>
      <c r="X56" s="86"/>
      <c r="Y56" s="29"/>
      <c r="Z56" s="12"/>
      <c r="AA56" s="12"/>
      <c r="AB56" s="12"/>
      <c r="AC56" s="86"/>
      <c r="AD56" s="29"/>
      <c r="AE56" s="86"/>
      <c r="AF56" s="29"/>
      <c r="AG56" s="12"/>
      <c r="AH56" s="29"/>
      <c r="AI56" s="12"/>
      <c r="AJ56" s="12"/>
      <c r="AK56" s="86"/>
      <c r="AL56" s="29"/>
      <c r="AM56" s="12"/>
      <c r="AN56" s="12"/>
      <c r="AO56" s="12"/>
      <c r="AP56" s="12"/>
      <c r="AQ56" s="86"/>
      <c r="AR56" s="12"/>
      <c r="AS56" s="29"/>
      <c r="AT56" s="12"/>
      <c r="AU56" s="12"/>
      <c r="AV56" s="12"/>
      <c r="AW56" s="12"/>
      <c r="AX56" s="12"/>
      <c r="AY56" s="29"/>
      <c r="AZ56" s="12"/>
      <c r="BA56" s="12"/>
      <c r="BB56" s="29"/>
      <c r="BC56" s="12"/>
      <c r="BD56" s="12"/>
      <c r="BE56" s="12"/>
      <c r="BF56" s="29"/>
      <c r="BG56" s="12"/>
      <c r="BH56" s="12"/>
      <c r="BI56" s="12"/>
      <c r="BJ56" s="12"/>
      <c r="BK56" s="12"/>
      <c r="BL56" s="12"/>
      <c r="BM56" s="12"/>
      <c r="BN56" s="29"/>
      <c r="BO56" s="12"/>
      <c r="BP56" s="12"/>
      <c r="BQ56" s="12"/>
      <c r="BR56" s="12"/>
      <c r="BS56" s="12"/>
      <c r="BT56" s="12"/>
      <c r="BU56" s="12"/>
      <c r="BV56" s="88"/>
      <c r="BW56" s="29"/>
      <c r="BX56" s="86"/>
      <c r="BY56" s="15"/>
    </row>
    <row r="57" spans="1:77" x14ac:dyDescent="0.2">
      <c r="A57" s="14" t="s">
        <v>91</v>
      </c>
      <c r="B57" s="100">
        <f t="shared" si="48"/>
        <v>-22731208.896244895</v>
      </c>
      <c r="C57" s="31">
        <f>'Restating Adj'!C57+'Pro Forma Adj'!C57</f>
        <v>0</v>
      </c>
      <c r="D57" s="92">
        <f>'Restating Adj'!D57+'Pro Forma Adj'!D57</f>
        <v>0</v>
      </c>
      <c r="E57" s="92">
        <f>'Restating Adj'!E57+'Pro Forma Adj'!E57</f>
        <v>0</v>
      </c>
      <c r="F57" s="92">
        <f>'Restating Adj'!F57+'Pro Forma Adj'!F57</f>
        <v>0</v>
      </c>
      <c r="G57" s="92">
        <f>'Restating Adj'!G57+'Pro Forma Adj'!G57</f>
        <v>0</v>
      </c>
      <c r="H57" s="90">
        <f>'Restating Adj'!H57+'Pro Forma Adj'!H57</f>
        <v>0</v>
      </c>
      <c r="I57" s="91">
        <f>'Restating Adj'!I57+'Pro Forma Adj'!I57</f>
        <v>0</v>
      </c>
      <c r="J57" s="30">
        <f>'Restating Adj'!J57+'Pro Forma Adj'!J57</f>
        <v>0</v>
      </c>
      <c r="K57" s="91">
        <f>'Restating Adj'!K57+'Pro Forma Adj'!K57</f>
        <v>0</v>
      </c>
      <c r="L57" s="31">
        <f>'Restating Adj'!L57+'Pro Forma Adj'!L57</f>
        <v>0</v>
      </c>
      <c r="M57" s="92">
        <f>'Restating Adj'!M57+'Pro Forma Adj'!M57</f>
        <v>0</v>
      </c>
      <c r="N57" s="92">
        <f>'Restating Adj'!N57+'Pro Forma Adj'!N57</f>
        <v>0</v>
      </c>
      <c r="O57" s="92">
        <f>'Restating Adj'!O57+'Pro Forma Adj'!O57</f>
        <v>0</v>
      </c>
      <c r="P57" s="92">
        <f>'Restating Adj'!P57+'Pro Forma Adj'!P57</f>
        <v>0</v>
      </c>
      <c r="Q57" s="93">
        <f>'Restating Adj'!Q57+'Pro Forma Adj'!Q57</f>
        <v>0</v>
      </c>
      <c r="R57" s="30">
        <f>'Restating Adj'!R57+'Pro Forma Adj'!R57</f>
        <v>0</v>
      </c>
      <c r="S57" s="90">
        <f>'Restating Adj'!S57+'Pro Forma Adj'!S57</f>
        <v>0</v>
      </c>
      <c r="T57" s="90">
        <f>'Restating Adj'!T57+'Pro Forma Adj'!T57</f>
        <v>0</v>
      </c>
      <c r="U57" s="90">
        <f>'Restating Adj'!U57+'Pro Forma Adj'!U57</f>
        <v>0</v>
      </c>
      <c r="V57" s="90">
        <f>'Restating Adj'!V57+'Pro Forma Adj'!V57</f>
        <v>0</v>
      </c>
      <c r="W57" s="90">
        <f>'Restating Adj'!W57+'Pro Forma Adj'!W57</f>
        <v>0</v>
      </c>
      <c r="X57" s="91">
        <f>'Restating Adj'!X57+'Pro Forma Adj'!X57</f>
        <v>0</v>
      </c>
      <c r="Y57" s="30">
        <f>'Restating Adj'!Y57+'Pro Forma Adj'!Y57</f>
        <v>0</v>
      </c>
      <c r="Z57" s="90">
        <f>'Restating Adj'!Z57+'Pro Forma Adj'!Z57</f>
        <v>0</v>
      </c>
      <c r="AA57" s="90">
        <f>'Restating Adj'!AA57+'Pro Forma Adj'!AA57</f>
        <v>0</v>
      </c>
      <c r="AB57" s="90">
        <f>'Restating Adj'!AB57+'Pro Forma Adj'!AB57</f>
        <v>0</v>
      </c>
      <c r="AC57" s="91">
        <f>'Restating Adj'!AC57+'Pro Forma Adj'!AC57</f>
        <v>0</v>
      </c>
      <c r="AD57" s="31">
        <f>'Restating Adj'!AD57+'Pro Forma Adj'!AD57</f>
        <v>0</v>
      </c>
      <c r="AE57" s="93">
        <f>'Restating Adj'!AE57+'Pro Forma Adj'!AE57</f>
        <v>0</v>
      </c>
      <c r="AF57" s="31">
        <f>'Restating Adj'!AF57+'Pro Forma Adj'!AF57</f>
        <v>0</v>
      </c>
      <c r="AG57" s="92">
        <f>'Restating Adj'!AG57+'Pro Forma Adj'!AG57</f>
        <v>18631294.304746002</v>
      </c>
      <c r="AH57" s="31">
        <f>'Restating Adj'!AH57+'Pro Forma Adj'!AH57</f>
        <v>-196210.48572820838</v>
      </c>
      <c r="AI57" s="92">
        <f>'Restating Adj'!AI57+'Pro Forma Adj'!AI57</f>
        <v>0</v>
      </c>
      <c r="AJ57" s="92">
        <f>'Restating Adj'!AJ57+'Pro Forma Adj'!AJ57</f>
        <v>0</v>
      </c>
      <c r="AK57" s="93">
        <f>'Restating Adj'!AK57+'Pro Forma Adj'!AK57</f>
        <v>0</v>
      </c>
      <c r="AL57" s="31">
        <f>'Restating Adj'!AL57+'Pro Forma Adj'!AL57</f>
        <v>0</v>
      </c>
      <c r="AM57" s="92">
        <f>'Restating Adj'!AM57+'Pro Forma Adj'!AM57</f>
        <v>-1428608.4764376204</v>
      </c>
      <c r="AN57" s="92">
        <f>'Restating Adj'!AN57+'Pro Forma Adj'!AN57</f>
        <v>0</v>
      </c>
      <c r="AO57" s="92">
        <f>'Restating Adj'!AO57+'Pro Forma Adj'!AO57</f>
        <v>0</v>
      </c>
      <c r="AP57" s="92">
        <f>'Restating Adj'!AP57+'Pro Forma Adj'!AP57</f>
        <v>0</v>
      </c>
      <c r="AQ57" s="93">
        <f>'Restating Adj'!AQ57+'Pro Forma Adj'!AQ57</f>
        <v>0</v>
      </c>
      <c r="AR57" s="92">
        <f>'Restating Adj'!AR57+'Pro Forma Adj'!AR57</f>
        <v>0</v>
      </c>
      <c r="AS57" s="31">
        <f>'Restating Adj'!AS57+'Pro Forma Adj'!AS57</f>
        <v>0</v>
      </c>
      <c r="AT57" s="92">
        <f>'Restating Adj'!AT57+'Pro Forma Adj'!AT57</f>
        <v>0</v>
      </c>
      <c r="AU57" s="92">
        <f>'Restating Adj'!AU57+'Pro Forma Adj'!AU57</f>
        <v>0</v>
      </c>
      <c r="AV57" s="92">
        <f>'Restating Adj'!AV57+'Pro Forma Adj'!AV57</f>
        <v>0</v>
      </c>
      <c r="AW57" s="92">
        <f>'Restating Adj'!AW57+'Pro Forma Adj'!AW57</f>
        <v>0</v>
      </c>
      <c r="AX57" s="92">
        <f>'Restating Adj'!AX57+'Pro Forma Adj'!AX57</f>
        <v>0</v>
      </c>
      <c r="AY57" s="31">
        <f>'Restating Adj'!AY57+'Pro Forma Adj'!AY57</f>
        <v>0</v>
      </c>
      <c r="AZ57" s="92">
        <f>'Restating Adj'!AZ57+'Pro Forma Adj'!AZ57</f>
        <v>0</v>
      </c>
      <c r="BA57" s="92">
        <f>'Restating Adj'!BA57+'Pro Forma Adj'!BA57</f>
        <v>0</v>
      </c>
      <c r="BB57" s="31">
        <f>'Restating Adj'!BB57+'Pro Forma Adj'!BB57</f>
        <v>-39255598.589629233</v>
      </c>
      <c r="BC57" s="90">
        <f>'Restating Adj'!BC57+'Pro Forma Adj'!BC57</f>
        <v>0</v>
      </c>
      <c r="BD57" s="90">
        <f>'Restating Adj'!BD57+'Pro Forma Adj'!BD57</f>
        <v>0</v>
      </c>
      <c r="BE57" s="90">
        <f>'Restating Adj'!BE57+'Pro Forma Adj'!BE57</f>
        <v>-478387.71218067798</v>
      </c>
      <c r="BF57" s="30">
        <f>'Restating Adj'!BF57+'Pro Forma Adj'!BF57</f>
        <v>0</v>
      </c>
      <c r="BG57" s="90">
        <f>'Restating Adj'!BG57+'Pro Forma Adj'!BG57</f>
        <v>0</v>
      </c>
      <c r="BH57" s="12">
        <f>'Restating Adj'!BH57+'Pro Forma Adj'!BH57</f>
        <v>0</v>
      </c>
      <c r="BI57" s="90">
        <f>'Restating Adj'!BI57+'Pro Forma Adj'!BI57</f>
        <v>0</v>
      </c>
      <c r="BJ57" s="92">
        <f>'Restating Adj'!BJ57+'Pro Forma Adj'!BJ57</f>
        <v>0</v>
      </c>
      <c r="BK57" s="92">
        <f>'Restating Adj'!BK57+'Pro Forma Adj'!BK57</f>
        <v>0</v>
      </c>
      <c r="BL57" s="92">
        <f>'Restating Adj'!BL57+'Pro Forma Adj'!BL57</f>
        <v>0</v>
      </c>
      <c r="BM57" s="92">
        <f>'Restating Adj'!BM57+'Pro Forma Adj'!BM57</f>
        <v>0</v>
      </c>
      <c r="BN57" s="31">
        <f>'Restating Adj'!BN57+'Pro Forma Adj'!BN57</f>
        <v>0</v>
      </c>
      <c r="BO57" s="92">
        <f>'Restating Adj'!BO57+'Pro Forma Adj'!BO57</f>
        <v>0</v>
      </c>
      <c r="BP57" s="92">
        <f>'Restating Adj'!BP57+'Pro Forma Adj'!BP57</f>
        <v>0</v>
      </c>
      <c r="BQ57" s="92">
        <f>'Restating Adj'!BQ57+'Pro Forma Adj'!BQ57</f>
        <v>0</v>
      </c>
      <c r="BR57" s="92">
        <f>'Restating Adj'!BR57+'Pro Forma Adj'!BR57</f>
        <v>0</v>
      </c>
      <c r="BS57" s="92">
        <f>'Restating Adj'!BS57+'Pro Forma Adj'!BS57</f>
        <v>0</v>
      </c>
      <c r="BT57" s="92">
        <f>'Restating Adj'!BT57+'Pro Forma Adj'!BT57</f>
        <v>0</v>
      </c>
      <c r="BU57" s="92">
        <f>'Restating Adj'!BU57+'Pro Forma Adj'!BU57</f>
        <v>0</v>
      </c>
      <c r="BV57" s="299">
        <f>'Restating Adj'!BV57+'Pro Forma Adj'!BV57</f>
        <v>0</v>
      </c>
      <c r="BW57" s="31">
        <f>'Restating Adj'!BW57+'Pro Forma Adj'!BW57</f>
        <v>-3697.9370151566691</v>
      </c>
      <c r="BX57" s="93">
        <f>'Restating Adj'!BX57+'Pro Forma Adj'!BX57</f>
        <v>0</v>
      </c>
      <c r="BY57" s="15"/>
    </row>
    <row r="58" spans="1:77" x14ac:dyDescent="0.2">
      <c r="A58" s="14" t="s">
        <v>92</v>
      </c>
      <c r="B58" s="100">
        <f t="shared" si="48"/>
        <v>0</v>
      </c>
      <c r="C58" s="31">
        <f>'Restating Adj'!C58+'Pro Forma Adj'!C58</f>
        <v>0</v>
      </c>
      <c r="D58" s="92">
        <f>'Restating Adj'!D58+'Pro Forma Adj'!D58</f>
        <v>0</v>
      </c>
      <c r="E58" s="92">
        <f>'Restating Adj'!E58+'Pro Forma Adj'!E58</f>
        <v>0</v>
      </c>
      <c r="F58" s="92">
        <f>'Restating Adj'!F58+'Pro Forma Adj'!F58</f>
        <v>0</v>
      </c>
      <c r="G58" s="92">
        <f>'Restating Adj'!G58+'Pro Forma Adj'!G58</f>
        <v>0</v>
      </c>
      <c r="H58" s="90">
        <f>'Restating Adj'!H58+'Pro Forma Adj'!H58</f>
        <v>0</v>
      </c>
      <c r="I58" s="91">
        <f>'Restating Adj'!I58+'Pro Forma Adj'!I58</f>
        <v>0</v>
      </c>
      <c r="J58" s="30">
        <f>'Restating Adj'!J58+'Pro Forma Adj'!J58</f>
        <v>0</v>
      </c>
      <c r="K58" s="91">
        <f>'Restating Adj'!K58+'Pro Forma Adj'!K58</f>
        <v>0</v>
      </c>
      <c r="L58" s="31">
        <f>'Restating Adj'!L58+'Pro Forma Adj'!L58</f>
        <v>0</v>
      </c>
      <c r="M58" s="92">
        <f>'Restating Adj'!M58+'Pro Forma Adj'!M58</f>
        <v>0</v>
      </c>
      <c r="N58" s="92">
        <f>'Restating Adj'!N58+'Pro Forma Adj'!N58</f>
        <v>0</v>
      </c>
      <c r="O58" s="92">
        <f>'Restating Adj'!O58+'Pro Forma Adj'!O58</f>
        <v>0</v>
      </c>
      <c r="P58" s="92">
        <f>'Restating Adj'!P58+'Pro Forma Adj'!P58</f>
        <v>0</v>
      </c>
      <c r="Q58" s="93">
        <f>'Restating Adj'!Q58+'Pro Forma Adj'!Q58</f>
        <v>0</v>
      </c>
      <c r="R58" s="30">
        <f>'Restating Adj'!R58+'Pro Forma Adj'!R58</f>
        <v>0</v>
      </c>
      <c r="S58" s="90">
        <f>'Restating Adj'!S58+'Pro Forma Adj'!S58</f>
        <v>0</v>
      </c>
      <c r="T58" s="90">
        <f>'Restating Adj'!T58+'Pro Forma Adj'!T58</f>
        <v>0</v>
      </c>
      <c r="U58" s="90">
        <f>'Restating Adj'!U58+'Pro Forma Adj'!U58</f>
        <v>0</v>
      </c>
      <c r="V58" s="90">
        <f>'Restating Adj'!V58+'Pro Forma Adj'!V58</f>
        <v>0</v>
      </c>
      <c r="W58" s="90">
        <f>'Restating Adj'!W58+'Pro Forma Adj'!W58</f>
        <v>0</v>
      </c>
      <c r="X58" s="91">
        <f>'Restating Adj'!X58+'Pro Forma Adj'!X58</f>
        <v>0</v>
      </c>
      <c r="Y58" s="30">
        <f>'Restating Adj'!Y58+'Pro Forma Adj'!Y58</f>
        <v>0</v>
      </c>
      <c r="Z58" s="90">
        <f>'Restating Adj'!Z58+'Pro Forma Adj'!Z58</f>
        <v>0</v>
      </c>
      <c r="AA58" s="90">
        <f>'Restating Adj'!AA58+'Pro Forma Adj'!AA58</f>
        <v>0</v>
      </c>
      <c r="AB58" s="90">
        <f>'Restating Adj'!AB58+'Pro Forma Adj'!AB58</f>
        <v>0</v>
      </c>
      <c r="AC58" s="91">
        <f>'Restating Adj'!AC58+'Pro Forma Adj'!AC58</f>
        <v>0</v>
      </c>
      <c r="AD58" s="31">
        <f>'Restating Adj'!AD58+'Pro Forma Adj'!AD58</f>
        <v>0</v>
      </c>
      <c r="AE58" s="93">
        <f>'Restating Adj'!AE58+'Pro Forma Adj'!AE58</f>
        <v>0</v>
      </c>
      <c r="AF58" s="31">
        <f>'Restating Adj'!AF58+'Pro Forma Adj'!AF58</f>
        <v>0</v>
      </c>
      <c r="AG58" s="92">
        <f>'Restating Adj'!AG58+'Pro Forma Adj'!AG58</f>
        <v>0</v>
      </c>
      <c r="AH58" s="31">
        <f>'Restating Adj'!AH58+'Pro Forma Adj'!AH58</f>
        <v>0</v>
      </c>
      <c r="AI58" s="92">
        <f>'Restating Adj'!AI58+'Pro Forma Adj'!AI58</f>
        <v>0</v>
      </c>
      <c r="AJ58" s="92">
        <f>'Restating Adj'!AJ58+'Pro Forma Adj'!AJ58</f>
        <v>0</v>
      </c>
      <c r="AK58" s="93">
        <f>'Restating Adj'!AK58+'Pro Forma Adj'!AK58</f>
        <v>0</v>
      </c>
      <c r="AL58" s="31">
        <f>'Restating Adj'!AL58+'Pro Forma Adj'!AL58</f>
        <v>0</v>
      </c>
      <c r="AM58" s="92">
        <f>'Restating Adj'!AM58+'Pro Forma Adj'!AM58</f>
        <v>0</v>
      </c>
      <c r="AN58" s="92">
        <f>'Restating Adj'!AN58+'Pro Forma Adj'!AN58</f>
        <v>0</v>
      </c>
      <c r="AO58" s="92">
        <f>'Restating Adj'!AO58+'Pro Forma Adj'!AO58</f>
        <v>0</v>
      </c>
      <c r="AP58" s="92">
        <f>'Restating Adj'!AP58+'Pro Forma Adj'!AP58</f>
        <v>0</v>
      </c>
      <c r="AQ58" s="93">
        <f>'Restating Adj'!AQ58+'Pro Forma Adj'!AQ58</f>
        <v>0</v>
      </c>
      <c r="AR58" s="92">
        <f>'Restating Adj'!AR58+'Pro Forma Adj'!AR58</f>
        <v>0</v>
      </c>
      <c r="AS58" s="31">
        <f>'Restating Adj'!AS58+'Pro Forma Adj'!AS58</f>
        <v>0</v>
      </c>
      <c r="AT58" s="92">
        <f>'Restating Adj'!AT58+'Pro Forma Adj'!AT58</f>
        <v>0</v>
      </c>
      <c r="AU58" s="92">
        <f>'Restating Adj'!AU58+'Pro Forma Adj'!AU58</f>
        <v>0</v>
      </c>
      <c r="AV58" s="92">
        <f>'Restating Adj'!AV58+'Pro Forma Adj'!AV58</f>
        <v>0</v>
      </c>
      <c r="AW58" s="92">
        <f>'Restating Adj'!AW58+'Pro Forma Adj'!AW58</f>
        <v>0</v>
      </c>
      <c r="AX58" s="92">
        <f>'Restating Adj'!AX58+'Pro Forma Adj'!AX58</f>
        <v>0</v>
      </c>
      <c r="AY58" s="31">
        <f>'Restating Adj'!AY58+'Pro Forma Adj'!AY58</f>
        <v>0</v>
      </c>
      <c r="AZ58" s="92">
        <f>'Restating Adj'!AZ58+'Pro Forma Adj'!AZ58</f>
        <v>0</v>
      </c>
      <c r="BA58" s="92">
        <f>'Restating Adj'!BA58+'Pro Forma Adj'!BA58</f>
        <v>0</v>
      </c>
      <c r="BB58" s="31">
        <f>'Restating Adj'!BB58+'Pro Forma Adj'!BB58</f>
        <v>0</v>
      </c>
      <c r="BC58" s="90">
        <f>'Restating Adj'!BC58+'Pro Forma Adj'!BC58</f>
        <v>0</v>
      </c>
      <c r="BD58" s="90">
        <f>'Restating Adj'!BD58+'Pro Forma Adj'!BD58</f>
        <v>0</v>
      </c>
      <c r="BE58" s="90">
        <f>'Restating Adj'!BE58+'Pro Forma Adj'!BE58</f>
        <v>0</v>
      </c>
      <c r="BF58" s="30">
        <f>'Restating Adj'!BF58+'Pro Forma Adj'!BF58</f>
        <v>0</v>
      </c>
      <c r="BG58" s="90">
        <f>'Restating Adj'!BG58+'Pro Forma Adj'!BG58</f>
        <v>0</v>
      </c>
      <c r="BH58" s="12">
        <f>'Restating Adj'!BH58+'Pro Forma Adj'!BH58</f>
        <v>0</v>
      </c>
      <c r="BI58" s="90">
        <f>'Restating Adj'!BI58+'Pro Forma Adj'!BI58</f>
        <v>0</v>
      </c>
      <c r="BJ58" s="92">
        <f>'Restating Adj'!BJ58+'Pro Forma Adj'!BJ58</f>
        <v>0</v>
      </c>
      <c r="BK58" s="92">
        <f>'Restating Adj'!BK58+'Pro Forma Adj'!BK58</f>
        <v>0</v>
      </c>
      <c r="BL58" s="92">
        <f>'Restating Adj'!BL58+'Pro Forma Adj'!BL58</f>
        <v>0</v>
      </c>
      <c r="BM58" s="92">
        <f>'Restating Adj'!BM58+'Pro Forma Adj'!BM58</f>
        <v>0</v>
      </c>
      <c r="BN58" s="31">
        <f>'Restating Adj'!BN58+'Pro Forma Adj'!BN58</f>
        <v>0</v>
      </c>
      <c r="BO58" s="92">
        <f>'Restating Adj'!BO58+'Pro Forma Adj'!BO58</f>
        <v>0</v>
      </c>
      <c r="BP58" s="92">
        <f>'Restating Adj'!BP58+'Pro Forma Adj'!BP58</f>
        <v>0</v>
      </c>
      <c r="BQ58" s="92">
        <f>'Restating Adj'!BQ58+'Pro Forma Adj'!BQ58</f>
        <v>0</v>
      </c>
      <c r="BR58" s="92">
        <f>'Restating Adj'!BR58+'Pro Forma Adj'!BR58</f>
        <v>0</v>
      </c>
      <c r="BS58" s="92">
        <f>'Restating Adj'!BS58+'Pro Forma Adj'!BS58</f>
        <v>0</v>
      </c>
      <c r="BT58" s="92">
        <f>'Restating Adj'!BT58+'Pro Forma Adj'!BT58</f>
        <v>0</v>
      </c>
      <c r="BU58" s="92">
        <f>'Restating Adj'!BU58+'Pro Forma Adj'!BU58</f>
        <v>0</v>
      </c>
      <c r="BV58" s="299">
        <f>'Restating Adj'!BV58+'Pro Forma Adj'!BV58</f>
        <v>0</v>
      </c>
      <c r="BW58" s="31">
        <f>'Restating Adj'!BW58+'Pro Forma Adj'!BW58</f>
        <v>0</v>
      </c>
      <c r="BX58" s="93">
        <f>'Restating Adj'!BX58+'Pro Forma Adj'!BX58</f>
        <v>0</v>
      </c>
      <c r="BY58" s="15"/>
    </row>
    <row r="59" spans="1:77" x14ac:dyDescent="0.2">
      <c r="A59" s="14" t="s">
        <v>93</v>
      </c>
      <c r="B59" s="100">
        <f t="shared" si="48"/>
        <v>-15341615.074920939</v>
      </c>
      <c r="C59" s="31">
        <f>'Restating Adj'!C59+'Pro Forma Adj'!C59</f>
        <v>0</v>
      </c>
      <c r="D59" s="92">
        <f>'Restating Adj'!D59+'Pro Forma Adj'!D59</f>
        <v>0</v>
      </c>
      <c r="E59" s="92">
        <f>'Restating Adj'!E59+'Pro Forma Adj'!E59</f>
        <v>0</v>
      </c>
      <c r="F59" s="92">
        <f>'Restating Adj'!F59+'Pro Forma Adj'!F59</f>
        <v>152820.8753697275</v>
      </c>
      <c r="G59" s="92">
        <f>'Restating Adj'!G59+'Pro Forma Adj'!G59</f>
        <v>0</v>
      </c>
      <c r="H59" s="90">
        <f>'Restating Adj'!H59+'Pro Forma Adj'!H59</f>
        <v>0</v>
      </c>
      <c r="I59" s="91">
        <f>'Restating Adj'!I59+'Pro Forma Adj'!I59</f>
        <v>0</v>
      </c>
      <c r="J59" s="30">
        <f>'Restating Adj'!J59+'Pro Forma Adj'!J59</f>
        <v>0</v>
      </c>
      <c r="K59" s="91">
        <f>'Restating Adj'!K59+'Pro Forma Adj'!K59</f>
        <v>0</v>
      </c>
      <c r="L59" s="31">
        <f>'Restating Adj'!L59+'Pro Forma Adj'!L59</f>
        <v>0</v>
      </c>
      <c r="M59" s="92">
        <f>'Restating Adj'!M59+'Pro Forma Adj'!M59</f>
        <v>0</v>
      </c>
      <c r="N59" s="92">
        <f>'Restating Adj'!N59+'Pro Forma Adj'!N59</f>
        <v>0</v>
      </c>
      <c r="O59" s="92">
        <f>'Restating Adj'!O59+'Pro Forma Adj'!O59</f>
        <v>0</v>
      </c>
      <c r="P59" s="92">
        <f>'Restating Adj'!P59+'Pro Forma Adj'!P59</f>
        <v>0</v>
      </c>
      <c r="Q59" s="93">
        <f>'Restating Adj'!Q59+'Pro Forma Adj'!Q59</f>
        <v>0</v>
      </c>
      <c r="R59" s="30">
        <f>'Restating Adj'!R59+'Pro Forma Adj'!R59</f>
        <v>0</v>
      </c>
      <c r="S59" s="90">
        <f>'Restating Adj'!S59+'Pro Forma Adj'!S59</f>
        <v>0</v>
      </c>
      <c r="T59" s="90">
        <f>'Restating Adj'!T59+'Pro Forma Adj'!T59</f>
        <v>0</v>
      </c>
      <c r="U59" s="90">
        <f>'Restating Adj'!U59+'Pro Forma Adj'!U59</f>
        <v>0</v>
      </c>
      <c r="V59" s="90">
        <f>'Restating Adj'!V59+'Pro Forma Adj'!V59</f>
        <v>0</v>
      </c>
      <c r="W59" s="90">
        <f>'Restating Adj'!W59+'Pro Forma Adj'!W59</f>
        <v>0</v>
      </c>
      <c r="X59" s="91">
        <f>'Restating Adj'!X59+'Pro Forma Adj'!X59</f>
        <v>0</v>
      </c>
      <c r="Y59" s="30">
        <f>'Restating Adj'!Y59+'Pro Forma Adj'!Y59</f>
        <v>0</v>
      </c>
      <c r="Z59" s="90">
        <f>'Restating Adj'!Z59+'Pro Forma Adj'!Z59</f>
        <v>0</v>
      </c>
      <c r="AA59" s="90">
        <f>'Restating Adj'!AA59+'Pro Forma Adj'!AA59</f>
        <v>0</v>
      </c>
      <c r="AB59" s="90">
        <f>'Restating Adj'!AB59+'Pro Forma Adj'!AB59</f>
        <v>0</v>
      </c>
      <c r="AC59" s="91">
        <f>'Restating Adj'!AC59+'Pro Forma Adj'!AC59</f>
        <v>0</v>
      </c>
      <c r="AD59" s="31">
        <f>'Restating Adj'!AD59+'Pro Forma Adj'!AD59</f>
        <v>0</v>
      </c>
      <c r="AE59" s="93">
        <f>'Restating Adj'!AE59+'Pro Forma Adj'!AE59</f>
        <v>0</v>
      </c>
      <c r="AF59" s="31">
        <f>'Restating Adj'!AF59+'Pro Forma Adj'!AF59</f>
        <v>0</v>
      </c>
      <c r="AG59" s="92">
        <f>'Restating Adj'!AG59+'Pro Forma Adj'!AG59</f>
        <v>1126970.5347474767</v>
      </c>
      <c r="AH59" s="31">
        <f>'Restating Adj'!AH59+'Pro Forma Adj'!AH59</f>
        <v>-16554.633195093058</v>
      </c>
      <c r="AI59" s="92">
        <f>'Restating Adj'!AI59+'Pro Forma Adj'!AI59</f>
        <v>0</v>
      </c>
      <c r="AJ59" s="92">
        <f>'Restating Adj'!AJ59+'Pro Forma Adj'!AJ59</f>
        <v>0</v>
      </c>
      <c r="AK59" s="93">
        <f>'Restating Adj'!AK59+'Pro Forma Adj'!AK59</f>
        <v>0</v>
      </c>
      <c r="AL59" s="31">
        <f>'Restating Adj'!AL59+'Pro Forma Adj'!AL59</f>
        <v>0</v>
      </c>
      <c r="AM59" s="92">
        <f>'Restating Adj'!AM59+'Pro Forma Adj'!AM59</f>
        <v>0</v>
      </c>
      <c r="AN59" s="92">
        <f>'Restating Adj'!AN59+'Pro Forma Adj'!AN59</f>
        <v>542171.20289284119</v>
      </c>
      <c r="AO59" s="92">
        <f>'Restating Adj'!AO59+'Pro Forma Adj'!AO59</f>
        <v>0</v>
      </c>
      <c r="AP59" s="92">
        <f>'Restating Adj'!AP59+'Pro Forma Adj'!AP59</f>
        <v>0</v>
      </c>
      <c r="AQ59" s="93">
        <f>'Restating Adj'!AQ59+'Pro Forma Adj'!AQ59</f>
        <v>-143763.74042216278</v>
      </c>
      <c r="AR59" s="92">
        <f>'Restating Adj'!AR59+'Pro Forma Adj'!AR59</f>
        <v>0</v>
      </c>
      <c r="AS59" s="31">
        <f>'Restating Adj'!AS59+'Pro Forma Adj'!AS59</f>
        <v>0</v>
      </c>
      <c r="AT59" s="92">
        <f>'Restating Adj'!AT59+'Pro Forma Adj'!AT59</f>
        <v>0</v>
      </c>
      <c r="AU59" s="92">
        <f>'Restating Adj'!AU59+'Pro Forma Adj'!AU59</f>
        <v>0</v>
      </c>
      <c r="AV59" s="92">
        <f>'Restating Adj'!AV59+'Pro Forma Adj'!AV59</f>
        <v>-1637024.0885679396</v>
      </c>
      <c r="AW59" s="92">
        <f>'Restating Adj'!AW59+'Pro Forma Adj'!AW59</f>
        <v>0</v>
      </c>
      <c r="AX59" s="92">
        <f>'Restating Adj'!AX59+'Pro Forma Adj'!AX59</f>
        <v>-9662969.1539299972</v>
      </c>
      <c r="AY59" s="31">
        <f>'Restating Adj'!AY59+'Pro Forma Adj'!AY59</f>
        <v>0</v>
      </c>
      <c r="AZ59" s="92">
        <f>'Restating Adj'!AZ59+'Pro Forma Adj'!AZ59</f>
        <v>245568</v>
      </c>
      <c r="BA59" s="92">
        <f>'Restating Adj'!BA59+'Pro Forma Adj'!BA59</f>
        <v>0</v>
      </c>
      <c r="BB59" s="31">
        <f>'Restating Adj'!BB59+'Pro Forma Adj'!BB59</f>
        <v>-3609058.0436743628</v>
      </c>
      <c r="BC59" s="90">
        <f>'Restating Adj'!BC59+'Pro Forma Adj'!BC59</f>
        <v>-380671.18351681437</v>
      </c>
      <c r="BD59" s="90">
        <f>'Restating Adj'!BD59+'Pro Forma Adj'!BD59</f>
        <v>0</v>
      </c>
      <c r="BE59" s="90">
        <f>'Restating Adj'!BE59+'Pro Forma Adj'!BE59</f>
        <v>0</v>
      </c>
      <c r="BF59" s="30">
        <f>'Restating Adj'!BF59+'Pro Forma Adj'!BF59</f>
        <v>-2189361.7704155692</v>
      </c>
      <c r="BG59" s="90">
        <f>'Restating Adj'!BG59+'Pro Forma Adj'!BG59</f>
        <v>0</v>
      </c>
      <c r="BH59" s="12">
        <f>'Restating Adj'!BH59+'Pro Forma Adj'!BH59</f>
        <v>0</v>
      </c>
      <c r="BI59" s="90">
        <f>'Restating Adj'!BI59+'Pro Forma Adj'!BI59</f>
        <v>300351.93966095272</v>
      </c>
      <c r="BJ59" s="92">
        <f>'Restating Adj'!BJ59+'Pro Forma Adj'!BJ59</f>
        <v>0</v>
      </c>
      <c r="BK59" s="92">
        <f>'Restating Adj'!BK59+'Pro Forma Adj'!BK59</f>
        <v>0</v>
      </c>
      <c r="BL59" s="92">
        <f>'Restating Adj'!BL59+'Pro Forma Adj'!BL59</f>
        <v>0</v>
      </c>
      <c r="BM59" s="92">
        <f>'Restating Adj'!BM59+'Pro Forma Adj'!BM59</f>
        <v>0</v>
      </c>
      <c r="BN59" s="31">
        <f>'Restating Adj'!BN59+'Pro Forma Adj'!BN59</f>
        <v>0</v>
      </c>
      <c r="BO59" s="92">
        <f>'Restating Adj'!BO59+'Pro Forma Adj'!BO59</f>
        <v>0</v>
      </c>
      <c r="BP59" s="92">
        <f>'Restating Adj'!BP59+'Pro Forma Adj'!BP59</f>
        <v>0</v>
      </c>
      <c r="BQ59" s="92">
        <f>'Restating Adj'!BQ59+'Pro Forma Adj'!BQ59</f>
        <v>0</v>
      </c>
      <c r="BR59" s="92">
        <f>'Restating Adj'!BR59+'Pro Forma Adj'!BR59</f>
        <v>0</v>
      </c>
      <c r="BS59" s="92">
        <f>'Restating Adj'!BS59+'Pro Forma Adj'!BS59</f>
        <v>0</v>
      </c>
      <c r="BT59" s="92">
        <f>'Restating Adj'!BT59+'Pro Forma Adj'!BT59</f>
        <v>0</v>
      </c>
      <c r="BU59" s="92">
        <f>'Restating Adj'!BU59+'Pro Forma Adj'!BU59</f>
        <v>0</v>
      </c>
      <c r="BV59" s="299">
        <f>'Restating Adj'!BV59+'Pro Forma Adj'!BV59</f>
        <v>0</v>
      </c>
      <c r="BW59" s="31">
        <f>'Restating Adj'!BW59+'Pro Forma Adj'!BW59</f>
        <v>0</v>
      </c>
      <c r="BX59" s="93">
        <f>'Restating Adj'!BX59+'Pro Forma Adj'!BX59</f>
        <v>-70095.013869999326</v>
      </c>
      <c r="BY59" s="15"/>
    </row>
    <row r="60" spans="1:77" x14ac:dyDescent="0.2">
      <c r="A60" s="14" t="s">
        <v>94</v>
      </c>
      <c r="B60" s="100">
        <f t="shared" si="48"/>
        <v>1645.6848</v>
      </c>
      <c r="C60" s="31">
        <f>'Restating Adj'!C60+'Pro Forma Adj'!C60</f>
        <v>0</v>
      </c>
      <c r="D60" s="92">
        <f>'Restating Adj'!D60+'Pro Forma Adj'!D60</f>
        <v>0</v>
      </c>
      <c r="E60" s="92">
        <f>'Restating Adj'!E60+'Pro Forma Adj'!E60</f>
        <v>0</v>
      </c>
      <c r="F60" s="92">
        <f>'Restating Adj'!F60+'Pro Forma Adj'!F60</f>
        <v>0</v>
      </c>
      <c r="G60" s="92">
        <f>'Restating Adj'!G60+'Pro Forma Adj'!G60</f>
        <v>0</v>
      </c>
      <c r="H60" s="90">
        <f>'Restating Adj'!H60+'Pro Forma Adj'!H60</f>
        <v>0</v>
      </c>
      <c r="I60" s="91">
        <f>'Restating Adj'!I60+'Pro Forma Adj'!I60</f>
        <v>0</v>
      </c>
      <c r="J60" s="30">
        <f>'Restating Adj'!J60+'Pro Forma Adj'!J60</f>
        <v>0</v>
      </c>
      <c r="K60" s="91">
        <f>'Restating Adj'!K60+'Pro Forma Adj'!K60</f>
        <v>0</v>
      </c>
      <c r="L60" s="31">
        <f>'Restating Adj'!L60+'Pro Forma Adj'!L60</f>
        <v>0</v>
      </c>
      <c r="M60" s="92">
        <f>'Restating Adj'!M60+'Pro Forma Adj'!M60</f>
        <v>0</v>
      </c>
      <c r="N60" s="92">
        <f>'Restating Adj'!N60+'Pro Forma Adj'!N60</f>
        <v>0</v>
      </c>
      <c r="O60" s="92">
        <f>'Restating Adj'!O60+'Pro Forma Adj'!O60</f>
        <v>0</v>
      </c>
      <c r="P60" s="92">
        <f>'Restating Adj'!P60+'Pro Forma Adj'!P60</f>
        <v>0</v>
      </c>
      <c r="Q60" s="93">
        <f>'Restating Adj'!Q60+'Pro Forma Adj'!Q60</f>
        <v>0</v>
      </c>
      <c r="R60" s="30">
        <f>'Restating Adj'!R60+'Pro Forma Adj'!R60</f>
        <v>0</v>
      </c>
      <c r="S60" s="90">
        <f>'Restating Adj'!S60+'Pro Forma Adj'!S60</f>
        <v>0</v>
      </c>
      <c r="T60" s="90">
        <f>'Restating Adj'!T60+'Pro Forma Adj'!T60</f>
        <v>0</v>
      </c>
      <c r="U60" s="90">
        <f>'Restating Adj'!U60+'Pro Forma Adj'!U60</f>
        <v>0</v>
      </c>
      <c r="V60" s="90">
        <f>'Restating Adj'!V60+'Pro Forma Adj'!V60</f>
        <v>0</v>
      </c>
      <c r="W60" s="90">
        <f>'Restating Adj'!W60+'Pro Forma Adj'!W60</f>
        <v>0</v>
      </c>
      <c r="X60" s="91">
        <f>'Restating Adj'!X60+'Pro Forma Adj'!X60</f>
        <v>0</v>
      </c>
      <c r="Y60" s="30">
        <f>'Restating Adj'!Y60+'Pro Forma Adj'!Y60</f>
        <v>0</v>
      </c>
      <c r="Z60" s="90">
        <f>'Restating Adj'!Z60+'Pro Forma Adj'!Z60</f>
        <v>0</v>
      </c>
      <c r="AA60" s="90">
        <f>'Restating Adj'!AA60+'Pro Forma Adj'!AA60</f>
        <v>0</v>
      </c>
      <c r="AB60" s="90">
        <f>'Restating Adj'!AB60+'Pro Forma Adj'!AB60</f>
        <v>0</v>
      </c>
      <c r="AC60" s="91">
        <f>'Restating Adj'!AC60+'Pro Forma Adj'!AC60</f>
        <v>0</v>
      </c>
      <c r="AD60" s="31">
        <f>'Restating Adj'!AD60+'Pro Forma Adj'!AD60</f>
        <v>0</v>
      </c>
      <c r="AE60" s="93">
        <f>'Restating Adj'!AE60+'Pro Forma Adj'!AE60</f>
        <v>0</v>
      </c>
      <c r="AF60" s="31">
        <f>'Restating Adj'!AF60+'Pro Forma Adj'!AF60</f>
        <v>0</v>
      </c>
      <c r="AG60" s="92">
        <f>'Restating Adj'!AG60+'Pro Forma Adj'!AG60</f>
        <v>1645.6848</v>
      </c>
      <c r="AH60" s="31">
        <f>'Restating Adj'!AH60+'Pro Forma Adj'!AH60</f>
        <v>0</v>
      </c>
      <c r="AI60" s="92">
        <f>'Restating Adj'!AI60+'Pro Forma Adj'!AI60</f>
        <v>0</v>
      </c>
      <c r="AJ60" s="92">
        <f>'Restating Adj'!AJ60+'Pro Forma Adj'!AJ60</f>
        <v>0</v>
      </c>
      <c r="AK60" s="93">
        <f>'Restating Adj'!AK60+'Pro Forma Adj'!AK60</f>
        <v>0</v>
      </c>
      <c r="AL60" s="31">
        <f>'Restating Adj'!AL60+'Pro Forma Adj'!AL60</f>
        <v>0</v>
      </c>
      <c r="AM60" s="92">
        <f>'Restating Adj'!AM60+'Pro Forma Adj'!AM60</f>
        <v>0</v>
      </c>
      <c r="AN60" s="92">
        <f>'Restating Adj'!AN60+'Pro Forma Adj'!AN60</f>
        <v>0</v>
      </c>
      <c r="AO60" s="92">
        <f>'Restating Adj'!AO60+'Pro Forma Adj'!AO60</f>
        <v>0</v>
      </c>
      <c r="AP60" s="92">
        <f>'Restating Adj'!AP60+'Pro Forma Adj'!AP60</f>
        <v>0</v>
      </c>
      <c r="AQ60" s="93">
        <f>'Restating Adj'!AQ60+'Pro Forma Adj'!AQ60</f>
        <v>0</v>
      </c>
      <c r="AR60" s="92">
        <f>'Restating Adj'!AR60+'Pro Forma Adj'!AR60</f>
        <v>0</v>
      </c>
      <c r="AS60" s="31">
        <f>'Restating Adj'!AS60+'Pro Forma Adj'!AS60</f>
        <v>0</v>
      </c>
      <c r="AT60" s="92">
        <f>'Restating Adj'!AT60+'Pro Forma Adj'!AT60</f>
        <v>0</v>
      </c>
      <c r="AU60" s="92">
        <f>'Restating Adj'!AU60+'Pro Forma Adj'!AU60</f>
        <v>0</v>
      </c>
      <c r="AV60" s="92">
        <f>'Restating Adj'!AV60+'Pro Forma Adj'!AV60</f>
        <v>0</v>
      </c>
      <c r="AW60" s="92">
        <f>'Restating Adj'!AW60+'Pro Forma Adj'!AW60</f>
        <v>0</v>
      </c>
      <c r="AX60" s="92">
        <f>'Restating Adj'!AX60+'Pro Forma Adj'!AX60</f>
        <v>0</v>
      </c>
      <c r="AY60" s="31">
        <f>'Restating Adj'!AY60+'Pro Forma Adj'!AY60</f>
        <v>0</v>
      </c>
      <c r="AZ60" s="92">
        <f>'Restating Adj'!AZ60+'Pro Forma Adj'!AZ60</f>
        <v>0</v>
      </c>
      <c r="BA60" s="92">
        <f>'Restating Adj'!BA60+'Pro Forma Adj'!BA60</f>
        <v>0</v>
      </c>
      <c r="BB60" s="31">
        <f>'Restating Adj'!BB60+'Pro Forma Adj'!BB60</f>
        <v>0</v>
      </c>
      <c r="BC60" s="90">
        <f>'Restating Adj'!BC60+'Pro Forma Adj'!BC60</f>
        <v>0</v>
      </c>
      <c r="BD60" s="90">
        <f>'Restating Adj'!BD60+'Pro Forma Adj'!BD60</f>
        <v>0</v>
      </c>
      <c r="BE60" s="90">
        <f>'Restating Adj'!BE60+'Pro Forma Adj'!BE60</f>
        <v>0</v>
      </c>
      <c r="BF60" s="30">
        <f>'Restating Adj'!BF60+'Pro Forma Adj'!BF60</f>
        <v>0</v>
      </c>
      <c r="BG60" s="90">
        <f>'Restating Adj'!BG60+'Pro Forma Adj'!BG60</f>
        <v>0</v>
      </c>
      <c r="BH60" s="12">
        <f>'Restating Adj'!BH60+'Pro Forma Adj'!BH60</f>
        <v>0</v>
      </c>
      <c r="BI60" s="90">
        <f>'Restating Adj'!BI60+'Pro Forma Adj'!BI60</f>
        <v>0</v>
      </c>
      <c r="BJ60" s="92">
        <f>'Restating Adj'!BJ60+'Pro Forma Adj'!BJ60</f>
        <v>0</v>
      </c>
      <c r="BK60" s="92">
        <f>'Restating Adj'!BK60+'Pro Forma Adj'!BK60</f>
        <v>0</v>
      </c>
      <c r="BL60" s="92">
        <f>'Restating Adj'!BL60+'Pro Forma Adj'!BL60</f>
        <v>0</v>
      </c>
      <c r="BM60" s="92">
        <f>'Restating Adj'!BM60+'Pro Forma Adj'!BM60</f>
        <v>0</v>
      </c>
      <c r="BN60" s="31">
        <f>'Restating Adj'!BN60+'Pro Forma Adj'!BN60</f>
        <v>0</v>
      </c>
      <c r="BO60" s="92">
        <f>'Restating Adj'!BO60+'Pro Forma Adj'!BO60</f>
        <v>0</v>
      </c>
      <c r="BP60" s="92">
        <f>'Restating Adj'!BP60+'Pro Forma Adj'!BP60</f>
        <v>0</v>
      </c>
      <c r="BQ60" s="92">
        <f>'Restating Adj'!BQ60+'Pro Forma Adj'!BQ60</f>
        <v>0</v>
      </c>
      <c r="BR60" s="92">
        <f>'Restating Adj'!BR60+'Pro Forma Adj'!BR60</f>
        <v>0</v>
      </c>
      <c r="BS60" s="92">
        <f>'Restating Adj'!BS60+'Pro Forma Adj'!BS60</f>
        <v>0</v>
      </c>
      <c r="BT60" s="92">
        <f>'Restating Adj'!BT60+'Pro Forma Adj'!BT60</f>
        <v>0</v>
      </c>
      <c r="BU60" s="92">
        <f>'Restating Adj'!BU60+'Pro Forma Adj'!BU60</f>
        <v>0</v>
      </c>
      <c r="BV60" s="299">
        <f>'Restating Adj'!BV60+'Pro Forma Adj'!BV60</f>
        <v>0</v>
      </c>
      <c r="BW60" s="31">
        <f>'Restating Adj'!BW60+'Pro Forma Adj'!BW60</f>
        <v>0</v>
      </c>
      <c r="BX60" s="93">
        <f>'Restating Adj'!BX60+'Pro Forma Adj'!BX60</f>
        <v>0</v>
      </c>
      <c r="BY60" s="15"/>
    </row>
    <row r="61" spans="1:77" x14ac:dyDescent="0.2">
      <c r="A61" s="14" t="s">
        <v>95</v>
      </c>
      <c r="B61" s="100">
        <f t="shared" si="48"/>
        <v>-481414.22831967368</v>
      </c>
      <c r="C61" s="31">
        <f>'Restating Adj'!C61+'Pro Forma Adj'!C61</f>
        <v>0</v>
      </c>
      <c r="D61" s="92">
        <f>'Restating Adj'!D61+'Pro Forma Adj'!D61</f>
        <v>0</v>
      </c>
      <c r="E61" s="92">
        <f>'Restating Adj'!E61+'Pro Forma Adj'!E61</f>
        <v>0</v>
      </c>
      <c r="F61" s="92">
        <f>'Restating Adj'!F61+'Pro Forma Adj'!F61</f>
        <v>0</v>
      </c>
      <c r="G61" s="92">
        <f>'Restating Adj'!G61+'Pro Forma Adj'!G61</f>
        <v>0</v>
      </c>
      <c r="H61" s="90">
        <f>'Restating Adj'!H61+'Pro Forma Adj'!H61</f>
        <v>0</v>
      </c>
      <c r="I61" s="91">
        <f>'Restating Adj'!I61+'Pro Forma Adj'!I61</f>
        <v>0</v>
      </c>
      <c r="J61" s="30">
        <f>'Restating Adj'!J61+'Pro Forma Adj'!J61</f>
        <v>0</v>
      </c>
      <c r="K61" s="91">
        <f>'Restating Adj'!K61+'Pro Forma Adj'!K61</f>
        <v>0</v>
      </c>
      <c r="L61" s="31">
        <f>'Restating Adj'!L61+'Pro Forma Adj'!L61</f>
        <v>0</v>
      </c>
      <c r="M61" s="92">
        <f>'Restating Adj'!M61+'Pro Forma Adj'!M61</f>
        <v>0</v>
      </c>
      <c r="N61" s="92">
        <f>'Restating Adj'!N61+'Pro Forma Adj'!N61</f>
        <v>0</v>
      </c>
      <c r="O61" s="92">
        <f>'Restating Adj'!O61+'Pro Forma Adj'!O61</f>
        <v>0</v>
      </c>
      <c r="P61" s="92">
        <f>'Restating Adj'!P61+'Pro Forma Adj'!P61</f>
        <v>0</v>
      </c>
      <c r="Q61" s="93">
        <f>'Restating Adj'!Q61+'Pro Forma Adj'!Q61</f>
        <v>0</v>
      </c>
      <c r="R61" s="30">
        <f>'Restating Adj'!R61+'Pro Forma Adj'!R61</f>
        <v>0</v>
      </c>
      <c r="S61" s="90">
        <f>'Restating Adj'!S61+'Pro Forma Adj'!S61</f>
        <v>0</v>
      </c>
      <c r="T61" s="90">
        <f>'Restating Adj'!T61+'Pro Forma Adj'!T61</f>
        <v>0</v>
      </c>
      <c r="U61" s="90">
        <f>'Restating Adj'!U61+'Pro Forma Adj'!U61</f>
        <v>0</v>
      </c>
      <c r="V61" s="90">
        <f>'Restating Adj'!V61+'Pro Forma Adj'!V61</f>
        <v>0</v>
      </c>
      <c r="W61" s="90">
        <f>'Restating Adj'!W61+'Pro Forma Adj'!W61</f>
        <v>0</v>
      </c>
      <c r="X61" s="91">
        <f>'Restating Adj'!X61+'Pro Forma Adj'!X61</f>
        <v>0</v>
      </c>
      <c r="Y61" s="30">
        <f>'Restating Adj'!Y61+'Pro Forma Adj'!Y61</f>
        <v>0</v>
      </c>
      <c r="Z61" s="90">
        <f>'Restating Adj'!Z61+'Pro Forma Adj'!Z61</f>
        <v>0</v>
      </c>
      <c r="AA61" s="90">
        <f>'Restating Adj'!AA61+'Pro Forma Adj'!AA61</f>
        <v>0</v>
      </c>
      <c r="AB61" s="90">
        <f>'Restating Adj'!AB61+'Pro Forma Adj'!AB61</f>
        <v>0</v>
      </c>
      <c r="AC61" s="91">
        <f>'Restating Adj'!AC61+'Pro Forma Adj'!AC61</f>
        <v>0</v>
      </c>
      <c r="AD61" s="31">
        <f>'Restating Adj'!AD61+'Pro Forma Adj'!AD61</f>
        <v>0</v>
      </c>
      <c r="AE61" s="93">
        <f>'Restating Adj'!AE61+'Pro Forma Adj'!AE61</f>
        <v>0</v>
      </c>
      <c r="AF61" s="31">
        <f>'Restating Adj'!AF61+'Pro Forma Adj'!AF61</f>
        <v>0</v>
      </c>
      <c r="AG61" s="92">
        <f>'Restating Adj'!AG61+'Pro Forma Adj'!AG61</f>
        <v>0</v>
      </c>
      <c r="AH61" s="31">
        <f>'Restating Adj'!AH61+'Pro Forma Adj'!AH61</f>
        <v>0</v>
      </c>
      <c r="AI61" s="92">
        <f>'Restating Adj'!AI61+'Pro Forma Adj'!AI61</f>
        <v>0</v>
      </c>
      <c r="AJ61" s="92">
        <f>'Restating Adj'!AJ61+'Pro Forma Adj'!AJ61</f>
        <v>0</v>
      </c>
      <c r="AK61" s="93">
        <f>'Restating Adj'!AK61+'Pro Forma Adj'!AK61</f>
        <v>0</v>
      </c>
      <c r="AL61" s="31">
        <f>'Restating Adj'!AL61+'Pro Forma Adj'!AL61</f>
        <v>0</v>
      </c>
      <c r="AM61" s="92">
        <f>'Restating Adj'!AM61+'Pro Forma Adj'!AM61</f>
        <v>0</v>
      </c>
      <c r="AN61" s="92">
        <f>'Restating Adj'!AN61+'Pro Forma Adj'!AN61</f>
        <v>0</v>
      </c>
      <c r="AO61" s="92">
        <f>'Restating Adj'!AO61+'Pro Forma Adj'!AO61</f>
        <v>0</v>
      </c>
      <c r="AP61" s="92">
        <f>'Restating Adj'!AP61+'Pro Forma Adj'!AP61</f>
        <v>0</v>
      </c>
      <c r="AQ61" s="93">
        <f>'Restating Adj'!AQ61+'Pro Forma Adj'!AQ61</f>
        <v>0</v>
      </c>
      <c r="AR61" s="92">
        <f>'Restating Adj'!AR61+'Pro Forma Adj'!AR61</f>
        <v>0</v>
      </c>
      <c r="AS61" s="31">
        <f>'Restating Adj'!AS61+'Pro Forma Adj'!AS61</f>
        <v>0</v>
      </c>
      <c r="AT61" s="92">
        <f>'Restating Adj'!AT61+'Pro Forma Adj'!AT61</f>
        <v>0</v>
      </c>
      <c r="AU61" s="92">
        <f>'Restating Adj'!AU61+'Pro Forma Adj'!AU61</f>
        <v>0</v>
      </c>
      <c r="AV61" s="92">
        <f>'Restating Adj'!AV61+'Pro Forma Adj'!AV61</f>
        <v>0</v>
      </c>
      <c r="AW61" s="92">
        <f>'Restating Adj'!AW61+'Pro Forma Adj'!AW61</f>
        <v>0</v>
      </c>
      <c r="AX61" s="92">
        <f>'Restating Adj'!AX61+'Pro Forma Adj'!AX61</f>
        <v>0</v>
      </c>
      <c r="AY61" s="31">
        <f>'Restating Adj'!AY61+'Pro Forma Adj'!AY61</f>
        <v>0</v>
      </c>
      <c r="AZ61" s="92">
        <f>'Restating Adj'!AZ61+'Pro Forma Adj'!AZ61</f>
        <v>0</v>
      </c>
      <c r="BA61" s="92">
        <f>'Restating Adj'!BA61+'Pro Forma Adj'!BA61</f>
        <v>0</v>
      </c>
      <c r="BB61" s="31">
        <f>'Restating Adj'!BB61+'Pro Forma Adj'!BB61</f>
        <v>0</v>
      </c>
      <c r="BC61" s="90">
        <f>'Restating Adj'!BC61+'Pro Forma Adj'!BC61</f>
        <v>0</v>
      </c>
      <c r="BD61" s="90">
        <f>'Restating Adj'!BD61+'Pro Forma Adj'!BD61</f>
        <v>-481414.22831967368</v>
      </c>
      <c r="BE61" s="90">
        <f>'Restating Adj'!BE61+'Pro Forma Adj'!BE61</f>
        <v>0</v>
      </c>
      <c r="BF61" s="30">
        <f>'Restating Adj'!BF61+'Pro Forma Adj'!BF61</f>
        <v>0</v>
      </c>
      <c r="BG61" s="90">
        <f>'Restating Adj'!BG61+'Pro Forma Adj'!BG61</f>
        <v>0</v>
      </c>
      <c r="BH61" s="12">
        <f>'Restating Adj'!BH61+'Pro Forma Adj'!BH61</f>
        <v>0</v>
      </c>
      <c r="BI61" s="90">
        <f>'Restating Adj'!BI61+'Pro Forma Adj'!BI61</f>
        <v>0</v>
      </c>
      <c r="BJ61" s="92">
        <f>'Restating Adj'!BJ61+'Pro Forma Adj'!BJ61</f>
        <v>0</v>
      </c>
      <c r="BK61" s="92">
        <f>'Restating Adj'!BK61+'Pro Forma Adj'!BK61</f>
        <v>0</v>
      </c>
      <c r="BL61" s="92">
        <f>'Restating Adj'!BL61+'Pro Forma Adj'!BL61</f>
        <v>0</v>
      </c>
      <c r="BM61" s="92">
        <f>'Restating Adj'!BM61+'Pro Forma Adj'!BM61</f>
        <v>0</v>
      </c>
      <c r="BN61" s="31">
        <f>'Restating Adj'!BN61+'Pro Forma Adj'!BN61</f>
        <v>0</v>
      </c>
      <c r="BO61" s="92">
        <f>'Restating Adj'!BO61+'Pro Forma Adj'!BO61</f>
        <v>0</v>
      </c>
      <c r="BP61" s="92">
        <f>'Restating Adj'!BP61+'Pro Forma Adj'!BP61</f>
        <v>0</v>
      </c>
      <c r="BQ61" s="92">
        <f>'Restating Adj'!BQ61+'Pro Forma Adj'!BQ61</f>
        <v>0</v>
      </c>
      <c r="BR61" s="92">
        <f>'Restating Adj'!BR61+'Pro Forma Adj'!BR61</f>
        <v>0</v>
      </c>
      <c r="BS61" s="92">
        <f>'Restating Adj'!BS61+'Pro Forma Adj'!BS61</f>
        <v>0</v>
      </c>
      <c r="BT61" s="92">
        <f>'Restating Adj'!BT61+'Pro Forma Adj'!BT61</f>
        <v>0</v>
      </c>
      <c r="BU61" s="92">
        <f>'Restating Adj'!BU61+'Pro Forma Adj'!BU61</f>
        <v>0</v>
      </c>
      <c r="BV61" s="299">
        <f>'Restating Adj'!BV61+'Pro Forma Adj'!BV61</f>
        <v>0</v>
      </c>
      <c r="BW61" s="31">
        <f>'Restating Adj'!BW61+'Pro Forma Adj'!BW61</f>
        <v>0</v>
      </c>
      <c r="BX61" s="93">
        <f>'Restating Adj'!BX61+'Pro Forma Adj'!BX61</f>
        <v>0</v>
      </c>
      <c r="BY61" s="15"/>
    </row>
    <row r="62" spans="1:77" x14ac:dyDescent="0.2">
      <c r="A62" s="14" t="s">
        <v>96</v>
      </c>
      <c r="B62" s="100">
        <f t="shared" si="48"/>
        <v>-3361133.729166666</v>
      </c>
      <c r="C62" s="31">
        <f>'Restating Adj'!C62+'Pro Forma Adj'!C62</f>
        <v>0</v>
      </c>
      <c r="D62" s="92">
        <f>'Restating Adj'!D62+'Pro Forma Adj'!D62</f>
        <v>0</v>
      </c>
      <c r="E62" s="92">
        <f>'Restating Adj'!E62+'Pro Forma Adj'!E62</f>
        <v>0</v>
      </c>
      <c r="F62" s="92">
        <f>'Restating Adj'!F62+'Pro Forma Adj'!F62</f>
        <v>0</v>
      </c>
      <c r="G62" s="92">
        <f>'Restating Adj'!G62+'Pro Forma Adj'!G62</f>
        <v>0</v>
      </c>
      <c r="H62" s="90">
        <f>'Restating Adj'!H62+'Pro Forma Adj'!H62</f>
        <v>0</v>
      </c>
      <c r="I62" s="91">
        <f>'Restating Adj'!I62+'Pro Forma Adj'!I62</f>
        <v>0</v>
      </c>
      <c r="J62" s="30">
        <f>'Restating Adj'!J62+'Pro Forma Adj'!J62</f>
        <v>0</v>
      </c>
      <c r="K62" s="91">
        <f>'Restating Adj'!K62+'Pro Forma Adj'!K62</f>
        <v>0</v>
      </c>
      <c r="L62" s="31">
        <f>'Restating Adj'!L62+'Pro Forma Adj'!L62</f>
        <v>0</v>
      </c>
      <c r="M62" s="92">
        <f>'Restating Adj'!M62+'Pro Forma Adj'!M62</f>
        <v>0</v>
      </c>
      <c r="N62" s="92">
        <f>'Restating Adj'!N62+'Pro Forma Adj'!N62</f>
        <v>0</v>
      </c>
      <c r="O62" s="92">
        <f>'Restating Adj'!O62+'Pro Forma Adj'!O62</f>
        <v>0</v>
      </c>
      <c r="P62" s="92">
        <f>'Restating Adj'!P62+'Pro Forma Adj'!P62</f>
        <v>0</v>
      </c>
      <c r="Q62" s="93">
        <f>'Restating Adj'!Q62+'Pro Forma Adj'!Q62</f>
        <v>0</v>
      </c>
      <c r="R62" s="30">
        <f>'Restating Adj'!R62+'Pro Forma Adj'!R62</f>
        <v>0</v>
      </c>
      <c r="S62" s="90">
        <f>'Restating Adj'!S62+'Pro Forma Adj'!S62</f>
        <v>0</v>
      </c>
      <c r="T62" s="90">
        <f>'Restating Adj'!T62+'Pro Forma Adj'!T62</f>
        <v>0</v>
      </c>
      <c r="U62" s="90">
        <f>'Restating Adj'!U62+'Pro Forma Adj'!U62</f>
        <v>0</v>
      </c>
      <c r="V62" s="90">
        <f>'Restating Adj'!V62+'Pro Forma Adj'!V62</f>
        <v>0</v>
      </c>
      <c r="W62" s="90">
        <f>'Restating Adj'!W62+'Pro Forma Adj'!W62</f>
        <v>0</v>
      </c>
      <c r="X62" s="91">
        <f>'Restating Adj'!X62+'Pro Forma Adj'!X62</f>
        <v>0</v>
      </c>
      <c r="Y62" s="30">
        <f>'Restating Adj'!Y62+'Pro Forma Adj'!Y62</f>
        <v>0</v>
      </c>
      <c r="Z62" s="90">
        <f>'Restating Adj'!Z62+'Pro Forma Adj'!Z62</f>
        <v>0</v>
      </c>
      <c r="AA62" s="90">
        <f>'Restating Adj'!AA62+'Pro Forma Adj'!AA62</f>
        <v>0</v>
      </c>
      <c r="AB62" s="90">
        <f>'Restating Adj'!AB62+'Pro Forma Adj'!AB62</f>
        <v>0</v>
      </c>
      <c r="AC62" s="91">
        <f>'Restating Adj'!AC62+'Pro Forma Adj'!AC62</f>
        <v>0</v>
      </c>
      <c r="AD62" s="31">
        <f>'Restating Adj'!AD62+'Pro Forma Adj'!AD62</f>
        <v>0</v>
      </c>
      <c r="AE62" s="93">
        <f>'Restating Adj'!AE62+'Pro Forma Adj'!AE62</f>
        <v>0</v>
      </c>
      <c r="AF62" s="31">
        <f>'Restating Adj'!AF62+'Pro Forma Adj'!AF62</f>
        <v>0</v>
      </c>
      <c r="AG62" s="92">
        <f>'Restating Adj'!AG62+'Pro Forma Adj'!AG62</f>
        <v>0</v>
      </c>
      <c r="AH62" s="31">
        <f>'Restating Adj'!AH62+'Pro Forma Adj'!AH62</f>
        <v>0</v>
      </c>
      <c r="AI62" s="92">
        <f>'Restating Adj'!AI62+'Pro Forma Adj'!AI62</f>
        <v>0</v>
      </c>
      <c r="AJ62" s="92">
        <f>'Restating Adj'!AJ62+'Pro Forma Adj'!AJ62</f>
        <v>0</v>
      </c>
      <c r="AK62" s="93">
        <f>'Restating Adj'!AK62+'Pro Forma Adj'!AK62</f>
        <v>0</v>
      </c>
      <c r="AL62" s="31">
        <f>'Restating Adj'!AL62+'Pro Forma Adj'!AL62</f>
        <v>0</v>
      </c>
      <c r="AM62" s="92">
        <f>'Restating Adj'!AM62+'Pro Forma Adj'!AM62</f>
        <v>0</v>
      </c>
      <c r="AN62" s="92">
        <f>'Restating Adj'!AN62+'Pro Forma Adj'!AN62</f>
        <v>0</v>
      </c>
      <c r="AO62" s="92">
        <f>'Restating Adj'!AO62+'Pro Forma Adj'!AO62</f>
        <v>0</v>
      </c>
      <c r="AP62" s="92">
        <f>'Restating Adj'!AP62+'Pro Forma Adj'!AP62</f>
        <v>0</v>
      </c>
      <c r="AQ62" s="93">
        <f>'Restating Adj'!AQ62+'Pro Forma Adj'!AQ62</f>
        <v>0</v>
      </c>
      <c r="AR62" s="92">
        <f>'Restating Adj'!AR62+'Pro Forma Adj'!AR62</f>
        <v>0</v>
      </c>
      <c r="AS62" s="31">
        <f>'Restating Adj'!AS62+'Pro Forma Adj'!AS62</f>
        <v>0</v>
      </c>
      <c r="AT62" s="92">
        <f>'Restating Adj'!AT62+'Pro Forma Adj'!AT62</f>
        <v>0</v>
      </c>
      <c r="AU62" s="92">
        <f>'Restating Adj'!AU62+'Pro Forma Adj'!AU62</f>
        <v>0</v>
      </c>
      <c r="AV62" s="92">
        <f>'Restating Adj'!AV62+'Pro Forma Adj'!AV62</f>
        <v>0</v>
      </c>
      <c r="AW62" s="92">
        <f>'Restating Adj'!AW62+'Pro Forma Adj'!AW62</f>
        <v>0</v>
      </c>
      <c r="AX62" s="92">
        <f>'Restating Adj'!AX62+'Pro Forma Adj'!AX62</f>
        <v>0</v>
      </c>
      <c r="AY62" s="31">
        <f>'Restating Adj'!AY62+'Pro Forma Adj'!AY62</f>
        <v>0</v>
      </c>
      <c r="AZ62" s="92">
        <f>'Restating Adj'!AZ62+'Pro Forma Adj'!AZ62</f>
        <v>0</v>
      </c>
      <c r="BA62" s="92">
        <f>'Restating Adj'!BA62+'Pro Forma Adj'!BA62</f>
        <v>0</v>
      </c>
      <c r="BB62" s="31">
        <f>'Restating Adj'!BB62+'Pro Forma Adj'!BB62</f>
        <v>0</v>
      </c>
      <c r="BC62" s="90">
        <f>'Restating Adj'!BC62+'Pro Forma Adj'!BC62</f>
        <v>0</v>
      </c>
      <c r="BD62" s="90">
        <f>'Restating Adj'!BD62+'Pro Forma Adj'!BD62</f>
        <v>0</v>
      </c>
      <c r="BE62" s="90">
        <f>'Restating Adj'!BE62+'Pro Forma Adj'!BE62</f>
        <v>0</v>
      </c>
      <c r="BF62" s="30">
        <f>'Restating Adj'!BF62+'Pro Forma Adj'!BF62</f>
        <v>0</v>
      </c>
      <c r="BG62" s="90">
        <f>'Restating Adj'!BG62+'Pro Forma Adj'!BG62</f>
        <v>0</v>
      </c>
      <c r="BH62" s="12">
        <f>'Restating Adj'!BH62+'Pro Forma Adj'!BH62</f>
        <v>0</v>
      </c>
      <c r="BI62" s="90">
        <f>'Restating Adj'!BI62+'Pro Forma Adj'!BI62</f>
        <v>0</v>
      </c>
      <c r="BJ62" s="92">
        <f>'Restating Adj'!BJ62+'Pro Forma Adj'!BJ62</f>
        <v>0</v>
      </c>
      <c r="BK62" s="92">
        <f>'Restating Adj'!BK62+'Pro Forma Adj'!BK62</f>
        <v>0</v>
      </c>
      <c r="BL62" s="92">
        <f>'Restating Adj'!BL62+'Pro Forma Adj'!BL62</f>
        <v>-3361133.729166666</v>
      </c>
      <c r="BM62" s="92">
        <f>'Restating Adj'!BM62+'Pro Forma Adj'!BM62</f>
        <v>0</v>
      </c>
      <c r="BN62" s="31">
        <f>'Restating Adj'!BN62+'Pro Forma Adj'!BN62</f>
        <v>0</v>
      </c>
      <c r="BO62" s="92">
        <f>'Restating Adj'!BO62+'Pro Forma Adj'!BO62</f>
        <v>0</v>
      </c>
      <c r="BP62" s="92">
        <f>'Restating Adj'!BP62+'Pro Forma Adj'!BP62</f>
        <v>0</v>
      </c>
      <c r="BQ62" s="92">
        <f>'Restating Adj'!BQ62+'Pro Forma Adj'!BQ62</f>
        <v>0</v>
      </c>
      <c r="BR62" s="92">
        <f>'Restating Adj'!BR62+'Pro Forma Adj'!BR62</f>
        <v>0</v>
      </c>
      <c r="BS62" s="92">
        <f>'Restating Adj'!BS62+'Pro Forma Adj'!BS62</f>
        <v>0</v>
      </c>
      <c r="BT62" s="92">
        <f>'Restating Adj'!BT62+'Pro Forma Adj'!BT62</f>
        <v>0</v>
      </c>
      <c r="BU62" s="92">
        <f>'Restating Adj'!BU62+'Pro Forma Adj'!BU62</f>
        <v>0</v>
      </c>
      <c r="BV62" s="299">
        <f>'Restating Adj'!BV62+'Pro Forma Adj'!BV62</f>
        <v>0</v>
      </c>
      <c r="BW62" s="31">
        <f>'Restating Adj'!BW62+'Pro Forma Adj'!BW62</f>
        <v>0</v>
      </c>
      <c r="BX62" s="93">
        <f>'Restating Adj'!BX62+'Pro Forma Adj'!BX62</f>
        <v>0</v>
      </c>
      <c r="BY62" s="15"/>
    </row>
    <row r="63" spans="1:77" x14ac:dyDescent="0.2">
      <c r="A63" s="14" t="s">
        <v>97</v>
      </c>
      <c r="B63" s="100">
        <f t="shared" si="48"/>
        <v>3099080.6009537652</v>
      </c>
      <c r="C63" s="31">
        <f>'Restating Adj'!C63+'Pro Forma Adj'!C63</f>
        <v>0</v>
      </c>
      <c r="D63" s="92">
        <f>'Restating Adj'!D63+'Pro Forma Adj'!D63</f>
        <v>0</v>
      </c>
      <c r="E63" s="92">
        <f>'Restating Adj'!E63+'Pro Forma Adj'!E63</f>
        <v>0</v>
      </c>
      <c r="F63" s="92">
        <f>'Restating Adj'!F63+'Pro Forma Adj'!F63</f>
        <v>-402745.59474258736</v>
      </c>
      <c r="G63" s="92">
        <f>'Restating Adj'!G63+'Pro Forma Adj'!G63</f>
        <v>0</v>
      </c>
      <c r="H63" s="90">
        <f>'Restating Adj'!H63+'Pro Forma Adj'!H63</f>
        <v>0</v>
      </c>
      <c r="I63" s="91">
        <f>'Restating Adj'!I63+'Pro Forma Adj'!I63</f>
        <v>0</v>
      </c>
      <c r="J63" s="30">
        <f>'Restating Adj'!J63+'Pro Forma Adj'!J63</f>
        <v>0</v>
      </c>
      <c r="K63" s="91">
        <f>'Restating Adj'!K63+'Pro Forma Adj'!K63</f>
        <v>0</v>
      </c>
      <c r="L63" s="31">
        <f>'Restating Adj'!L63+'Pro Forma Adj'!L63</f>
        <v>0</v>
      </c>
      <c r="M63" s="92">
        <f>'Restating Adj'!M63+'Pro Forma Adj'!M63</f>
        <v>0</v>
      </c>
      <c r="N63" s="92">
        <f>'Restating Adj'!N63+'Pro Forma Adj'!N63</f>
        <v>0</v>
      </c>
      <c r="O63" s="92">
        <f>'Restating Adj'!O63+'Pro Forma Adj'!O63</f>
        <v>0</v>
      </c>
      <c r="P63" s="92">
        <f>'Restating Adj'!P63+'Pro Forma Adj'!P63</f>
        <v>0</v>
      </c>
      <c r="Q63" s="93">
        <f>'Restating Adj'!Q63+'Pro Forma Adj'!Q63</f>
        <v>0</v>
      </c>
      <c r="R63" s="30">
        <f>'Restating Adj'!R63+'Pro Forma Adj'!R63</f>
        <v>0</v>
      </c>
      <c r="S63" s="90">
        <f>'Restating Adj'!S63+'Pro Forma Adj'!S63</f>
        <v>0</v>
      </c>
      <c r="T63" s="90">
        <f>'Restating Adj'!T63+'Pro Forma Adj'!T63</f>
        <v>0</v>
      </c>
      <c r="U63" s="90">
        <f>'Restating Adj'!U63+'Pro Forma Adj'!U63</f>
        <v>0</v>
      </c>
      <c r="V63" s="90">
        <f>'Restating Adj'!V63+'Pro Forma Adj'!V63</f>
        <v>0</v>
      </c>
      <c r="W63" s="90">
        <f>'Restating Adj'!W63+'Pro Forma Adj'!W63</f>
        <v>0</v>
      </c>
      <c r="X63" s="91">
        <f>'Restating Adj'!X63+'Pro Forma Adj'!X63</f>
        <v>0</v>
      </c>
      <c r="Y63" s="30">
        <f>'Restating Adj'!Y63+'Pro Forma Adj'!Y63</f>
        <v>0</v>
      </c>
      <c r="Z63" s="90">
        <f>'Restating Adj'!Z63+'Pro Forma Adj'!Z63</f>
        <v>0</v>
      </c>
      <c r="AA63" s="90">
        <f>'Restating Adj'!AA63+'Pro Forma Adj'!AA63</f>
        <v>0</v>
      </c>
      <c r="AB63" s="90">
        <f>'Restating Adj'!AB63+'Pro Forma Adj'!AB63</f>
        <v>0</v>
      </c>
      <c r="AC63" s="91">
        <f>'Restating Adj'!AC63+'Pro Forma Adj'!AC63</f>
        <v>0</v>
      </c>
      <c r="AD63" s="31">
        <f>'Restating Adj'!AD63+'Pro Forma Adj'!AD63</f>
        <v>0</v>
      </c>
      <c r="AE63" s="93">
        <f>'Restating Adj'!AE63+'Pro Forma Adj'!AE63</f>
        <v>0</v>
      </c>
      <c r="AF63" s="31">
        <f>'Restating Adj'!AF63+'Pro Forma Adj'!AF63</f>
        <v>0</v>
      </c>
      <c r="AG63" s="92">
        <f>'Restating Adj'!AG63+'Pro Forma Adj'!AG63</f>
        <v>0</v>
      </c>
      <c r="AH63" s="31">
        <f>'Restating Adj'!AH63+'Pro Forma Adj'!AH63</f>
        <v>0</v>
      </c>
      <c r="AI63" s="92">
        <f>'Restating Adj'!AI63+'Pro Forma Adj'!AI63</f>
        <v>0</v>
      </c>
      <c r="AJ63" s="92">
        <f>'Restating Adj'!AJ63+'Pro Forma Adj'!AJ63</f>
        <v>0</v>
      </c>
      <c r="AK63" s="93">
        <f>'Restating Adj'!AK63+'Pro Forma Adj'!AK63</f>
        <v>0</v>
      </c>
      <c r="AL63" s="31">
        <f>'Restating Adj'!AL63+'Pro Forma Adj'!AL63</f>
        <v>0</v>
      </c>
      <c r="AM63" s="92">
        <f>'Restating Adj'!AM63+'Pro Forma Adj'!AM63</f>
        <v>0</v>
      </c>
      <c r="AN63" s="92">
        <f>'Restating Adj'!AN63+'Pro Forma Adj'!AN63</f>
        <v>0</v>
      </c>
      <c r="AO63" s="92">
        <f>'Restating Adj'!AO63+'Pro Forma Adj'!AO63</f>
        <v>0</v>
      </c>
      <c r="AP63" s="92">
        <f>'Restating Adj'!AP63+'Pro Forma Adj'!AP63</f>
        <v>0</v>
      </c>
      <c r="AQ63" s="93">
        <f>'Restating Adj'!AQ63+'Pro Forma Adj'!AQ63</f>
        <v>0</v>
      </c>
      <c r="AR63" s="92">
        <f>'Restating Adj'!AR63+'Pro Forma Adj'!AR63</f>
        <v>0</v>
      </c>
      <c r="AS63" s="31">
        <f>'Restating Adj'!AS63+'Pro Forma Adj'!AS63</f>
        <v>0</v>
      </c>
      <c r="AT63" s="92">
        <f>'Restating Adj'!AT63+'Pro Forma Adj'!AT63</f>
        <v>0</v>
      </c>
      <c r="AU63" s="92">
        <f>'Restating Adj'!AU63+'Pro Forma Adj'!AU63</f>
        <v>0</v>
      </c>
      <c r="AV63" s="92">
        <f>'Restating Adj'!AV63+'Pro Forma Adj'!AV63</f>
        <v>0</v>
      </c>
      <c r="AW63" s="92">
        <f>'Restating Adj'!AW63+'Pro Forma Adj'!AW63</f>
        <v>0</v>
      </c>
      <c r="AX63" s="92">
        <f>'Restating Adj'!AX63+'Pro Forma Adj'!AX63</f>
        <v>0</v>
      </c>
      <c r="AY63" s="31">
        <f>'Restating Adj'!AY63+'Pro Forma Adj'!AY63</f>
        <v>0</v>
      </c>
      <c r="AZ63" s="92">
        <f>'Restating Adj'!AZ63+'Pro Forma Adj'!AZ63</f>
        <v>0</v>
      </c>
      <c r="BA63" s="92">
        <f>'Restating Adj'!BA63+'Pro Forma Adj'!BA63</f>
        <v>0</v>
      </c>
      <c r="BB63" s="31">
        <f>'Restating Adj'!BB63+'Pro Forma Adj'!BB63</f>
        <v>0</v>
      </c>
      <c r="BC63" s="90">
        <f>'Restating Adj'!BC63+'Pro Forma Adj'!BC63</f>
        <v>0</v>
      </c>
      <c r="BD63" s="90">
        <f>'Restating Adj'!BD63+'Pro Forma Adj'!BD63</f>
        <v>0</v>
      </c>
      <c r="BE63" s="90">
        <f>'Restating Adj'!BE63+'Pro Forma Adj'!BE63</f>
        <v>0</v>
      </c>
      <c r="BF63" s="30">
        <f>'Restating Adj'!BF63+'Pro Forma Adj'!BF63</f>
        <v>0</v>
      </c>
      <c r="BG63" s="90">
        <f>'Restating Adj'!BG63+'Pro Forma Adj'!BG63</f>
        <v>0</v>
      </c>
      <c r="BH63" s="12">
        <f>'Restating Adj'!BH63+'Pro Forma Adj'!BH63</f>
        <v>3585468.8436130192</v>
      </c>
      <c r="BI63" s="90">
        <f>'Restating Adj'!BI63+'Pro Forma Adj'!BI63</f>
        <v>0</v>
      </c>
      <c r="BJ63" s="92">
        <f>'Restating Adj'!BJ63+'Pro Forma Adj'!BJ63</f>
        <v>0</v>
      </c>
      <c r="BK63" s="92">
        <f>'Restating Adj'!BK63+'Pro Forma Adj'!BK63</f>
        <v>-83642.64791666661</v>
      </c>
      <c r="BL63" s="92">
        <f>'Restating Adj'!BL63+'Pro Forma Adj'!BL63</f>
        <v>0</v>
      </c>
      <c r="BM63" s="92">
        <f>'Restating Adj'!BM63+'Pro Forma Adj'!BM63</f>
        <v>0</v>
      </c>
      <c r="BN63" s="31">
        <f>'Restating Adj'!BN63+'Pro Forma Adj'!BN63</f>
        <v>0</v>
      </c>
      <c r="BO63" s="92">
        <f>'Restating Adj'!BO63+'Pro Forma Adj'!BO63</f>
        <v>0</v>
      </c>
      <c r="BP63" s="92">
        <f>'Restating Adj'!BP63+'Pro Forma Adj'!BP63</f>
        <v>0</v>
      </c>
      <c r="BQ63" s="92">
        <f>'Restating Adj'!BQ63+'Pro Forma Adj'!BQ63</f>
        <v>0</v>
      </c>
      <c r="BR63" s="92">
        <f>'Restating Adj'!BR63+'Pro Forma Adj'!BR63</f>
        <v>0</v>
      </c>
      <c r="BS63" s="92">
        <f>'Restating Adj'!BS63+'Pro Forma Adj'!BS63</f>
        <v>0</v>
      </c>
      <c r="BT63" s="92">
        <f>'Restating Adj'!BT63+'Pro Forma Adj'!BT63</f>
        <v>0</v>
      </c>
      <c r="BU63" s="92">
        <f>'Restating Adj'!BU63+'Pro Forma Adj'!BU63</f>
        <v>0</v>
      </c>
      <c r="BV63" s="299">
        <f>'Restating Adj'!BV63+'Pro Forma Adj'!BV63</f>
        <v>0</v>
      </c>
      <c r="BW63" s="31">
        <f>'Restating Adj'!BW63+'Pro Forma Adj'!BW63</f>
        <v>0</v>
      </c>
      <c r="BX63" s="93">
        <f>'Restating Adj'!BX63+'Pro Forma Adj'!BX63</f>
        <v>0</v>
      </c>
      <c r="BY63" s="15"/>
    </row>
    <row r="64" spans="1:77" x14ac:dyDescent="0.2">
      <c r="A64" s="14"/>
      <c r="B64" s="88">
        <f t="shared" si="48"/>
        <v>0</v>
      </c>
      <c r="C64" s="29">
        <f>'Restating Adj'!C64+'Pro Forma Adj'!C64</f>
        <v>0</v>
      </c>
      <c r="D64" s="12">
        <f>'Restating Adj'!D64+'Pro Forma Adj'!D64</f>
        <v>0</v>
      </c>
      <c r="E64" s="12">
        <f>'Restating Adj'!E64+'Pro Forma Adj'!E64</f>
        <v>0</v>
      </c>
      <c r="F64" s="12">
        <f>'Restating Adj'!F64+'Pro Forma Adj'!F64</f>
        <v>0</v>
      </c>
      <c r="G64" s="12">
        <f>'Restating Adj'!G64+'Pro Forma Adj'!G64</f>
        <v>0</v>
      </c>
      <c r="H64" s="12">
        <f>'Restating Adj'!H64+'Pro Forma Adj'!H64</f>
        <v>0</v>
      </c>
      <c r="I64" s="86">
        <f>'Restating Adj'!I64+'Pro Forma Adj'!I64</f>
        <v>0</v>
      </c>
      <c r="J64" s="29">
        <f>'Restating Adj'!J64+'Pro Forma Adj'!J64</f>
        <v>0</v>
      </c>
      <c r="K64" s="86">
        <f>'Restating Adj'!K64+'Pro Forma Adj'!K64</f>
        <v>0</v>
      </c>
      <c r="L64" s="29">
        <f>'Restating Adj'!L64+'Pro Forma Adj'!L64</f>
        <v>0</v>
      </c>
      <c r="M64" s="12">
        <f>'Restating Adj'!M64+'Pro Forma Adj'!M64</f>
        <v>0</v>
      </c>
      <c r="N64" s="12">
        <f>'Restating Adj'!N64+'Pro Forma Adj'!N64</f>
        <v>0</v>
      </c>
      <c r="O64" s="12">
        <f>'Restating Adj'!O64+'Pro Forma Adj'!O64</f>
        <v>0</v>
      </c>
      <c r="P64" s="12">
        <f>'Restating Adj'!P64+'Pro Forma Adj'!P64</f>
        <v>0</v>
      </c>
      <c r="Q64" s="86">
        <f>'Restating Adj'!Q64+'Pro Forma Adj'!Q64</f>
        <v>0</v>
      </c>
      <c r="R64" s="29">
        <f>'Restating Adj'!R64+'Pro Forma Adj'!R64</f>
        <v>0</v>
      </c>
      <c r="S64" s="12">
        <f>'Restating Adj'!S64+'Pro Forma Adj'!S64</f>
        <v>0</v>
      </c>
      <c r="T64" s="12">
        <f>'Restating Adj'!T64+'Pro Forma Adj'!T64</f>
        <v>0</v>
      </c>
      <c r="U64" s="12">
        <f>'Restating Adj'!U64+'Pro Forma Adj'!U64</f>
        <v>0</v>
      </c>
      <c r="V64" s="12">
        <f>'Restating Adj'!V64+'Pro Forma Adj'!V64</f>
        <v>0</v>
      </c>
      <c r="W64" s="12">
        <f>'Restating Adj'!W64+'Pro Forma Adj'!W64</f>
        <v>0</v>
      </c>
      <c r="X64" s="86">
        <f>'Restating Adj'!X64+'Pro Forma Adj'!X64</f>
        <v>0</v>
      </c>
      <c r="Y64" s="29">
        <f>'Restating Adj'!Y64+'Pro Forma Adj'!Y64</f>
        <v>0</v>
      </c>
      <c r="Z64" s="12">
        <f>'Restating Adj'!Z64+'Pro Forma Adj'!Z64</f>
        <v>0</v>
      </c>
      <c r="AA64" s="12">
        <f>'Restating Adj'!AA64+'Pro Forma Adj'!AA64</f>
        <v>0</v>
      </c>
      <c r="AB64" s="12">
        <f>'Restating Adj'!AB64+'Pro Forma Adj'!AB64</f>
        <v>0</v>
      </c>
      <c r="AC64" s="86">
        <f>'Restating Adj'!AC64+'Pro Forma Adj'!AC64</f>
        <v>0</v>
      </c>
      <c r="AD64" s="29">
        <f>'Restating Adj'!AD64+'Pro Forma Adj'!AD64</f>
        <v>0</v>
      </c>
      <c r="AE64" s="86">
        <f>'Restating Adj'!AE64+'Pro Forma Adj'!AE64</f>
        <v>0</v>
      </c>
      <c r="AF64" s="29">
        <f>'Restating Adj'!AF64+'Pro Forma Adj'!AF64</f>
        <v>0</v>
      </c>
      <c r="AG64" s="12">
        <f>'Restating Adj'!AG64+'Pro Forma Adj'!AG64</f>
        <v>0</v>
      </c>
      <c r="AH64" s="29">
        <f>'Restating Adj'!AH64+'Pro Forma Adj'!AH64</f>
        <v>0</v>
      </c>
      <c r="AI64" s="12">
        <f>'Restating Adj'!AI64+'Pro Forma Adj'!AI64</f>
        <v>0</v>
      </c>
      <c r="AJ64" s="12">
        <f>'Restating Adj'!AJ64+'Pro Forma Adj'!AJ64</f>
        <v>0</v>
      </c>
      <c r="AK64" s="86">
        <f>'Restating Adj'!AK64+'Pro Forma Adj'!AK64</f>
        <v>0</v>
      </c>
      <c r="AL64" s="29">
        <f>'Restating Adj'!AL64+'Pro Forma Adj'!AL64</f>
        <v>0</v>
      </c>
      <c r="AM64" s="12">
        <f>'Restating Adj'!AM64+'Pro Forma Adj'!AM64</f>
        <v>0</v>
      </c>
      <c r="AN64" s="12">
        <f>'Restating Adj'!AN64+'Pro Forma Adj'!AN64</f>
        <v>0</v>
      </c>
      <c r="AO64" s="12">
        <f>'Restating Adj'!AO64+'Pro Forma Adj'!AO64</f>
        <v>0</v>
      </c>
      <c r="AP64" s="12">
        <f>'Restating Adj'!AP64+'Pro Forma Adj'!AP64</f>
        <v>0</v>
      </c>
      <c r="AQ64" s="86">
        <f>'Restating Adj'!AQ64+'Pro Forma Adj'!AQ64</f>
        <v>0</v>
      </c>
      <c r="AR64" s="12">
        <f>'Restating Adj'!AR64+'Pro Forma Adj'!AR64</f>
        <v>0</v>
      </c>
      <c r="AS64" s="29">
        <f>'Restating Adj'!AS64+'Pro Forma Adj'!AS64</f>
        <v>0</v>
      </c>
      <c r="AT64" s="12">
        <f>'Restating Adj'!AT64+'Pro Forma Adj'!AT64</f>
        <v>0</v>
      </c>
      <c r="AU64" s="12">
        <f>'Restating Adj'!AU64+'Pro Forma Adj'!AU64</f>
        <v>0</v>
      </c>
      <c r="AV64" s="12">
        <f>'Restating Adj'!AV64+'Pro Forma Adj'!AV64</f>
        <v>0</v>
      </c>
      <c r="AW64" s="12">
        <f>'Restating Adj'!AW64+'Pro Forma Adj'!AW64</f>
        <v>0</v>
      </c>
      <c r="AX64" s="12">
        <f>'Restating Adj'!AX64+'Pro Forma Adj'!AX64</f>
        <v>0</v>
      </c>
      <c r="AY64" s="29">
        <f>'Restating Adj'!AY64+'Pro Forma Adj'!AY64</f>
        <v>0</v>
      </c>
      <c r="AZ64" s="12">
        <f>'Restating Adj'!AZ64+'Pro Forma Adj'!AZ64</f>
        <v>0</v>
      </c>
      <c r="BA64" s="12">
        <f>'Restating Adj'!BA64+'Pro Forma Adj'!BA64</f>
        <v>0</v>
      </c>
      <c r="BB64" s="29">
        <f>'Restating Adj'!BB64+'Pro Forma Adj'!BB64</f>
        <v>0</v>
      </c>
      <c r="BC64" s="12">
        <f>'Restating Adj'!BC64+'Pro Forma Adj'!BC64</f>
        <v>0</v>
      </c>
      <c r="BD64" s="12">
        <f>'Restating Adj'!BD64+'Pro Forma Adj'!BD64</f>
        <v>0</v>
      </c>
      <c r="BE64" s="12">
        <f>'Restating Adj'!BE64+'Pro Forma Adj'!BE64</f>
        <v>0</v>
      </c>
      <c r="BF64" s="29">
        <f>'Restating Adj'!BF64+'Pro Forma Adj'!BF64</f>
        <v>0</v>
      </c>
      <c r="BG64" s="12">
        <f>'Restating Adj'!BG64+'Pro Forma Adj'!BG64</f>
        <v>0</v>
      </c>
      <c r="BH64" s="12">
        <f>'Restating Adj'!BH64+'Pro Forma Adj'!BH64</f>
        <v>0</v>
      </c>
      <c r="BI64" s="12">
        <f>'Restating Adj'!BI64+'Pro Forma Adj'!BI64</f>
        <v>0</v>
      </c>
      <c r="BJ64" s="12">
        <f>'Restating Adj'!BJ64+'Pro Forma Adj'!BJ64</f>
        <v>0</v>
      </c>
      <c r="BK64" s="12">
        <f>'Restating Adj'!BK64+'Pro Forma Adj'!BK64</f>
        <v>0</v>
      </c>
      <c r="BL64" s="12">
        <f>'Restating Adj'!BL64+'Pro Forma Adj'!BL64</f>
        <v>0</v>
      </c>
      <c r="BM64" s="12">
        <f>'Restating Adj'!BM64+'Pro Forma Adj'!BM64</f>
        <v>0</v>
      </c>
      <c r="BN64" s="29">
        <f>'Restating Adj'!BN64+'Pro Forma Adj'!BN64</f>
        <v>0</v>
      </c>
      <c r="BO64" s="12">
        <f>'Restating Adj'!BO64+'Pro Forma Adj'!BO64</f>
        <v>0</v>
      </c>
      <c r="BP64" s="12">
        <f>'Restating Adj'!BP64+'Pro Forma Adj'!BP64</f>
        <v>0</v>
      </c>
      <c r="BQ64" s="12">
        <f>'Restating Adj'!BQ64+'Pro Forma Adj'!BQ64</f>
        <v>0</v>
      </c>
      <c r="BR64" s="12">
        <f>'Restating Adj'!BR64+'Pro Forma Adj'!BR64</f>
        <v>0</v>
      </c>
      <c r="BS64" s="12">
        <f>'Restating Adj'!BS64+'Pro Forma Adj'!BS64</f>
        <v>0</v>
      </c>
      <c r="BT64" s="12">
        <f>'Restating Adj'!BT64+'Pro Forma Adj'!BT64</f>
        <v>0</v>
      </c>
      <c r="BU64" s="12">
        <f>'Restating Adj'!BU64+'Pro Forma Adj'!BU64</f>
        <v>0</v>
      </c>
      <c r="BV64" s="88">
        <f>'Restating Adj'!BV64+'Pro Forma Adj'!BV64</f>
        <v>0</v>
      </c>
      <c r="BW64" s="29">
        <f>'Restating Adj'!BW64+'Pro Forma Adj'!BW64</f>
        <v>0</v>
      </c>
      <c r="BX64" s="86">
        <f>'Restating Adj'!BX64+'Pro Forma Adj'!BX64</f>
        <v>0</v>
      </c>
      <c r="BY64" s="15"/>
    </row>
    <row r="65" spans="1:77" x14ac:dyDescent="0.2">
      <c r="A65" s="14" t="s">
        <v>98</v>
      </c>
      <c r="B65" s="186">
        <f t="shared" si="48"/>
        <v>-38814645.642898411</v>
      </c>
      <c r="C65" s="32">
        <f t="shared" ref="C65" si="49">SUM(C57:C64)</f>
        <v>0</v>
      </c>
      <c r="D65" s="94">
        <f t="shared" ref="D65:BE65" si="50">SUM(D57:D64)</f>
        <v>0</v>
      </c>
      <c r="E65" s="94">
        <f t="shared" si="50"/>
        <v>0</v>
      </c>
      <c r="F65" s="94">
        <f t="shared" si="50"/>
        <v>-249924.71937285986</v>
      </c>
      <c r="G65" s="94">
        <f t="shared" si="50"/>
        <v>0</v>
      </c>
      <c r="H65" s="94">
        <f t="shared" si="50"/>
        <v>0</v>
      </c>
      <c r="I65" s="95">
        <f t="shared" si="50"/>
        <v>0</v>
      </c>
      <c r="J65" s="32">
        <f t="shared" ref="J65:K65" si="51">SUM(J57:J64)</f>
        <v>0</v>
      </c>
      <c r="K65" s="95">
        <f t="shared" si="51"/>
        <v>0</v>
      </c>
      <c r="L65" s="32">
        <f t="shared" si="50"/>
        <v>0</v>
      </c>
      <c r="M65" s="94">
        <f t="shared" si="50"/>
        <v>0</v>
      </c>
      <c r="N65" s="94">
        <f t="shared" si="50"/>
        <v>0</v>
      </c>
      <c r="O65" s="94">
        <f t="shared" si="50"/>
        <v>0</v>
      </c>
      <c r="P65" s="94">
        <f t="shared" si="50"/>
        <v>0</v>
      </c>
      <c r="Q65" s="95">
        <f t="shared" si="50"/>
        <v>0</v>
      </c>
      <c r="R65" s="32">
        <f t="shared" si="50"/>
        <v>0</v>
      </c>
      <c r="S65" s="94">
        <f t="shared" si="50"/>
        <v>0</v>
      </c>
      <c r="T65" s="94">
        <f t="shared" si="50"/>
        <v>0</v>
      </c>
      <c r="U65" s="94">
        <f t="shared" si="50"/>
        <v>0</v>
      </c>
      <c r="V65" s="94">
        <f t="shared" si="50"/>
        <v>0</v>
      </c>
      <c r="W65" s="94">
        <f t="shared" si="50"/>
        <v>0</v>
      </c>
      <c r="X65" s="95">
        <f t="shared" si="50"/>
        <v>0</v>
      </c>
      <c r="Y65" s="32">
        <f t="shared" ref="Y65:AB65" si="52">SUM(Y57:Y64)</f>
        <v>0</v>
      </c>
      <c r="Z65" s="94">
        <f t="shared" si="52"/>
        <v>0</v>
      </c>
      <c r="AA65" s="94">
        <f t="shared" si="52"/>
        <v>0</v>
      </c>
      <c r="AB65" s="94">
        <f t="shared" si="52"/>
        <v>0</v>
      </c>
      <c r="AC65" s="95">
        <f t="shared" ref="AC65" si="53">SUM(AC57:AC64)</f>
        <v>0</v>
      </c>
      <c r="AD65" s="32">
        <f t="shared" si="50"/>
        <v>0</v>
      </c>
      <c r="AE65" s="95">
        <f t="shared" ref="AE65" si="54">SUM(AE57:AE64)</f>
        <v>0</v>
      </c>
      <c r="AF65" s="32">
        <f t="shared" si="50"/>
        <v>0</v>
      </c>
      <c r="AG65" s="94">
        <f t="shared" si="50"/>
        <v>19759910.524293479</v>
      </c>
      <c r="AH65" s="32">
        <f t="shared" si="50"/>
        <v>-212765.11892330143</v>
      </c>
      <c r="AI65" s="94">
        <f t="shared" si="50"/>
        <v>0</v>
      </c>
      <c r="AJ65" s="94">
        <f t="shared" si="50"/>
        <v>0</v>
      </c>
      <c r="AK65" s="95">
        <f t="shared" si="50"/>
        <v>0</v>
      </c>
      <c r="AL65" s="32">
        <f t="shared" si="50"/>
        <v>0</v>
      </c>
      <c r="AM65" s="94">
        <f t="shared" ref="AM65:AQ65" si="55">SUM(AM57:AM64)</f>
        <v>-1428608.4764376204</v>
      </c>
      <c r="AN65" s="94">
        <f t="shared" ref="AN65:AP65" si="56">SUM(AN57:AN64)</f>
        <v>542171.20289284119</v>
      </c>
      <c r="AO65" s="94">
        <f t="shared" si="56"/>
        <v>0</v>
      </c>
      <c r="AP65" s="94">
        <f t="shared" si="56"/>
        <v>0</v>
      </c>
      <c r="AQ65" s="95">
        <f t="shared" si="55"/>
        <v>-143763.74042216278</v>
      </c>
      <c r="AR65" s="94">
        <f t="shared" ref="AR65" si="57">SUM(AR57:AR64)</f>
        <v>0</v>
      </c>
      <c r="AS65" s="32">
        <f t="shared" si="50"/>
        <v>0</v>
      </c>
      <c r="AT65" s="94">
        <f t="shared" si="50"/>
        <v>0</v>
      </c>
      <c r="AU65" s="94">
        <f t="shared" si="50"/>
        <v>0</v>
      </c>
      <c r="AV65" s="94">
        <f t="shared" si="50"/>
        <v>-1637024.0885679396</v>
      </c>
      <c r="AW65" s="94">
        <f t="shared" si="50"/>
        <v>0</v>
      </c>
      <c r="AX65" s="94">
        <f t="shared" si="50"/>
        <v>-9662969.1539299972</v>
      </c>
      <c r="AY65" s="32">
        <f t="shared" si="50"/>
        <v>0</v>
      </c>
      <c r="AZ65" s="94">
        <f t="shared" si="50"/>
        <v>245568</v>
      </c>
      <c r="BA65" s="94">
        <f t="shared" si="50"/>
        <v>0</v>
      </c>
      <c r="BB65" s="32">
        <f t="shared" si="50"/>
        <v>-42864656.633303598</v>
      </c>
      <c r="BC65" s="94">
        <f t="shared" si="50"/>
        <v>-380671.18351681437</v>
      </c>
      <c r="BD65" s="94">
        <f t="shared" si="50"/>
        <v>-481414.22831967368</v>
      </c>
      <c r="BE65" s="94">
        <f t="shared" si="50"/>
        <v>-478387.71218067798</v>
      </c>
      <c r="BF65" s="32">
        <f t="shared" ref="BF65:BX65" si="58">SUM(BF57:BF64)</f>
        <v>-2189361.7704155692</v>
      </c>
      <c r="BG65" s="94">
        <f t="shared" si="58"/>
        <v>0</v>
      </c>
      <c r="BH65" s="94">
        <f t="shared" si="58"/>
        <v>3585468.8436130192</v>
      </c>
      <c r="BI65" s="94">
        <f t="shared" si="58"/>
        <v>300351.93966095272</v>
      </c>
      <c r="BJ65" s="94">
        <f t="shared" si="58"/>
        <v>0</v>
      </c>
      <c r="BK65" s="94">
        <f t="shared" si="58"/>
        <v>-83642.64791666661</v>
      </c>
      <c r="BL65" s="94">
        <f t="shared" si="58"/>
        <v>-3361133.729166666</v>
      </c>
      <c r="BM65" s="94">
        <f t="shared" si="58"/>
        <v>0</v>
      </c>
      <c r="BN65" s="32">
        <f t="shared" si="58"/>
        <v>0</v>
      </c>
      <c r="BO65" s="94">
        <f t="shared" si="58"/>
        <v>0</v>
      </c>
      <c r="BP65" s="94">
        <f t="shared" si="58"/>
        <v>0</v>
      </c>
      <c r="BQ65" s="94">
        <f t="shared" si="58"/>
        <v>0</v>
      </c>
      <c r="BR65" s="94">
        <f t="shared" si="58"/>
        <v>0</v>
      </c>
      <c r="BS65" s="94">
        <f t="shared" si="58"/>
        <v>0</v>
      </c>
      <c r="BT65" s="94">
        <f t="shared" si="58"/>
        <v>0</v>
      </c>
      <c r="BU65" s="94">
        <f t="shared" si="58"/>
        <v>0</v>
      </c>
      <c r="BV65" s="186">
        <f t="shared" si="58"/>
        <v>0</v>
      </c>
      <c r="BW65" s="32">
        <f t="shared" si="58"/>
        <v>-3697.9370151566691</v>
      </c>
      <c r="BX65" s="95">
        <f t="shared" si="58"/>
        <v>-70095.013869999326</v>
      </c>
    </row>
    <row r="66" spans="1:77" x14ac:dyDescent="0.2">
      <c r="A66" s="14"/>
      <c r="B66" s="88"/>
      <c r="C66" s="29"/>
      <c r="D66" s="12"/>
      <c r="E66" s="12"/>
      <c r="F66" s="12"/>
      <c r="G66" s="12"/>
      <c r="H66" s="12"/>
      <c r="I66" s="86"/>
      <c r="J66" s="29"/>
      <c r="K66" s="86"/>
      <c r="L66" s="29"/>
      <c r="M66" s="12"/>
      <c r="N66" s="12"/>
      <c r="O66" s="12"/>
      <c r="P66" s="12"/>
      <c r="Q66" s="86"/>
      <c r="R66" s="29"/>
      <c r="S66" s="12"/>
      <c r="T66" s="12"/>
      <c r="U66" s="12"/>
      <c r="V66" s="12"/>
      <c r="W66" s="12"/>
      <c r="X66" s="86"/>
      <c r="Y66" s="29"/>
      <c r="Z66" s="12"/>
      <c r="AA66" s="12"/>
      <c r="AB66" s="12"/>
      <c r="AC66" s="86"/>
      <c r="AD66" s="29"/>
      <c r="AE66" s="86"/>
      <c r="AF66" s="29"/>
      <c r="AG66" s="12"/>
      <c r="AH66" s="29"/>
      <c r="AI66" s="12"/>
      <c r="AJ66" s="12"/>
      <c r="AK66" s="86"/>
      <c r="AL66" s="29"/>
      <c r="AM66" s="12"/>
      <c r="AN66" s="12"/>
      <c r="AO66" s="12"/>
      <c r="AP66" s="12"/>
      <c r="AQ66" s="86"/>
      <c r="AR66" s="12"/>
      <c r="AS66" s="29"/>
      <c r="AT66" s="12"/>
      <c r="AU66" s="12"/>
      <c r="AV66" s="12"/>
      <c r="AW66" s="12"/>
      <c r="AX66" s="12"/>
      <c r="AY66" s="29"/>
      <c r="AZ66" s="12"/>
      <c r="BA66" s="12"/>
      <c r="BB66" s="29"/>
      <c r="BC66" s="12"/>
      <c r="BD66" s="12"/>
      <c r="BE66" s="12"/>
      <c r="BF66" s="29"/>
      <c r="BG66" s="12"/>
      <c r="BH66" s="12"/>
      <c r="BI66" s="12"/>
      <c r="BJ66" s="12"/>
      <c r="BK66" s="12"/>
      <c r="BL66" s="12"/>
      <c r="BM66" s="12"/>
      <c r="BN66" s="29"/>
      <c r="BO66" s="12"/>
      <c r="BP66" s="12"/>
      <c r="BQ66" s="12"/>
      <c r="BR66" s="12"/>
      <c r="BS66" s="12"/>
      <c r="BT66" s="12"/>
      <c r="BU66" s="12"/>
      <c r="BV66" s="88"/>
      <c r="BW66" s="29"/>
      <c r="BX66" s="86"/>
    </row>
    <row r="67" spans="1:77" ht="13.5" thickBot="1" x14ac:dyDescent="0.25">
      <c r="A67" s="14" t="s">
        <v>99</v>
      </c>
      <c r="B67" s="190">
        <f>SUM(C67:BX67)</f>
        <v>30582926.831485137</v>
      </c>
      <c r="C67" s="36">
        <f t="shared" ref="C67" si="59">C54+C65</f>
        <v>0</v>
      </c>
      <c r="D67" s="105">
        <f t="shared" ref="D67:BE67" si="60">D54+D65</f>
        <v>0</v>
      </c>
      <c r="E67" s="105">
        <f t="shared" si="60"/>
        <v>0</v>
      </c>
      <c r="F67" s="105">
        <f t="shared" si="60"/>
        <v>-249924.71937285986</v>
      </c>
      <c r="G67" s="105">
        <f t="shared" si="60"/>
        <v>0</v>
      </c>
      <c r="H67" s="105">
        <f t="shared" si="60"/>
        <v>0</v>
      </c>
      <c r="I67" s="191">
        <f t="shared" si="60"/>
        <v>0</v>
      </c>
      <c r="J67" s="36">
        <f t="shared" ref="J67:K67" si="61">J54+J65</f>
        <v>0</v>
      </c>
      <c r="K67" s="191">
        <f t="shared" si="61"/>
        <v>0</v>
      </c>
      <c r="L67" s="36">
        <f t="shared" si="60"/>
        <v>0</v>
      </c>
      <c r="M67" s="105">
        <f t="shared" si="60"/>
        <v>0</v>
      </c>
      <c r="N67" s="105">
        <f t="shared" si="60"/>
        <v>0</v>
      </c>
      <c r="O67" s="105">
        <f t="shared" si="60"/>
        <v>0</v>
      </c>
      <c r="P67" s="105">
        <f t="shared" si="60"/>
        <v>0</v>
      </c>
      <c r="Q67" s="191">
        <f t="shared" si="60"/>
        <v>0</v>
      </c>
      <c r="R67" s="36">
        <f t="shared" si="60"/>
        <v>0</v>
      </c>
      <c r="S67" s="105">
        <f t="shared" si="60"/>
        <v>0</v>
      </c>
      <c r="T67" s="105">
        <f t="shared" si="60"/>
        <v>0</v>
      </c>
      <c r="U67" s="105">
        <f t="shared" si="60"/>
        <v>0</v>
      </c>
      <c r="V67" s="105">
        <f t="shared" si="60"/>
        <v>0</v>
      </c>
      <c r="W67" s="105">
        <f t="shared" si="60"/>
        <v>0</v>
      </c>
      <c r="X67" s="191">
        <f t="shared" si="60"/>
        <v>0</v>
      </c>
      <c r="Y67" s="36">
        <f t="shared" ref="Y67:AB67" si="62">Y54+Y65</f>
        <v>0</v>
      </c>
      <c r="Z67" s="105">
        <f t="shared" si="62"/>
        <v>0</v>
      </c>
      <c r="AA67" s="105">
        <f t="shared" si="62"/>
        <v>0</v>
      </c>
      <c r="AB67" s="105">
        <f t="shared" si="62"/>
        <v>0</v>
      </c>
      <c r="AC67" s="191">
        <f t="shared" ref="AC67" si="63">AC54+AC65</f>
        <v>0</v>
      </c>
      <c r="AD67" s="36">
        <f t="shared" si="60"/>
        <v>0</v>
      </c>
      <c r="AE67" s="191">
        <f t="shared" ref="AE67" si="64">AE54+AE65</f>
        <v>0</v>
      </c>
      <c r="AF67" s="36">
        <f t="shared" si="60"/>
        <v>0</v>
      </c>
      <c r="AG67" s="105">
        <f t="shared" si="60"/>
        <v>-8567345.2846213318</v>
      </c>
      <c r="AH67" s="36">
        <f t="shared" si="60"/>
        <v>-212765.11892330143</v>
      </c>
      <c r="AI67" s="105">
        <f t="shared" si="60"/>
        <v>0</v>
      </c>
      <c r="AJ67" s="105">
        <f t="shared" si="60"/>
        <v>0</v>
      </c>
      <c r="AK67" s="191">
        <f t="shared" si="60"/>
        <v>0</v>
      </c>
      <c r="AL67" s="36">
        <f t="shared" si="60"/>
        <v>0</v>
      </c>
      <c r="AM67" s="105">
        <f t="shared" ref="AM67:AQ67" si="65">AM54+AM65</f>
        <v>-1428608.4764376204</v>
      </c>
      <c r="AN67" s="105">
        <f t="shared" ref="AN67:AP67" si="66">AN54+AN65</f>
        <v>542171.20289284119</v>
      </c>
      <c r="AO67" s="105">
        <f t="shared" si="66"/>
        <v>0</v>
      </c>
      <c r="AP67" s="105">
        <f t="shared" si="66"/>
        <v>0</v>
      </c>
      <c r="AQ67" s="191">
        <f t="shared" si="65"/>
        <v>-143763.74042216278</v>
      </c>
      <c r="AR67" s="105">
        <f t="shared" ref="AR67" si="67">AR54+AR65</f>
        <v>0</v>
      </c>
      <c r="AS67" s="36">
        <f t="shared" si="60"/>
        <v>0</v>
      </c>
      <c r="AT67" s="105">
        <f t="shared" si="60"/>
        <v>0</v>
      </c>
      <c r="AU67" s="105">
        <f t="shared" si="60"/>
        <v>0</v>
      </c>
      <c r="AV67" s="105">
        <f t="shared" si="60"/>
        <v>-1637024.0885679396</v>
      </c>
      <c r="AW67" s="105">
        <f t="shared" si="60"/>
        <v>0</v>
      </c>
      <c r="AX67" s="105">
        <f t="shared" si="60"/>
        <v>-9662969.1539299972</v>
      </c>
      <c r="AY67" s="36">
        <f t="shared" si="60"/>
        <v>0</v>
      </c>
      <c r="AZ67" s="105">
        <f t="shared" si="60"/>
        <v>245568</v>
      </c>
      <c r="BA67" s="105">
        <f t="shared" si="60"/>
        <v>0</v>
      </c>
      <c r="BB67" s="36">
        <f t="shared" si="60"/>
        <v>26734872.303152114</v>
      </c>
      <c r="BC67" s="105">
        <f t="shared" si="60"/>
        <v>-250034.33575255581</v>
      </c>
      <c r="BD67" s="105">
        <f t="shared" si="60"/>
        <v>-481414.22831967368</v>
      </c>
      <c r="BE67" s="105">
        <f t="shared" si="60"/>
        <v>20618774.967243943</v>
      </c>
      <c r="BF67" s="36">
        <f t="shared" ref="BF67:BX67" si="68">BF54+BF65</f>
        <v>-2189361.7704155692</v>
      </c>
      <c r="BG67" s="105">
        <f t="shared" si="68"/>
        <v>-17820940.919662062</v>
      </c>
      <c r="BH67" s="105">
        <f t="shared" si="68"/>
        <v>-2314954.2203315711</v>
      </c>
      <c r="BI67" s="105">
        <f t="shared" si="68"/>
        <v>97700.229568832146</v>
      </c>
      <c r="BJ67" s="105">
        <f t="shared" si="68"/>
        <v>-360048.63899999904</v>
      </c>
      <c r="BK67" s="105">
        <f t="shared" si="68"/>
        <v>-83642.64791666661</v>
      </c>
      <c r="BL67" s="105">
        <f t="shared" si="68"/>
        <v>-3361133.729166666</v>
      </c>
      <c r="BM67" s="105">
        <f t="shared" si="68"/>
        <v>0</v>
      </c>
      <c r="BN67" s="36">
        <f t="shared" si="68"/>
        <v>0</v>
      </c>
      <c r="BO67" s="105">
        <f t="shared" si="68"/>
        <v>0</v>
      </c>
      <c r="BP67" s="105">
        <f t="shared" si="68"/>
        <v>0</v>
      </c>
      <c r="BQ67" s="105">
        <f t="shared" si="68"/>
        <v>0</v>
      </c>
      <c r="BR67" s="105">
        <f t="shared" si="68"/>
        <v>0</v>
      </c>
      <c r="BS67" s="105">
        <f t="shared" si="68"/>
        <v>0</v>
      </c>
      <c r="BT67" s="105">
        <f t="shared" si="68"/>
        <v>0</v>
      </c>
      <c r="BU67" s="105">
        <f t="shared" si="68"/>
        <v>0</v>
      </c>
      <c r="BV67" s="190">
        <f t="shared" si="68"/>
        <v>31018483.084840588</v>
      </c>
      <c r="BW67" s="36">
        <f t="shared" si="68"/>
        <v>159383.13049679698</v>
      </c>
      <c r="BX67" s="191">
        <f t="shared" si="68"/>
        <v>-70095.013869999326</v>
      </c>
    </row>
    <row r="68" spans="1:77" ht="13.5" thickTop="1" x14ac:dyDescent="0.2">
      <c r="A68" s="14"/>
      <c r="B68" s="88"/>
      <c r="C68" s="29"/>
      <c r="D68" s="12"/>
      <c r="E68" s="12"/>
      <c r="F68" s="12"/>
      <c r="G68" s="12"/>
      <c r="H68" s="12"/>
      <c r="I68" s="86"/>
      <c r="J68" s="29"/>
      <c r="K68" s="86"/>
      <c r="L68" s="29"/>
      <c r="M68" s="12"/>
      <c r="N68" s="12"/>
      <c r="O68" s="12"/>
      <c r="P68" s="12"/>
      <c r="Q68" s="86"/>
      <c r="R68" s="29"/>
      <c r="S68" s="12"/>
      <c r="T68" s="12"/>
      <c r="U68" s="12"/>
      <c r="V68" s="12"/>
      <c r="W68" s="12"/>
      <c r="X68" s="86"/>
      <c r="Y68" s="29"/>
      <c r="Z68" s="12"/>
      <c r="AA68" s="12"/>
      <c r="AB68" s="12"/>
      <c r="AC68" s="86"/>
      <c r="AD68" s="29"/>
      <c r="AE68" s="86"/>
      <c r="AF68" s="29"/>
      <c r="AG68" s="12"/>
      <c r="AH68" s="29"/>
      <c r="AI68" s="12"/>
      <c r="AJ68" s="12"/>
      <c r="AK68" s="86"/>
      <c r="AL68" s="29"/>
      <c r="AM68" s="12"/>
      <c r="AN68" s="12"/>
      <c r="AO68" s="12"/>
      <c r="AP68" s="12"/>
      <c r="AQ68" s="86"/>
      <c r="AR68" s="12"/>
      <c r="AS68" s="29"/>
      <c r="AT68" s="12"/>
      <c r="AU68" s="12"/>
      <c r="AV68" s="12"/>
      <c r="AW68" s="12"/>
      <c r="AX68" s="12"/>
      <c r="AY68" s="29"/>
      <c r="AZ68" s="12"/>
      <c r="BA68" s="12"/>
      <c r="BB68" s="29"/>
      <c r="BC68" s="12"/>
      <c r="BD68" s="12"/>
      <c r="BE68" s="12"/>
      <c r="BF68" s="29"/>
      <c r="BG68" s="12"/>
      <c r="BH68" s="12"/>
      <c r="BI68" s="12"/>
      <c r="BJ68" s="12"/>
      <c r="BK68" s="12"/>
      <c r="BL68" s="12"/>
      <c r="BM68" s="12"/>
      <c r="BN68" s="29"/>
      <c r="BO68" s="12"/>
      <c r="BP68" s="12"/>
      <c r="BQ68" s="12"/>
      <c r="BR68" s="12"/>
      <c r="BS68" s="12"/>
      <c r="BT68" s="12"/>
      <c r="BU68" s="12"/>
      <c r="BV68" s="88"/>
      <c r="BW68" s="29"/>
      <c r="BX68" s="86"/>
    </row>
    <row r="69" spans="1:77" x14ac:dyDescent="0.2">
      <c r="A69" s="14"/>
      <c r="B69" s="88"/>
      <c r="C69" s="29"/>
      <c r="D69" s="12"/>
      <c r="E69" s="12"/>
      <c r="F69" s="12"/>
      <c r="G69" s="12"/>
      <c r="H69" s="12"/>
      <c r="I69" s="86"/>
      <c r="J69" s="29"/>
      <c r="K69" s="86"/>
      <c r="L69" s="29"/>
      <c r="M69" s="12"/>
      <c r="N69" s="12"/>
      <c r="O69" s="12"/>
      <c r="P69" s="12"/>
      <c r="Q69" s="86"/>
      <c r="R69" s="29"/>
      <c r="S69" s="12"/>
      <c r="T69" s="12"/>
      <c r="U69" s="12"/>
      <c r="V69" s="12"/>
      <c r="W69" s="12"/>
      <c r="X69" s="86"/>
      <c r="Y69" s="29"/>
      <c r="Z69" s="12"/>
      <c r="AA69" s="12"/>
      <c r="AB69" s="12"/>
      <c r="AC69" s="86"/>
      <c r="AD69" s="29"/>
      <c r="AE69" s="86"/>
      <c r="AF69" s="29"/>
      <c r="AG69" s="12"/>
      <c r="AH69" s="29"/>
      <c r="AI69" s="12"/>
      <c r="AJ69" s="12"/>
      <c r="AK69" s="86"/>
      <c r="AL69" s="29"/>
      <c r="AM69" s="12"/>
      <c r="AN69" s="12"/>
      <c r="AO69" s="12"/>
      <c r="AP69" s="12"/>
      <c r="AQ69" s="86"/>
      <c r="AR69" s="12"/>
      <c r="AS69" s="29"/>
      <c r="AT69" s="12"/>
      <c r="AU69" s="12"/>
      <c r="AV69" s="12"/>
      <c r="AW69" s="12"/>
      <c r="AX69" s="12"/>
      <c r="AY69" s="29"/>
      <c r="AZ69" s="12"/>
      <c r="BA69" s="12"/>
      <c r="BB69" s="29"/>
      <c r="BC69" s="12"/>
      <c r="BD69" s="12"/>
      <c r="BE69" s="12"/>
      <c r="BF69" s="29"/>
      <c r="BG69" s="12"/>
      <c r="BH69" s="12"/>
      <c r="BI69" s="12"/>
      <c r="BJ69" s="12"/>
      <c r="BK69" s="12"/>
      <c r="BL69" s="12"/>
      <c r="BM69" s="12"/>
      <c r="BN69" s="29"/>
      <c r="BO69" s="12"/>
      <c r="BP69" s="12"/>
      <c r="BQ69" s="12"/>
      <c r="BR69" s="12"/>
      <c r="BS69" s="12"/>
      <c r="BT69" s="12"/>
      <c r="BU69" s="12"/>
      <c r="BV69" s="88"/>
      <c r="BW69" s="29"/>
      <c r="BX69" s="86"/>
    </row>
    <row r="70" spans="1:77" s="227" customFormat="1" x14ac:dyDescent="0.2">
      <c r="A70" s="276" t="s">
        <v>158</v>
      </c>
      <c r="B70" s="19">
        <f t="shared" ref="B70:C70" si="69">(((B40+Unadj_Op_revenue)/(B67+Unadj_rate_base))-Weighted_cost_debt-Weighted_cost_pref)/Percent_common-Unadj_ROE</f>
        <v>2.9582279961587493E-2</v>
      </c>
      <c r="C70" s="17">
        <f t="shared" si="69"/>
        <v>-9.5606483836068526E-3</v>
      </c>
      <c r="D70" s="16">
        <f t="shared" ref="D70:BE70" si="70">(((D40+Unadj_Op_revenue)/(D67+Unadj_rate_base))-Weighted_cost_debt-Weighted_cost_pref)/Percent_common-Unadj_ROE</f>
        <v>-1.2474179000134172E-2</v>
      </c>
      <c r="E70" s="16">
        <f t="shared" si="70"/>
        <v>2.8593843449995104E-2</v>
      </c>
      <c r="F70" s="16">
        <f t="shared" si="70"/>
        <v>1.2775006578845047E-3</v>
      </c>
      <c r="G70" s="16">
        <f t="shared" si="70"/>
        <v>-3.7843468396851071E-3</v>
      </c>
      <c r="H70" s="16">
        <f t="shared" si="70"/>
        <v>5.8314067159302707E-4</v>
      </c>
      <c r="I70" s="18">
        <f t="shared" si="70"/>
        <v>6.9404220353334878E-5</v>
      </c>
      <c r="J70" s="17">
        <f t="shared" ref="J70:K70" si="71">(((J40+Unadj_Op_revenue)/(J67+Unadj_rate_base))-Weighted_cost_debt-Weighted_cost_pref)/Percent_common-Unadj_ROE</f>
        <v>0</v>
      </c>
      <c r="K70" s="18">
        <f t="shared" si="71"/>
        <v>4.3478307317330878E-5</v>
      </c>
      <c r="L70" s="17">
        <f t="shared" si="70"/>
        <v>3.7139122813806269E-5</v>
      </c>
      <c r="M70" s="16">
        <f t="shared" si="70"/>
        <v>7.9922816707621303E-5</v>
      </c>
      <c r="N70" s="16">
        <f t="shared" si="70"/>
        <v>1.156533931449287E-3</v>
      </c>
      <c r="O70" s="16">
        <f t="shared" si="70"/>
        <v>8.9694729893882719E-6</v>
      </c>
      <c r="P70" s="16">
        <f t="shared" si="70"/>
        <v>-2.6104636026505479E-4</v>
      </c>
      <c r="Q70" s="18">
        <f t="shared" si="70"/>
        <v>1.7889103569817336E-2</v>
      </c>
      <c r="R70" s="17">
        <f t="shared" si="70"/>
        <v>4.4934950890189243E-3</v>
      </c>
      <c r="S70" s="16">
        <f t="shared" si="70"/>
        <v>6.7504504475818239E-7</v>
      </c>
      <c r="T70" s="16">
        <f t="shared" si="70"/>
        <v>-2.5133273224980934E-6</v>
      </c>
      <c r="U70" s="16">
        <f t="shared" si="70"/>
        <v>-7.0943725973191679E-4</v>
      </c>
      <c r="V70" s="16">
        <f t="shared" si="70"/>
        <v>-1.2332907984862959E-3</v>
      </c>
      <c r="W70" s="16">
        <f t="shared" si="70"/>
        <v>1.0757261968541709E-3</v>
      </c>
      <c r="X70" s="18">
        <f t="shared" si="70"/>
        <v>0</v>
      </c>
      <c r="Y70" s="17">
        <f t="shared" ref="Y70:AB70" si="72">(((Y40+Unadj_Op_revenue)/(Y67+Unadj_rate_base))-Weighted_cost_debt-Weighted_cost_pref)/Percent_common-Unadj_ROE</f>
        <v>0</v>
      </c>
      <c r="Z70" s="16">
        <f t="shared" si="72"/>
        <v>0</v>
      </c>
      <c r="AA70" s="16">
        <f t="shared" si="72"/>
        <v>0</v>
      </c>
      <c r="AB70" s="16">
        <f t="shared" si="72"/>
        <v>0</v>
      </c>
      <c r="AC70" s="18">
        <f t="shared" ref="AC70" si="73">(((AC40+Unadj_Op_revenue)/(AC67+Unadj_rate_base))-Weighted_cost_debt-Weighted_cost_pref)/Percent_common-Unadj_ROE</f>
        <v>0</v>
      </c>
      <c r="AD70" s="17">
        <f t="shared" si="70"/>
        <v>1.9338275543967762E-2</v>
      </c>
      <c r="AE70" s="18">
        <f t="shared" ref="AE70" si="74">(((AE40+Unadj_Op_revenue)/(AE67+Unadj_rate_base))-Weighted_cost_debt-Weighted_cost_pref)/Percent_common-Unadj_ROE</f>
        <v>-7.9298547939643735E-3</v>
      </c>
      <c r="AF70" s="17">
        <f t="shared" si="70"/>
        <v>1.1418482861202117E-3</v>
      </c>
      <c r="AG70" s="16">
        <f t="shared" si="70"/>
        <v>1.9679476088278192E-3</v>
      </c>
      <c r="AH70" s="17">
        <f t="shared" si="70"/>
        <v>1.8404165600859057E-5</v>
      </c>
      <c r="AI70" s="16">
        <f t="shared" si="70"/>
        <v>0</v>
      </c>
      <c r="AJ70" s="16">
        <f t="shared" si="70"/>
        <v>0</v>
      </c>
      <c r="AK70" s="18">
        <f t="shared" si="70"/>
        <v>0</v>
      </c>
      <c r="AL70" s="17">
        <f t="shared" si="70"/>
        <v>-2.3992615662698086E-3</v>
      </c>
      <c r="AM70" s="16">
        <f t="shared" ref="AM70:AQ70" si="75">(((AM40+Unadj_Op_revenue)/(AM67+Unadj_rate_base))-Weighted_cost_debt-Weighted_cost_pref)/Percent_common-Unadj_ROE</f>
        <v>1.8947679512935911E-4</v>
      </c>
      <c r="AN70" s="16">
        <f t="shared" ref="AN70:AP70" si="76">(((AN40+Unadj_Op_revenue)/(AN67+Unadj_rate_base))-Weighted_cost_debt-Weighted_cost_pref)/Percent_common-Unadj_ROE</f>
        <v>3.7122927216623469E-5</v>
      </c>
      <c r="AO70" s="16">
        <f t="shared" si="76"/>
        <v>1.490484306580428E-4</v>
      </c>
      <c r="AP70" s="16">
        <f t="shared" si="76"/>
        <v>7.2902782243429443E-5</v>
      </c>
      <c r="AQ70" s="18">
        <f t="shared" si="75"/>
        <v>-9.8521940100210204E-6</v>
      </c>
      <c r="AR70" s="16">
        <f t="shared" ref="AR70" si="77">(((AR40+Unadj_Op_revenue)/(AR67+Unadj_rate_base))-Weighted_cost_debt-Weighted_cost_pref)/Percent_common-Unadj_ROE</f>
        <v>0</v>
      </c>
      <c r="AS70" s="17">
        <f t="shared" si="70"/>
        <v>7.5820515153826595E-5</v>
      </c>
      <c r="AT70" s="16">
        <f t="shared" si="70"/>
        <v>-1.8180772768770781E-4</v>
      </c>
      <c r="AU70" s="16">
        <f t="shared" si="70"/>
        <v>1.7102296838058181E-3</v>
      </c>
      <c r="AV70" s="16">
        <f t="shared" si="70"/>
        <v>2.1717654974899581E-4</v>
      </c>
      <c r="AW70" s="16">
        <f t="shared" si="70"/>
        <v>-6.6848411554951137E-5</v>
      </c>
      <c r="AX70" s="16">
        <f t="shared" si="70"/>
        <v>1.2951568209839878E-3</v>
      </c>
      <c r="AY70" s="17">
        <f t="shared" si="70"/>
        <v>1.0532640218723771E-3</v>
      </c>
      <c r="AZ70" s="16">
        <f t="shared" si="70"/>
        <v>1.2360757876638678E-3</v>
      </c>
      <c r="BA70" s="16">
        <f t="shared" si="70"/>
        <v>1.3557185276543912E-3</v>
      </c>
      <c r="BB70" s="17">
        <f t="shared" si="70"/>
        <v>-3.7697185030408156E-3</v>
      </c>
      <c r="BC70" s="16">
        <f t="shared" si="70"/>
        <v>-4.1018446827244953E-4</v>
      </c>
      <c r="BD70" s="16">
        <f t="shared" si="70"/>
        <v>6.3773350470863743E-5</v>
      </c>
      <c r="BE70" s="16">
        <f t="shared" si="70"/>
        <v>-3.4233972826478373E-3</v>
      </c>
      <c r="BF70" s="17">
        <f t="shared" ref="BF70:BX70" si="78">(((BF40+Unadj_Op_revenue)/(BF67+Unadj_rate_base))-Weighted_cost_debt-Weighted_cost_pref)/Percent_common-Unadj_ROE</f>
        <v>-3.7355258613244735E-5</v>
      </c>
      <c r="BG70" s="16">
        <f t="shared" si="78"/>
        <v>2.4138866163521747E-3</v>
      </c>
      <c r="BH70" s="16">
        <f t="shared" si="78"/>
        <v>3.073793688459503E-4</v>
      </c>
      <c r="BI70" s="16">
        <f t="shared" si="78"/>
        <v>-1.6370536267282937E-4</v>
      </c>
      <c r="BJ70" s="16">
        <f t="shared" si="78"/>
        <v>9.4192990072301808E-5</v>
      </c>
      <c r="BK70" s="16">
        <f t="shared" si="78"/>
        <v>-2.467128562251078E-4</v>
      </c>
      <c r="BL70" s="16">
        <f t="shared" si="78"/>
        <v>4.3985364137631017E-4</v>
      </c>
      <c r="BM70" s="16">
        <f t="shared" si="78"/>
        <v>-5.0383186278985803E-3</v>
      </c>
      <c r="BN70" s="17">
        <f t="shared" si="78"/>
        <v>1.1729593009192352E-5</v>
      </c>
      <c r="BO70" s="16">
        <f t="shared" si="78"/>
        <v>0</v>
      </c>
      <c r="BP70" s="16">
        <f t="shared" si="78"/>
        <v>0</v>
      </c>
      <c r="BQ70" s="16">
        <f t="shared" si="78"/>
        <v>0</v>
      </c>
      <c r="BR70" s="16">
        <f t="shared" si="78"/>
        <v>0</v>
      </c>
      <c r="BS70" s="16">
        <f t="shared" si="78"/>
        <v>0</v>
      </c>
      <c r="BT70" s="16">
        <f t="shared" si="78"/>
        <v>0</v>
      </c>
      <c r="BU70" s="16">
        <f t="shared" si="78"/>
        <v>0</v>
      </c>
      <c r="BV70" s="19">
        <f t="shared" si="78"/>
        <v>-3.9510580733563144E-3</v>
      </c>
      <c r="BW70" s="17">
        <f t="shared" si="78"/>
        <v>-1.667590493031057E-3</v>
      </c>
      <c r="BX70" s="18">
        <f t="shared" si="78"/>
        <v>2.1400982886617126E-5</v>
      </c>
      <c r="BY70" s="281"/>
    </row>
    <row r="71" spans="1:77" x14ac:dyDescent="0.2">
      <c r="A71" s="14" t="s">
        <v>47</v>
      </c>
      <c r="B71" s="192">
        <f>SUM(C71:BX71)</f>
        <v>-18122920.5604016</v>
      </c>
      <c r="C71" s="37">
        <f t="shared" ref="C71" si="79">-(C40-(C67*Overall_ROR))/gross_up_factor</f>
        <v>5972552.3775320789</v>
      </c>
      <c r="D71" s="106">
        <f t="shared" ref="D71:BE71" si="80">-(D40-(D67*Overall_ROR))/gross_up_factor</f>
        <v>7792639.6260694861</v>
      </c>
      <c r="E71" s="106">
        <f t="shared" si="80"/>
        <v>-17862619.85880293</v>
      </c>
      <c r="F71" s="106">
        <f t="shared" si="80"/>
        <v>-806581.84509009949</v>
      </c>
      <c r="G71" s="106">
        <f t="shared" si="80"/>
        <v>2364087.5396612394</v>
      </c>
      <c r="H71" s="106">
        <f t="shared" si="80"/>
        <v>-364288.9127195974</v>
      </c>
      <c r="I71" s="193">
        <f t="shared" si="80"/>
        <v>-43356.927757402918</v>
      </c>
      <c r="J71" s="37">
        <f t="shared" ref="J71:K71" si="81">-(J40-(J67*Overall_ROR))/gross_up_factor</f>
        <v>0</v>
      </c>
      <c r="K71" s="193">
        <f t="shared" si="81"/>
        <v>-27160.968306744162</v>
      </c>
      <c r="L71" s="37">
        <f t="shared" si="80"/>
        <v>-23200.869581328825</v>
      </c>
      <c r="M71" s="106">
        <f t="shared" si="80"/>
        <v>-49927.91176848139</v>
      </c>
      <c r="N71" s="106">
        <f t="shared" si="80"/>
        <v>-722488.60169543501</v>
      </c>
      <c r="O71" s="106">
        <f t="shared" si="80"/>
        <v>-5603.2441606932352</v>
      </c>
      <c r="P71" s="106">
        <f t="shared" si="80"/>
        <v>163076.07989437639</v>
      </c>
      <c r="Q71" s="193">
        <f t="shared" si="80"/>
        <v>-11175351.688597724</v>
      </c>
      <c r="R71" s="37">
        <f t="shared" si="80"/>
        <v>-2807093.5882722889</v>
      </c>
      <c r="S71" s="106">
        <f t="shared" si="80"/>
        <v>-421.70172201591981</v>
      </c>
      <c r="T71" s="106">
        <f t="shared" si="80"/>
        <v>1570.079608960209</v>
      </c>
      <c r="U71" s="106">
        <f t="shared" si="80"/>
        <v>443186.59387024376</v>
      </c>
      <c r="V71" s="106">
        <f t="shared" si="80"/>
        <v>770438.73962750554</v>
      </c>
      <c r="W71" s="106">
        <f t="shared" si="80"/>
        <v>-672007.88030351314</v>
      </c>
      <c r="X71" s="193">
        <f t="shared" si="80"/>
        <v>0</v>
      </c>
      <c r="Y71" s="37">
        <f t="shared" ref="Y71:AB71" si="82">-(Y40-(Y67*Overall_ROR))/gross_up_factor</f>
        <v>0</v>
      </c>
      <c r="Z71" s="106">
        <f t="shared" si="82"/>
        <v>0</v>
      </c>
      <c r="AA71" s="106">
        <f t="shared" si="82"/>
        <v>0</v>
      </c>
      <c r="AB71" s="106">
        <f t="shared" si="82"/>
        <v>0</v>
      </c>
      <c r="AC71" s="193">
        <f t="shared" ref="AC71" si="83">-(AC40-(AC67*Overall_ROR))/gross_up_factor</f>
        <v>0</v>
      </c>
      <c r="AD71" s="37">
        <f t="shared" si="80"/>
        <v>-12080651.744868558</v>
      </c>
      <c r="AE71" s="193">
        <f t="shared" ref="AE71" si="84">-(AE40-(AE67*Overall_ROR))/gross_up_factor</f>
        <v>4953793.0067990292</v>
      </c>
      <c r="AF71" s="37">
        <f t="shared" si="80"/>
        <v>-713314.4555071902</v>
      </c>
      <c r="AG71" s="106">
        <f t="shared" si="80"/>
        <v>-1516931.2047189083</v>
      </c>
      <c r="AH71" s="29">
        <f t="shared" si="80"/>
        <v>-18967.010104357076</v>
      </c>
      <c r="AI71" s="12">
        <f t="shared" si="80"/>
        <v>0</v>
      </c>
      <c r="AJ71" s="12">
        <f t="shared" si="80"/>
        <v>0</v>
      </c>
      <c r="AK71" s="86">
        <f t="shared" si="80"/>
        <v>0</v>
      </c>
      <c r="AL71" s="29">
        <f t="shared" si="80"/>
        <v>1498822.5481146851</v>
      </c>
      <c r="AM71" s="12">
        <f t="shared" ref="AM71:AQ71" si="85">-(AM40-(AM67*Overall_ROR))/gross_up_factor</f>
        <v>-168329.3015574954</v>
      </c>
      <c r="AN71" s="12">
        <f t="shared" ref="AN71:AP71" si="86">-(AN40-(AN67*Overall_ROR))/gross_up_factor</f>
        <v>-4163.8904503217818</v>
      </c>
      <c r="AO71" s="12">
        <f t="shared" si="86"/>
        <v>-93110.793659185918</v>
      </c>
      <c r="AP71" s="12">
        <f t="shared" si="86"/>
        <v>-45542.484980743749</v>
      </c>
      <c r="AQ71" s="86">
        <f t="shared" si="85"/>
        <v>1104.1096661946692</v>
      </c>
      <c r="AR71" s="12">
        <f t="shared" ref="AR71" si="87">-(AR40-(AR67*Overall_ROR))/gross_up_factor</f>
        <v>0</v>
      </c>
      <c r="AS71" s="37">
        <f t="shared" si="80"/>
        <v>-47365.197409006891</v>
      </c>
      <c r="AT71" s="106">
        <f t="shared" si="80"/>
        <v>113575.57904930998</v>
      </c>
      <c r="AU71" s="106">
        <f t="shared" si="80"/>
        <v>-1068383.2261475592</v>
      </c>
      <c r="AV71" s="106">
        <f t="shared" si="80"/>
        <v>-192886.38280277554</v>
      </c>
      <c r="AW71" s="106">
        <f t="shared" si="80"/>
        <v>41760.309902348476</v>
      </c>
      <c r="AX71" s="106">
        <f t="shared" si="80"/>
        <v>-1138563.0671243477</v>
      </c>
      <c r="AY71" s="37">
        <f t="shared" si="80"/>
        <v>-657975.72357007931</v>
      </c>
      <c r="AZ71" s="106">
        <f t="shared" si="80"/>
        <v>-763793.94076345733</v>
      </c>
      <c r="BA71" s="106">
        <f t="shared" si="80"/>
        <v>-846919.53837462666</v>
      </c>
      <c r="BB71" s="37">
        <f t="shared" si="80"/>
        <v>3373836.2523595355</v>
      </c>
      <c r="BC71" s="106">
        <f t="shared" si="80"/>
        <v>247379.5975842601</v>
      </c>
      <c r="BD71" s="106">
        <f t="shared" si="80"/>
        <v>-56723.81352164664</v>
      </c>
      <c r="BE71" s="106">
        <f t="shared" si="80"/>
        <v>2918740.4435051642</v>
      </c>
      <c r="BF71" s="37">
        <f t="shared" ref="BF71:BX71" si="88">-(BF40-(BF67*Overall_ROR))/gross_up_factor</f>
        <v>-53626.417040693741</v>
      </c>
      <c r="BG71" s="106">
        <f t="shared" si="88"/>
        <v>-2099796.1215968532</v>
      </c>
      <c r="BH71" s="106">
        <f t="shared" si="88"/>
        <v>-272765.16517505393</v>
      </c>
      <c r="BI71" s="106">
        <f t="shared" si="88"/>
        <v>105711.22725376028</v>
      </c>
      <c r="BJ71" s="106">
        <f t="shared" si="88"/>
        <v>-71461.711640706839</v>
      </c>
      <c r="BK71" s="106">
        <f t="shared" si="88"/>
        <v>151167.76160452477</v>
      </c>
      <c r="BL71" s="106">
        <f t="shared" si="88"/>
        <v>-391659.54886916932</v>
      </c>
      <c r="BM71" s="106">
        <f t="shared" si="88"/>
        <v>3147445.7267371477</v>
      </c>
      <c r="BN71" s="37">
        <f t="shared" si="88"/>
        <v>-7327.4955634396438</v>
      </c>
      <c r="BO71" s="106">
        <f t="shared" si="88"/>
        <v>0</v>
      </c>
      <c r="BP71" s="106">
        <f t="shared" si="88"/>
        <v>0</v>
      </c>
      <c r="BQ71" s="106">
        <f t="shared" si="88"/>
        <v>0</v>
      </c>
      <c r="BR71" s="106">
        <f t="shared" si="88"/>
        <v>0</v>
      </c>
      <c r="BS71" s="106">
        <f t="shared" si="88"/>
        <v>0</v>
      </c>
      <c r="BT71" s="106">
        <f t="shared" si="88"/>
        <v>0</v>
      </c>
      <c r="BU71" s="106">
        <f t="shared" si="88"/>
        <v>0</v>
      </c>
      <c r="BV71" s="192">
        <f t="shared" si="88"/>
        <v>3654828.9326016665</v>
      </c>
      <c r="BW71" s="37">
        <f t="shared" si="88"/>
        <v>1047555.1462835451</v>
      </c>
      <c r="BX71" s="193">
        <f t="shared" si="88"/>
        <v>-15830.003902232142</v>
      </c>
    </row>
    <row r="72" spans="1:77" x14ac:dyDescent="0.2">
      <c r="A72" s="14"/>
      <c r="B72" s="19"/>
      <c r="C72" s="17"/>
      <c r="D72" s="16"/>
      <c r="E72" s="16"/>
      <c r="F72" s="16"/>
      <c r="G72" s="16"/>
      <c r="H72" s="16"/>
      <c r="I72" s="18"/>
      <c r="J72" s="17"/>
      <c r="K72" s="18"/>
      <c r="L72" s="17"/>
      <c r="M72" s="16"/>
      <c r="N72" s="16"/>
      <c r="O72" s="16"/>
      <c r="P72" s="16"/>
      <c r="Q72" s="18"/>
      <c r="R72" s="17"/>
      <c r="S72" s="16"/>
      <c r="T72" s="16"/>
      <c r="U72" s="16"/>
      <c r="V72" s="16"/>
      <c r="W72" s="16"/>
      <c r="X72" s="18"/>
      <c r="Y72" s="17"/>
      <c r="Z72" s="16"/>
      <c r="AA72" s="16"/>
      <c r="AB72" s="16"/>
      <c r="AC72" s="18"/>
      <c r="AD72" s="17"/>
      <c r="AE72" s="18"/>
      <c r="AF72" s="17"/>
      <c r="AG72" s="16"/>
      <c r="AH72" s="17"/>
      <c r="AI72" s="16"/>
      <c r="AJ72" s="16"/>
      <c r="AK72" s="18"/>
      <c r="AL72" s="17"/>
      <c r="AM72" s="16"/>
      <c r="AN72" s="16"/>
      <c r="AO72" s="16"/>
      <c r="AP72" s="16"/>
      <c r="AQ72" s="18"/>
      <c r="AR72" s="16"/>
      <c r="AS72" s="17"/>
      <c r="AT72" s="16"/>
      <c r="AU72" s="16"/>
      <c r="AV72" s="16"/>
      <c r="AW72" s="16"/>
      <c r="AX72" s="16"/>
      <c r="AY72" s="17"/>
      <c r="AZ72" s="16"/>
      <c r="BA72" s="16"/>
      <c r="BB72" s="17"/>
      <c r="BC72" s="16"/>
      <c r="BD72" s="16"/>
      <c r="BE72" s="16"/>
      <c r="BF72" s="17"/>
      <c r="BG72" s="16"/>
      <c r="BH72" s="16"/>
      <c r="BI72" s="16"/>
      <c r="BJ72" s="16"/>
      <c r="BK72" s="16"/>
      <c r="BL72" s="16"/>
      <c r="BM72" s="16"/>
      <c r="BN72" s="17"/>
      <c r="BO72" s="16"/>
      <c r="BP72" s="16"/>
      <c r="BQ72" s="16"/>
      <c r="BR72" s="16"/>
      <c r="BS72" s="16"/>
      <c r="BT72" s="16"/>
      <c r="BU72" s="16"/>
      <c r="BV72" s="19"/>
      <c r="BW72" s="17"/>
      <c r="BX72" s="18"/>
    </row>
    <row r="73" spans="1:77" x14ac:dyDescent="0.2">
      <c r="A73" s="14" t="s">
        <v>101</v>
      </c>
      <c r="B73" s="88"/>
      <c r="C73" s="29"/>
      <c r="D73" s="12"/>
      <c r="E73" s="12"/>
      <c r="F73" s="12"/>
      <c r="G73" s="12"/>
      <c r="H73" s="12"/>
      <c r="I73" s="86"/>
      <c r="J73" s="29"/>
      <c r="K73" s="86"/>
      <c r="L73" s="29"/>
      <c r="M73" s="12"/>
      <c r="N73" s="12"/>
      <c r="O73" s="12"/>
      <c r="P73" s="12"/>
      <c r="Q73" s="86"/>
      <c r="R73" s="29"/>
      <c r="S73" s="12"/>
      <c r="T73" s="12"/>
      <c r="U73" s="12"/>
      <c r="V73" s="12"/>
      <c r="W73" s="12"/>
      <c r="X73" s="86"/>
      <c r="Y73" s="29"/>
      <c r="Z73" s="12"/>
      <c r="AA73" s="12"/>
      <c r="AB73" s="12"/>
      <c r="AC73" s="86"/>
      <c r="AD73" s="29"/>
      <c r="AE73" s="86"/>
      <c r="AF73" s="29"/>
      <c r="AG73" s="12"/>
      <c r="AH73" s="29"/>
      <c r="AI73" s="12"/>
      <c r="AJ73" s="12"/>
      <c r="AK73" s="86"/>
      <c r="AL73" s="29"/>
      <c r="AM73" s="12"/>
      <c r="AN73" s="12"/>
      <c r="AO73" s="12"/>
      <c r="AP73" s="12"/>
      <c r="AQ73" s="86"/>
      <c r="AR73" s="12"/>
      <c r="AS73" s="29"/>
      <c r="AT73" s="12"/>
      <c r="AU73" s="12"/>
      <c r="AV73" s="12"/>
      <c r="AW73" s="12"/>
      <c r="AX73" s="12"/>
      <c r="AY73" s="29"/>
      <c r="AZ73" s="12"/>
      <c r="BA73" s="12"/>
      <c r="BB73" s="29"/>
      <c r="BC73" s="12"/>
      <c r="BD73" s="12"/>
      <c r="BE73" s="12"/>
      <c r="BF73" s="29"/>
      <c r="BG73" s="12"/>
      <c r="BH73" s="12"/>
      <c r="BI73" s="12"/>
      <c r="BJ73" s="12"/>
      <c r="BK73" s="12"/>
      <c r="BL73" s="12"/>
      <c r="BM73" s="12"/>
      <c r="BN73" s="29"/>
      <c r="BO73" s="12"/>
      <c r="BP73" s="12"/>
      <c r="BQ73" s="12"/>
      <c r="BR73" s="12"/>
      <c r="BS73" s="12"/>
      <c r="BT73" s="12"/>
      <c r="BU73" s="12"/>
      <c r="BV73" s="88"/>
      <c r="BW73" s="29"/>
      <c r="BX73" s="86"/>
    </row>
    <row r="74" spans="1:77" x14ac:dyDescent="0.2">
      <c r="A74" s="14" t="s">
        <v>102</v>
      </c>
      <c r="B74" s="192">
        <f t="shared" ref="B74:B80" si="89">SUM(C74:BX74)</f>
        <v>18243723.101204831</v>
      </c>
      <c r="C74" s="37">
        <f t="shared" ref="C74" si="90">C16-C29-C30-C31-C32-C37</f>
        <v>-5692761.2699999996</v>
      </c>
      <c r="D74" s="106">
        <f t="shared" ref="D74:BE74" si="91">D16-D29-D30-D31-D32-D37</f>
        <v>-7427584.4312790008</v>
      </c>
      <c r="E74" s="106">
        <f t="shared" si="91"/>
        <v>17025824.820802085</v>
      </c>
      <c r="F74" s="106">
        <f t="shared" si="91"/>
        <v>776048.95839665306</v>
      </c>
      <c r="G74" s="106">
        <f t="shared" si="91"/>
        <v>-2253339.1310724937</v>
      </c>
      <c r="H74" s="106">
        <f t="shared" si="91"/>
        <v>347223.37826988706</v>
      </c>
      <c r="I74" s="193">
        <f t="shared" si="91"/>
        <v>41325.822449383042</v>
      </c>
      <c r="J74" s="37">
        <f t="shared" ref="J74:K74" si="92">J16-J29-J30-J31-J32-J37</f>
        <v>0</v>
      </c>
      <c r="K74" s="193">
        <f t="shared" si="92"/>
        <v>25888.581406835918</v>
      </c>
      <c r="L74" s="37">
        <f t="shared" si="91"/>
        <v>22113.998075557342</v>
      </c>
      <c r="M74" s="106">
        <f t="shared" si="91"/>
        <v>47588.981132557921</v>
      </c>
      <c r="N74" s="106">
        <f t="shared" si="91"/>
        <v>688642.78950831818</v>
      </c>
      <c r="O74" s="106">
        <f t="shared" si="91"/>
        <v>5340.7537227038374</v>
      </c>
      <c r="P74" s="106">
        <f t="shared" si="91"/>
        <v>-155436.59276701676</v>
      </c>
      <c r="Q74" s="193">
        <f t="shared" si="91"/>
        <v>10677588.59</v>
      </c>
      <c r="R74" s="37">
        <f t="shared" si="91"/>
        <v>1999542.2199813544</v>
      </c>
      <c r="S74" s="106">
        <f t="shared" si="91"/>
        <v>401.946618269174</v>
      </c>
      <c r="T74" s="106">
        <f t="shared" si="91"/>
        <v>-1496.5274180481501</v>
      </c>
      <c r="U74" s="106">
        <f t="shared" si="91"/>
        <v>-422425.00651124539</v>
      </c>
      <c r="V74" s="106">
        <f t="shared" si="91"/>
        <v>-734346.64790187846</v>
      </c>
      <c r="W74" s="106">
        <f t="shared" si="91"/>
        <v>640526.89575698704</v>
      </c>
      <c r="X74" s="193">
        <f t="shared" si="91"/>
        <v>0</v>
      </c>
      <c r="Y74" s="37">
        <f t="shared" ref="Y74:AB74" si="93">Y16-Y29-Y30-Y31-Y32-Y37</f>
        <v>0</v>
      </c>
      <c r="Z74" s="106">
        <f t="shared" si="93"/>
        <v>0</v>
      </c>
      <c r="AA74" s="106">
        <f t="shared" si="93"/>
        <v>0</v>
      </c>
      <c r="AB74" s="106">
        <f t="shared" si="93"/>
        <v>0</v>
      </c>
      <c r="AC74" s="193">
        <f t="shared" ref="AC74" si="94">AC16-AC29-AC30-AC31-AC32-AC37</f>
        <v>0</v>
      </c>
      <c r="AD74" s="37">
        <f t="shared" si="91"/>
        <v>11514719.674666643</v>
      </c>
      <c r="AE74" s="193">
        <f t="shared" ref="AE74" si="95">AE16-AE29-AE30-AE31-AE32-AE37</f>
        <v>-4721726.857480526</v>
      </c>
      <c r="AF74" s="37">
        <f t="shared" si="91"/>
        <v>679898.4167838149</v>
      </c>
      <c r="AG74" s="106">
        <f t="shared" si="91"/>
        <v>469119.33380278642</v>
      </c>
      <c r="AH74" s="29">
        <f t="shared" si="91"/>
        <v>0</v>
      </c>
      <c r="AI74" s="12">
        <f t="shared" si="91"/>
        <v>0</v>
      </c>
      <c r="AJ74" s="12">
        <f t="shared" si="91"/>
        <v>0</v>
      </c>
      <c r="AK74" s="86">
        <f t="shared" si="91"/>
        <v>0</v>
      </c>
      <c r="AL74" s="29">
        <f t="shared" si="91"/>
        <v>-1428608.4764376204</v>
      </c>
      <c r="AM74" s="12">
        <f t="shared" ref="AM74:AQ74" si="96">AM16-AM29-AM30-AM31-AM32-AM37</f>
        <v>0</v>
      </c>
      <c r="AN74" s="12">
        <f t="shared" ref="AN74:AP74" si="97">AN16-AN29-AN30-AN31-AN32-AN37</f>
        <v>0</v>
      </c>
      <c r="AO74" s="12">
        <f t="shared" si="97"/>
        <v>88748.911094690207</v>
      </c>
      <c r="AP74" s="12">
        <f t="shared" si="97"/>
        <v>43408.994722799682</v>
      </c>
      <c r="AQ74" s="86">
        <f t="shared" si="96"/>
        <v>0</v>
      </c>
      <c r="AR74" s="12">
        <f t="shared" ref="AR74" si="98">AR16-AR29-AR30-AR31-AR32-AR37</f>
        <v>0</v>
      </c>
      <c r="AS74" s="37">
        <f t="shared" si="91"/>
        <v>0</v>
      </c>
      <c r="AT74" s="106">
        <f t="shared" si="91"/>
        <v>-108255</v>
      </c>
      <c r="AU74" s="106">
        <f t="shared" si="91"/>
        <v>0</v>
      </c>
      <c r="AV74" s="106">
        <f t="shared" si="91"/>
        <v>0</v>
      </c>
      <c r="AW74" s="106">
        <f t="shared" si="91"/>
        <v>-39804</v>
      </c>
      <c r="AX74" s="106">
        <f t="shared" si="91"/>
        <v>0</v>
      </c>
      <c r="AY74" s="37">
        <f t="shared" si="91"/>
        <v>0</v>
      </c>
      <c r="AZ74" s="106">
        <f t="shared" si="91"/>
        <v>0</v>
      </c>
      <c r="BA74" s="106">
        <f t="shared" si="91"/>
        <v>807244.04000000097</v>
      </c>
      <c r="BB74" s="37">
        <f t="shared" si="91"/>
        <v>0</v>
      </c>
      <c r="BC74" s="106">
        <f t="shared" si="91"/>
        <v>-168765.87530265757</v>
      </c>
      <c r="BD74" s="106">
        <f t="shared" si="91"/>
        <v>0</v>
      </c>
      <c r="BE74" s="106">
        <f t="shared" si="91"/>
        <v>-466361.64486894885</v>
      </c>
      <c r="BF74" s="37">
        <f t="shared" ref="BF74:BX74" si="99">BF16-BF29-BF30-BF31-BF32-BF37</f>
        <v>0</v>
      </c>
      <c r="BG74" s="106">
        <f t="shared" si="99"/>
        <v>0</v>
      </c>
      <c r="BH74" s="106">
        <f t="shared" si="99"/>
        <v>0</v>
      </c>
      <c r="BI74" s="106">
        <f t="shared" si="99"/>
        <v>-82361.759263031505</v>
      </c>
      <c r="BJ74" s="106">
        <f t="shared" si="99"/>
        <v>17990.552800000001</v>
      </c>
      <c r="BK74" s="106">
        <f t="shared" si="99"/>
        <v>0</v>
      </c>
      <c r="BL74" s="106">
        <f t="shared" si="99"/>
        <v>-4169.3672727272733</v>
      </c>
      <c r="BM74" s="106">
        <f t="shared" si="99"/>
        <v>-3000000</v>
      </c>
      <c r="BN74" s="37">
        <f t="shared" si="99"/>
        <v>6984.2305789677403</v>
      </c>
      <c r="BO74" s="106">
        <f t="shared" si="99"/>
        <v>0</v>
      </c>
      <c r="BP74" s="106">
        <f t="shared" si="99"/>
        <v>0</v>
      </c>
      <c r="BQ74" s="106">
        <f t="shared" si="99"/>
        <v>0</v>
      </c>
      <c r="BR74" s="106">
        <f t="shared" si="99"/>
        <v>0</v>
      </c>
      <c r="BS74" s="106">
        <f t="shared" si="99"/>
        <v>0</v>
      </c>
      <c r="BT74" s="106">
        <f t="shared" si="99"/>
        <v>0</v>
      </c>
      <c r="BU74" s="106">
        <f t="shared" si="99"/>
        <v>0</v>
      </c>
      <c r="BV74" s="192">
        <f t="shared" si="99"/>
        <v>0</v>
      </c>
      <c r="BW74" s="37">
        <f t="shared" si="99"/>
        <v>-980581.26515954512</v>
      </c>
      <c r="BX74" s="193">
        <f t="shared" si="99"/>
        <v>5575.0633692726551</v>
      </c>
    </row>
    <row r="75" spans="1:77" x14ac:dyDescent="0.2">
      <c r="A75" s="14" t="s">
        <v>103</v>
      </c>
      <c r="B75" s="192">
        <f t="shared" si="89"/>
        <v>0</v>
      </c>
      <c r="C75" s="29">
        <f>'Restating Adj'!C75+'Pro Forma Adj'!C75</f>
        <v>0</v>
      </c>
      <c r="D75" s="12">
        <f>'Restating Adj'!D75+'Pro Forma Adj'!D75</f>
        <v>0</v>
      </c>
      <c r="E75" s="12">
        <f>'Restating Adj'!E75+'Pro Forma Adj'!E75</f>
        <v>0</v>
      </c>
      <c r="F75" s="12">
        <f>'Restating Adj'!F75+'Pro Forma Adj'!F75</f>
        <v>0</v>
      </c>
      <c r="G75" s="12">
        <f>'Restating Adj'!G75+'Pro Forma Adj'!G75</f>
        <v>0</v>
      </c>
      <c r="H75" s="12">
        <f>'Restating Adj'!H75+'Pro Forma Adj'!H75</f>
        <v>0</v>
      </c>
      <c r="I75" s="86">
        <f>'Restating Adj'!I75+'Pro Forma Adj'!I75</f>
        <v>0</v>
      </c>
      <c r="J75" s="29">
        <f>'Restating Adj'!J75+'Pro Forma Adj'!J75</f>
        <v>0</v>
      </c>
      <c r="K75" s="86">
        <f>'Restating Adj'!K75+'Pro Forma Adj'!K75</f>
        <v>0</v>
      </c>
      <c r="L75" s="29">
        <f>'Restating Adj'!L75+'Pro Forma Adj'!L75</f>
        <v>0</v>
      </c>
      <c r="M75" s="12">
        <f>'Restating Adj'!M75+'Pro Forma Adj'!M75</f>
        <v>0</v>
      </c>
      <c r="N75" s="12">
        <f>'Restating Adj'!N75+'Pro Forma Adj'!N75</f>
        <v>0</v>
      </c>
      <c r="O75" s="12">
        <f>'Restating Adj'!O75+'Pro Forma Adj'!O75</f>
        <v>0</v>
      </c>
      <c r="P75" s="12">
        <f>'Restating Adj'!P75+'Pro Forma Adj'!P75</f>
        <v>0</v>
      </c>
      <c r="Q75" s="86">
        <f>'Restating Adj'!Q75+'Pro Forma Adj'!Q75</f>
        <v>0</v>
      </c>
      <c r="R75" s="29">
        <f>'Restating Adj'!R75+'Pro Forma Adj'!R75</f>
        <v>0</v>
      </c>
      <c r="S75" s="12">
        <f>'Restating Adj'!S75+'Pro Forma Adj'!S75</f>
        <v>0</v>
      </c>
      <c r="T75" s="12">
        <f>'Restating Adj'!T75+'Pro Forma Adj'!T75</f>
        <v>0</v>
      </c>
      <c r="U75" s="12">
        <f>'Restating Adj'!U75+'Pro Forma Adj'!U75</f>
        <v>0</v>
      </c>
      <c r="V75" s="12">
        <f>'Restating Adj'!V75+'Pro Forma Adj'!V75</f>
        <v>0</v>
      </c>
      <c r="W75" s="12">
        <f>'Restating Adj'!W75+'Pro Forma Adj'!W75</f>
        <v>0</v>
      </c>
      <c r="X75" s="86">
        <f>'Restating Adj'!X75+'Pro Forma Adj'!X75</f>
        <v>0</v>
      </c>
      <c r="Y75" s="29">
        <f>'Restating Adj'!Y75+'Pro Forma Adj'!Y75</f>
        <v>0</v>
      </c>
      <c r="Z75" s="12">
        <f>'Restating Adj'!Z75+'Pro Forma Adj'!Z75</f>
        <v>0</v>
      </c>
      <c r="AA75" s="12">
        <f>'Restating Adj'!AA75+'Pro Forma Adj'!AA75</f>
        <v>0</v>
      </c>
      <c r="AB75" s="12">
        <f>'Restating Adj'!AB75+'Pro Forma Adj'!AB75</f>
        <v>0</v>
      </c>
      <c r="AC75" s="86">
        <f>'Restating Adj'!AC75+'Pro Forma Adj'!AC75</f>
        <v>0</v>
      </c>
      <c r="AD75" s="29">
        <f>'Restating Adj'!AD75+'Pro Forma Adj'!AD75</f>
        <v>0</v>
      </c>
      <c r="AE75" s="86">
        <f>'Restating Adj'!AE75+'Pro Forma Adj'!AE75</f>
        <v>0</v>
      </c>
      <c r="AF75" s="29">
        <f>'Restating Adj'!AF75+'Pro Forma Adj'!AF75</f>
        <v>0</v>
      </c>
      <c r="AG75" s="12">
        <f>'Restating Adj'!AG75+'Pro Forma Adj'!AG75</f>
        <v>0</v>
      </c>
      <c r="AH75" s="29">
        <f>'Restating Adj'!AH75+'Pro Forma Adj'!AH75</f>
        <v>0</v>
      </c>
      <c r="AI75" s="12">
        <f>'Restating Adj'!AI75+'Pro Forma Adj'!AI75</f>
        <v>0</v>
      </c>
      <c r="AJ75" s="12">
        <f>'Restating Adj'!AJ75+'Pro Forma Adj'!AJ75</f>
        <v>0</v>
      </c>
      <c r="AK75" s="86">
        <f>'Restating Adj'!AK75+'Pro Forma Adj'!AK75</f>
        <v>0</v>
      </c>
      <c r="AL75" s="29">
        <f>'Restating Adj'!AL75+'Pro Forma Adj'!AL75</f>
        <v>0</v>
      </c>
      <c r="AM75" s="12">
        <f>'Restating Adj'!AM75+'Pro Forma Adj'!AM75</f>
        <v>0</v>
      </c>
      <c r="AN75" s="12">
        <f>'Restating Adj'!AN75+'Pro Forma Adj'!AN75</f>
        <v>0</v>
      </c>
      <c r="AO75" s="12">
        <f>'Restating Adj'!AO75+'Pro Forma Adj'!AO75</f>
        <v>0</v>
      </c>
      <c r="AP75" s="12">
        <f>'Restating Adj'!AP75+'Pro Forma Adj'!AP75</f>
        <v>0</v>
      </c>
      <c r="AQ75" s="86">
        <f>'Restating Adj'!AQ75+'Pro Forma Adj'!AQ75</f>
        <v>0</v>
      </c>
      <c r="AR75" s="12">
        <f>'Restating Adj'!AR75+'Pro Forma Adj'!AR75</f>
        <v>0</v>
      </c>
      <c r="AS75" s="29">
        <f>'Restating Adj'!AS75+'Pro Forma Adj'!AS75</f>
        <v>0</v>
      </c>
      <c r="AT75" s="12">
        <f>'Restating Adj'!AT75+'Pro Forma Adj'!AT75</f>
        <v>0</v>
      </c>
      <c r="AU75" s="12">
        <f>'Restating Adj'!AU75+'Pro Forma Adj'!AU75</f>
        <v>0</v>
      </c>
      <c r="AV75" s="12">
        <f>'Restating Adj'!AV75+'Pro Forma Adj'!AV75</f>
        <v>0</v>
      </c>
      <c r="AW75" s="12">
        <f>'Restating Adj'!AW75+'Pro Forma Adj'!AW75</f>
        <v>0</v>
      </c>
      <c r="AX75" s="12">
        <f>'Restating Adj'!AX75+'Pro Forma Adj'!AX75</f>
        <v>0</v>
      </c>
      <c r="AY75" s="29">
        <f>'Restating Adj'!AY75+'Pro Forma Adj'!AY75</f>
        <v>0</v>
      </c>
      <c r="AZ75" s="12">
        <f>'Restating Adj'!AZ75+'Pro Forma Adj'!AZ75</f>
        <v>0</v>
      </c>
      <c r="BA75" s="12">
        <f>'Restating Adj'!BA75+'Pro Forma Adj'!BA75</f>
        <v>0</v>
      </c>
      <c r="BB75" s="29">
        <f>'Restating Adj'!BB75+'Pro Forma Adj'!BB75</f>
        <v>0</v>
      </c>
      <c r="BC75" s="12">
        <f>'Restating Adj'!BC75+'Pro Forma Adj'!BC75</f>
        <v>0</v>
      </c>
      <c r="BD75" s="12">
        <f>'Restating Adj'!BD75+'Pro Forma Adj'!BD75</f>
        <v>0</v>
      </c>
      <c r="BE75" s="12">
        <f>'Restating Adj'!BE75+'Pro Forma Adj'!BE75</f>
        <v>0</v>
      </c>
      <c r="BF75" s="29">
        <f>'Restating Adj'!BF75+'Pro Forma Adj'!BF75</f>
        <v>0</v>
      </c>
      <c r="BG75" s="12">
        <f>'Restating Adj'!BG75+'Pro Forma Adj'!BG75</f>
        <v>0</v>
      </c>
      <c r="BH75" s="12">
        <f>'Restating Adj'!BH75+'Pro Forma Adj'!BH75</f>
        <v>0</v>
      </c>
      <c r="BI75" s="12">
        <f>'Restating Adj'!BI75+'Pro Forma Adj'!BI75</f>
        <v>0</v>
      </c>
      <c r="BJ75" s="12">
        <f>'Restating Adj'!BJ75+'Pro Forma Adj'!BJ75</f>
        <v>0</v>
      </c>
      <c r="BK75" s="12">
        <f>'Restating Adj'!BK75+'Pro Forma Adj'!BK75</f>
        <v>0</v>
      </c>
      <c r="BL75" s="12">
        <f>'Restating Adj'!BL75+'Pro Forma Adj'!BL75</f>
        <v>0</v>
      </c>
      <c r="BM75" s="12">
        <f>'Restating Adj'!BM75+'Pro Forma Adj'!BM75</f>
        <v>0</v>
      </c>
      <c r="BN75" s="29">
        <f>'Restating Adj'!BN75+'Pro Forma Adj'!BN75</f>
        <v>0</v>
      </c>
      <c r="BO75" s="12">
        <f>'Restating Adj'!BO75+'Pro Forma Adj'!BO75</f>
        <v>0</v>
      </c>
      <c r="BP75" s="12">
        <f>'Restating Adj'!BP75+'Pro Forma Adj'!BP75</f>
        <v>0</v>
      </c>
      <c r="BQ75" s="12">
        <f>'Restating Adj'!BQ75+'Pro Forma Adj'!BQ75</f>
        <v>0</v>
      </c>
      <c r="BR75" s="12">
        <f>'Restating Adj'!BR75+'Pro Forma Adj'!BR75</f>
        <v>0</v>
      </c>
      <c r="BS75" s="12">
        <f>'Restating Adj'!BS75+'Pro Forma Adj'!BS75</f>
        <v>0</v>
      </c>
      <c r="BT75" s="12">
        <f>'Restating Adj'!BT75+'Pro Forma Adj'!BT75</f>
        <v>0</v>
      </c>
      <c r="BU75" s="12">
        <f>'Restating Adj'!BU75+'Pro Forma Adj'!BU75</f>
        <v>0</v>
      </c>
      <c r="BV75" s="88">
        <f>'Restating Adj'!BV75+'Pro Forma Adj'!BV75</f>
        <v>0</v>
      </c>
      <c r="BW75" s="29">
        <f>'Restating Adj'!BW75+'Pro Forma Adj'!BW75</f>
        <v>0</v>
      </c>
      <c r="BX75" s="86">
        <f>'Restating Adj'!BX75+'Pro Forma Adj'!BX75</f>
        <v>0</v>
      </c>
    </row>
    <row r="76" spans="1:77" x14ac:dyDescent="0.2">
      <c r="A76" s="14" t="s">
        <v>104</v>
      </c>
      <c r="B76" s="192">
        <f t="shared" si="89"/>
        <v>0</v>
      </c>
      <c r="C76" s="30">
        <f>'Restating Adj'!C76+'Pro Forma Adj'!C76</f>
        <v>0</v>
      </c>
      <c r="D76" s="90">
        <f>'Restating Adj'!D76+'Pro Forma Adj'!D76</f>
        <v>0</v>
      </c>
      <c r="E76" s="90">
        <f>'Restating Adj'!E76+'Pro Forma Adj'!E76</f>
        <v>0</v>
      </c>
      <c r="F76" s="90">
        <f>'Restating Adj'!F76+'Pro Forma Adj'!F76</f>
        <v>0</v>
      </c>
      <c r="G76" s="90">
        <f>'Restating Adj'!G76+'Pro Forma Adj'!G76</f>
        <v>0</v>
      </c>
      <c r="H76" s="90">
        <f>'Restating Adj'!H76+'Pro Forma Adj'!H76</f>
        <v>0</v>
      </c>
      <c r="I76" s="91">
        <f>'Restating Adj'!I76+'Pro Forma Adj'!I76</f>
        <v>0</v>
      </c>
      <c r="J76" s="30">
        <f>'Restating Adj'!J76+'Pro Forma Adj'!J76</f>
        <v>0</v>
      </c>
      <c r="K76" s="91">
        <f>'Restating Adj'!K76+'Pro Forma Adj'!K76</f>
        <v>0</v>
      </c>
      <c r="L76" s="30">
        <f>'Restating Adj'!L76+'Pro Forma Adj'!L76</f>
        <v>0</v>
      </c>
      <c r="M76" s="90">
        <f>'Restating Adj'!M76+'Pro Forma Adj'!M76</f>
        <v>0</v>
      </c>
      <c r="N76" s="90">
        <f>'Restating Adj'!N76+'Pro Forma Adj'!N76</f>
        <v>0</v>
      </c>
      <c r="O76" s="90">
        <f>'Restating Adj'!O76+'Pro Forma Adj'!O76</f>
        <v>0</v>
      </c>
      <c r="P76" s="90">
        <f>'Restating Adj'!P76+'Pro Forma Adj'!P76</f>
        <v>0</v>
      </c>
      <c r="Q76" s="91">
        <f>'Restating Adj'!Q76+'Pro Forma Adj'!Q76</f>
        <v>0</v>
      </c>
      <c r="R76" s="30">
        <f>'Restating Adj'!R76+'Pro Forma Adj'!R76</f>
        <v>0</v>
      </c>
      <c r="S76" s="90">
        <f>'Restating Adj'!S76+'Pro Forma Adj'!S76</f>
        <v>0</v>
      </c>
      <c r="T76" s="90">
        <f>'Restating Adj'!T76+'Pro Forma Adj'!T76</f>
        <v>0</v>
      </c>
      <c r="U76" s="90">
        <f>'Restating Adj'!U76+'Pro Forma Adj'!U76</f>
        <v>0</v>
      </c>
      <c r="V76" s="90">
        <f>'Restating Adj'!V76+'Pro Forma Adj'!V76</f>
        <v>0</v>
      </c>
      <c r="W76" s="90">
        <f>'Restating Adj'!W76+'Pro Forma Adj'!W76</f>
        <v>0</v>
      </c>
      <c r="X76" s="91">
        <f>'Restating Adj'!X76+'Pro Forma Adj'!X76</f>
        <v>0</v>
      </c>
      <c r="Y76" s="30">
        <f>'Restating Adj'!Y76+'Pro Forma Adj'!Y76</f>
        <v>0</v>
      </c>
      <c r="Z76" s="90">
        <f>'Restating Adj'!Z76+'Pro Forma Adj'!Z76</f>
        <v>0</v>
      </c>
      <c r="AA76" s="90">
        <f>'Restating Adj'!AA76+'Pro Forma Adj'!AA76</f>
        <v>0</v>
      </c>
      <c r="AB76" s="90">
        <f>'Restating Adj'!AB76+'Pro Forma Adj'!AB76</f>
        <v>0</v>
      </c>
      <c r="AC76" s="91">
        <f>'Restating Adj'!AC76+'Pro Forma Adj'!AC76</f>
        <v>0</v>
      </c>
      <c r="AD76" s="30">
        <f>'Restating Adj'!AD76+'Pro Forma Adj'!AD76</f>
        <v>0</v>
      </c>
      <c r="AE76" s="91">
        <f>'Restating Adj'!AE76+'Pro Forma Adj'!AE76</f>
        <v>0</v>
      </c>
      <c r="AF76" s="30">
        <f>'Restating Adj'!AF76+'Pro Forma Adj'!AF76</f>
        <v>0</v>
      </c>
      <c r="AG76" s="90">
        <f>'Restating Adj'!AG76+'Pro Forma Adj'!AG76</f>
        <v>0</v>
      </c>
      <c r="AH76" s="30">
        <f>'Restating Adj'!AH76+'Pro Forma Adj'!AH76</f>
        <v>0</v>
      </c>
      <c r="AI76" s="90">
        <f>'Restating Adj'!AI76+'Pro Forma Adj'!AI76</f>
        <v>0</v>
      </c>
      <c r="AJ76" s="90">
        <f>'Restating Adj'!AJ76+'Pro Forma Adj'!AJ76</f>
        <v>0</v>
      </c>
      <c r="AK76" s="91">
        <f>'Restating Adj'!AK76+'Pro Forma Adj'!AK76</f>
        <v>0</v>
      </c>
      <c r="AL76" s="30">
        <f>'Restating Adj'!AL76+'Pro Forma Adj'!AL76</f>
        <v>0</v>
      </c>
      <c r="AM76" s="90">
        <f>'Restating Adj'!AM76+'Pro Forma Adj'!AM76</f>
        <v>0</v>
      </c>
      <c r="AN76" s="90">
        <f>'Restating Adj'!AN76+'Pro Forma Adj'!AN76</f>
        <v>0</v>
      </c>
      <c r="AO76" s="90">
        <f>'Restating Adj'!AO76+'Pro Forma Adj'!AO76</f>
        <v>0</v>
      </c>
      <c r="AP76" s="90">
        <f>'Restating Adj'!AP76+'Pro Forma Adj'!AP76</f>
        <v>0</v>
      </c>
      <c r="AQ76" s="91">
        <f>'Restating Adj'!AQ76+'Pro Forma Adj'!AQ76</f>
        <v>0</v>
      </c>
      <c r="AR76" s="90">
        <f>'Restating Adj'!AR76+'Pro Forma Adj'!AR76</f>
        <v>0</v>
      </c>
      <c r="AS76" s="30">
        <f>'Restating Adj'!AS76+'Pro Forma Adj'!AS76</f>
        <v>0</v>
      </c>
      <c r="AT76" s="90">
        <f>'Restating Adj'!AT76+'Pro Forma Adj'!AT76</f>
        <v>0</v>
      </c>
      <c r="AU76" s="90">
        <f>'Restating Adj'!AU76+'Pro Forma Adj'!AU76</f>
        <v>0</v>
      </c>
      <c r="AV76" s="90">
        <f>'Restating Adj'!AV76+'Pro Forma Adj'!AV76</f>
        <v>0</v>
      </c>
      <c r="AW76" s="90">
        <f>'Restating Adj'!AW76+'Pro Forma Adj'!AW76</f>
        <v>0</v>
      </c>
      <c r="AX76" s="90">
        <f>'Restating Adj'!AX76+'Pro Forma Adj'!AX76</f>
        <v>0</v>
      </c>
      <c r="AY76" s="30">
        <f>'Restating Adj'!AY76+'Pro Forma Adj'!AY76</f>
        <v>0</v>
      </c>
      <c r="AZ76" s="90">
        <f>'Restating Adj'!AZ76+'Pro Forma Adj'!AZ76</f>
        <v>0</v>
      </c>
      <c r="BA76" s="90">
        <f>'Restating Adj'!BA76+'Pro Forma Adj'!BA76</f>
        <v>0</v>
      </c>
      <c r="BB76" s="30">
        <f>'Restating Adj'!BB76+'Pro Forma Adj'!BB76</f>
        <v>0</v>
      </c>
      <c r="BC76" s="90">
        <f>'Restating Adj'!BC76+'Pro Forma Adj'!BC76</f>
        <v>0</v>
      </c>
      <c r="BD76" s="90">
        <f>'Restating Adj'!BD76+'Pro Forma Adj'!BD76</f>
        <v>0</v>
      </c>
      <c r="BE76" s="90">
        <f>'Restating Adj'!BE76+'Pro Forma Adj'!BE76</f>
        <v>0</v>
      </c>
      <c r="BF76" s="30">
        <f>'Restating Adj'!BF76+'Pro Forma Adj'!BF76</f>
        <v>0</v>
      </c>
      <c r="BG76" s="90">
        <f>'Restating Adj'!BG76+'Pro Forma Adj'!BG76</f>
        <v>0</v>
      </c>
      <c r="BH76" s="12">
        <f>'Restating Adj'!BH76+'Pro Forma Adj'!BH76</f>
        <v>0</v>
      </c>
      <c r="BI76" s="90">
        <f>'Restating Adj'!BI76+'Pro Forma Adj'!BI76</f>
        <v>0</v>
      </c>
      <c r="BJ76" s="90">
        <f>'Restating Adj'!BJ76+'Pro Forma Adj'!BJ76</f>
        <v>0</v>
      </c>
      <c r="BK76" s="90">
        <f>'Restating Adj'!BK76+'Pro Forma Adj'!BK76</f>
        <v>0</v>
      </c>
      <c r="BL76" s="90">
        <f>'Restating Adj'!BL76+'Pro Forma Adj'!BL76</f>
        <v>0</v>
      </c>
      <c r="BM76" s="90">
        <f>'Restating Adj'!BM76+'Pro Forma Adj'!BM76</f>
        <v>0</v>
      </c>
      <c r="BN76" s="30">
        <f>'Restating Adj'!BN76+'Pro Forma Adj'!BN76</f>
        <v>0</v>
      </c>
      <c r="BO76" s="90">
        <f>'Restating Adj'!BO76+'Pro Forma Adj'!BO76</f>
        <v>0</v>
      </c>
      <c r="BP76" s="90">
        <f>'Restating Adj'!BP76+'Pro Forma Adj'!BP76</f>
        <v>0</v>
      </c>
      <c r="BQ76" s="90">
        <f>'Restating Adj'!BQ76+'Pro Forma Adj'!BQ76</f>
        <v>0</v>
      </c>
      <c r="BR76" s="90">
        <f>'Restating Adj'!BR76+'Pro Forma Adj'!BR76</f>
        <v>0</v>
      </c>
      <c r="BS76" s="90">
        <f>'Restating Adj'!BS76+'Pro Forma Adj'!BS76</f>
        <v>0</v>
      </c>
      <c r="BT76" s="90">
        <f>'Restating Adj'!BT76+'Pro Forma Adj'!BT76</f>
        <v>0</v>
      </c>
      <c r="BU76" s="90">
        <f>'Restating Adj'!BU76+'Pro Forma Adj'!BU76</f>
        <v>0</v>
      </c>
      <c r="BV76" s="100">
        <f>'Restating Adj'!BV76+'Pro Forma Adj'!BV76</f>
        <v>0</v>
      </c>
      <c r="BW76" s="30">
        <f>'Restating Adj'!BW76+'Pro Forma Adj'!BW76</f>
        <v>0</v>
      </c>
      <c r="BX76" s="91">
        <f>'Restating Adj'!BX76+'Pro Forma Adj'!BX76</f>
        <v>0</v>
      </c>
    </row>
    <row r="77" spans="1:77" x14ac:dyDescent="0.2">
      <c r="A77" s="14" t="s">
        <v>105</v>
      </c>
      <c r="B77" s="192">
        <f t="shared" si="89"/>
        <v>83843.165870714933</v>
      </c>
      <c r="C77" s="30">
        <f>'Restating Adj'!C77+'Pro Forma Adj'!C77</f>
        <v>0</v>
      </c>
      <c r="D77" s="90">
        <f>'Restating Adj'!D77+'Pro Forma Adj'!D77</f>
        <v>0</v>
      </c>
      <c r="E77" s="90">
        <f>'Restating Adj'!E77+'Pro Forma Adj'!E77</f>
        <v>0</v>
      </c>
      <c r="F77" s="90">
        <f>'Restating Adj'!F77+'Pro Forma Adj'!F77</f>
        <v>0</v>
      </c>
      <c r="G77" s="90">
        <f>'Restating Adj'!G77+'Pro Forma Adj'!G77</f>
        <v>0</v>
      </c>
      <c r="H77" s="90">
        <f>'Restating Adj'!H77+'Pro Forma Adj'!H77</f>
        <v>0</v>
      </c>
      <c r="I77" s="91">
        <f>'Restating Adj'!I77+'Pro Forma Adj'!I77</f>
        <v>0</v>
      </c>
      <c r="J77" s="30">
        <f>'Restating Adj'!J77+'Pro Forma Adj'!J77</f>
        <v>0</v>
      </c>
      <c r="K77" s="91">
        <f>'Restating Adj'!K77+'Pro Forma Adj'!K77</f>
        <v>0</v>
      </c>
      <c r="L77" s="30">
        <f>'Restating Adj'!L77+'Pro Forma Adj'!L77</f>
        <v>0</v>
      </c>
      <c r="M77" s="90">
        <f>'Restating Adj'!M77+'Pro Forma Adj'!M77</f>
        <v>0</v>
      </c>
      <c r="N77" s="90">
        <f>'Restating Adj'!N77+'Pro Forma Adj'!N77</f>
        <v>0</v>
      </c>
      <c r="O77" s="90">
        <f>'Restating Adj'!O77+'Pro Forma Adj'!O77</f>
        <v>0</v>
      </c>
      <c r="P77" s="90">
        <f>'Restating Adj'!P77+'Pro Forma Adj'!P77</f>
        <v>0</v>
      </c>
      <c r="Q77" s="91">
        <f>'Restating Adj'!Q77+'Pro Forma Adj'!Q77</f>
        <v>0</v>
      </c>
      <c r="R77" s="30">
        <f>'Restating Adj'!R77+'Pro Forma Adj'!R77</f>
        <v>0</v>
      </c>
      <c r="S77" s="90">
        <f>'Restating Adj'!S77+'Pro Forma Adj'!S77</f>
        <v>0</v>
      </c>
      <c r="T77" s="90">
        <f>'Restating Adj'!T77+'Pro Forma Adj'!T77</f>
        <v>0</v>
      </c>
      <c r="U77" s="90">
        <f>'Restating Adj'!U77+'Pro Forma Adj'!U77</f>
        <v>0</v>
      </c>
      <c r="V77" s="90">
        <f>'Restating Adj'!V77+'Pro Forma Adj'!V77</f>
        <v>0</v>
      </c>
      <c r="W77" s="90">
        <f>'Restating Adj'!W77+'Pro Forma Adj'!W77</f>
        <v>0</v>
      </c>
      <c r="X77" s="91">
        <f>'Restating Adj'!X77+'Pro Forma Adj'!X77</f>
        <v>0</v>
      </c>
      <c r="Y77" s="30">
        <f>'Restating Adj'!Y77+'Pro Forma Adj'!Y77</f>
        <v>0</v>
      </c>
      <c r="Z77" s="90">
        <f>'Restating Adj'!Z77+'Pro Forma Adj'!Z77</f>
        <v>0</v>
      </c>
      <c r="AA77" s="90">
        <f>'Restating Adj'!AA77+'Pro Forma Adj'!AA77</f>
        <v>0</v>
      </c>
      <c r="AB77" s="90">
        <f>'Restating Adj'!AB77+'Pro Forma Adj'!AB77</f>
        <v>0</v>
      </c>
      <c r="AC77" s="91">
        <f>'Restating Adj'!AC77+'Pro Forma Adj'!AC77</f>
        <v>0</v>
      </c>
      <c r="AD77" s="30">
        <f>'Restating Adj'!AD77+'Pro Forma Adj'!AD77</f>
        <v>0</v>
      </c>
      <c r="AE77" s="91">
        <f>'Restating Adj'!AE77+'Pro Forma Adj'!AE77</f>
        <v>0</v>
      </c>
      <c r="AF77" s="30">
        <f>'Restating Adj'!AF77+'Pro Forma Adj'!AF77</f>
        <v>0</v>
      </c>
      <c r="AG77" s="90">
        <f>'Restating Adj'!AG77+'Pro Forma Adj'!AG77</f>
        <v>0</v>
      </c>
      <c r="AH77" s="30">
        <f>'Restating Adj'!AH77+'Pro Forma Adj'!AH77</f>
        <v>0</v>
      </c>
      <c r="AI77" s="90">
        <f>'Restating Adj'!AI77+'Pro Forma Adj'!AI77</f>
        <v>0</v>
      </c>
      <c r="AJ77" s="90">
        <f>'Restating Adj'!AJ77+'Pro Forma Adj'!AJ77</f>
        <v>0</v>
      </c>
      <c r="AK77" s="91">
        <f>'Restating Adj'!AK77+'Pro Forma Adj'!AK77</f>
        <v>0</v>
      </c>
      <c r="AL77" s="30">
        <f>'Restating Adj'!AL77+'Pro Forma Adj'!AL77</f>
        <v>0</v>
      </c>
      <c r="AM77" s="90">
        <f>'Restating Adj'!AM77+'Pro Forma Adj'!AM77</f>
        <v>0</v>
      </c>
      <c r="AN77" s="90">
        <f>'Restating Adj'!AN77+'Pro Forma Adj'!AN77</f>
        <v>0</v>
      </c>
      <c r="AO77" s="90">
        <f>'Restating Adj'!AO77+'Pro Forma Adj'!AO77</f>
        <v>0</v>
      </c>
      <c r="AP77" s="90">
        <f>'Restating Adj'!AP77+'Pro Forma Adj'!AP77</f>
        <v>0</v>
      </c>
      <c r="AQ77" s="91">
        <f>'Restating Adj'!AQ77+'Pro Forma Adj'!AQ77</f>
        <v>0</v>
      </c>
      <c r="AR77" s="90">
        <f>'Restating Adj'!AR77+'Pro Forma Adj'!AR77</f>
        <v>0</v>
      </c>
      <c r="AS77" s="30">
        <f>'Restating Adj'!AS77+'Pro Forma Adj'!AS77</f>
        <v>83843.165870714933</v>
      </c>
      <c r="AT77" s="90">
        <f>'Restating Adj'!AT77+'Pro Forma Adj'!AT77</f>
        <v>0</v>
      </c>
      <c r="AU77" s="90">
        <f>'Restating Adj'!AU77+'Pro Forma Adj'!AU77</f>
        <v>0</v>
      </c>
      <c r="AV77" s="90">
        <f>'Restating Adj'!AV77+'Pro Forma Adj'!AV77</f>
        <v>0</v>
      </c>
      <c r="AW77" s="90">
        <f>'Restating Adj'!AW77+'Pro Forma Adj'!AW77</f>
        <v>0</v>
      </c>
      <c r="AX77" s="90">
        <f>'Restating Adj'!AX77+'Pro Forma Adj'!AX77</f>
        <v>0</v>
      </c>
      <c r="AY77" s="30">
        <f>'Restating Adj'!AY77+'Pro Forma Adj'!AY77</f>
        <v>0</v>
      </c>
      <c r="AZ77" s="90">
        <f>'Restating Adj'!AZ77+'Pro Forma Adj'!AZ77</f>
        <v>0</v>
      </c>
      <c r="BA77" s="90">
        <f>'Restating Adj'!BA77+'Pro Forma Adj'!BA77</f>
        <v>0</v>
      </c>
      <c r="BB77" s="30">
        <f>'Restating Adj'!BB77+'Pro Forma Adj'!BB77</f>
        <v>0</v>
      </c>
      <c r="BC77" s="90">
        <f>'Restating Adj'!BC77+'Pro Forma Adj'!BC77</f>
        <v>0</v>
      </c>
      <c r="BD77" s="90">
        <f>'Restating Adj'!BD77+'Pro Forma Adj'!BD77</f>
        <v>0</v>
      </c>
      <c r="BE77" s="90">
        <f>'Restating Adj'!BE77+'Pro Forma Adj'!BE77</f>
        <v>0</v>
      </c>
      <c r="BF77" s="30">
        <f>'Restating Adj'!BF77+'Pro Forma Adj'!BF77</f>
        <v>0</v>
      </c>
      <c r="BG77" s="90">
        <f>'Restating Adj'!BG77+'Pro Forma Adj'!BG77</f>
        <v>0</v>
      </c>
      <c r="BH77" s="12">
        <f>'Restating Adj'!BH77+'Pro Forma Adj'!BH77</f>
        <v>0</v>
      </c>
      <c r="BI77" s="90">
        <f>'Restating Adj'!BI77+'Pro Forma Adj'!BI77</f>
        <v>0</v>
      </c>
      <c r="BJ77" s="90">
        <f>'Restating Adj'!BJ77+'Pro Forma Adj'!BJ77</f>
        <v>0</v>
      </c>
      <c r="BK77" s="90">
        <f>'Restating Adj'!BK77+'Pro Forma Adj'!BK77</f>
        <v>0</v>
      </c>
      <c r="BL77" s="90">
        <f>'Restating Adj'!BL77+'Pro Forma Adj'!BL77</f>
        <v>0</v>
      </c>
      <c r="BM77" s="90">
        <f>'Restating Adj'!BM77+'Pro Forma Adj'!BM77</f>
        <v>0</v>
      </c>
      <c r="BN77" s="30">
        <f>'Restating Adj'!BN77+'Pro Forma Adj'!BN77</f>
        <v>0</v>
      </c>
      <c r="BO77" s="90">
        <f>'Restating Adj'!BO77+'Pro Forma Adj'!BO77</f>
        <v>0</v>
      </c>
      <c r="BP77" s="90">
        <f>'Restating Adj'!BP77+'Pro Forma Adj'!BP77</f>
        <v>0</v>
      </c>
      <c r="BQ77" s="90">
        <f>'Restating Adj'!BQ77+'Pro Forma Adj'!BQ77</f>
        <v>0</v>
      </c>
      <c r="BR77" s="90">
        <f>'Restating Adj'!BR77+'Pro Forma Adj'!BR77</f>
        <v>0</v>
      </c>
      <c r="BS77" s="90">
        <f>'Restating Adj'!BS77+'Pro Forma Adj'!BS77</f>
        <v>0</v>
      </c>
      <c r="BT77" s="90">
        <f>'Restating Adj'!BT77+'Pro Forma Adj'!BT77</f>
        <v>0</v>
      </c>
      <c r="BU77" s="90">
        <f>'Restating Adj'!BU77+'Pro Forma Adj'!BU77</f>
        <v>0</v>
      </c>
      <c r="BV77" s="100">
        <f>'Restating Adj'!BV77+'Pro Forma Adj'!BV77</f>
        <v>0</v>
      </c>
      <c r="BW77" s="30">
        <f>'Restating Adj'!BW77+'Pro Forma Adj'!BW77</f>
        <v>0</v>
      </c>
      <c r="BX77" s="91">
        <f>'Restating Adj'!BX77+'Pro Forma Adj'!BX77</f>
        <v>0</v>
      </c>
    </row>
    <row r="78" spans="1:77" x14ac:dyDescent="0.2">
      <c r="A78" s="14" t="s">
        <v>106</v>
      </c>
      <c r="B78" s="192">
        <f t="shared" si="89"/>
        <v>999582.18558350008</v>
      </c>
      <c r="C78" s="30">
        <f>'Restating Adj'!C78+'Pro Forma Adj'!C78</f>
        <v>0</v>
      </c>
      <c r="D78" s="90">
        <f>'Restating Adj'!D78+'Pro Forma Adj'!D78</f>
        <v>0</v>
      </c>
      <c r="E78" s="90">
        <f>'Restating Adj'!E78+'Pro Forma Adj'!E78</f>
        <v>0</v>
      </c>
      <c r="F78" s="90">
        <f>'Restating Adj'!F78+'Pro Forma Adj'!F78</f>
        <v>58.417828750555501</v>
      </c>
      <c r="G78" s="90">
        <f>'Restating Adj'!G78+'Pro Forma Adj'!G78</f>
        <v>0</v>
      </c>
      <c r="H78" s="90">
        <f>'Restating Adj'!H78+'Pro Forma Adj'!H78</f>
        <v>0</v>
      </c>
      <c r="I78" s="91">
        <f>'Restating Adj'!I78+'Pro Forma Adj'!I78</f>
        <v>0</v>
      </c>
      <c r="J78" s="30">
        <f>'Restating Adj'!J78+'Pro Forma Adj'!J78</f>
        <v>0</v>
      </c>
      <c r="K78" s="91">
        <f>'Restating Adj'!K78+'Pro Forma Adj'!K78</f>
        <v>0</v>
      </c>
      <c r="L78" s="30">
        <f>'Restating Adj'!L78+'Pro Forma Adj'!L78</f>
        <v>0</v>
      </c>
      <c r="M78" s="90">
        <f>'Restating Adj'!M78+'Pro Forma Adj'!M78</f>
        <v>0</v>
      </c>
      <c r="N78" s="90">
        <f>'Restating Adj'!N78+'Pro Forma Adj'!N78</f>
        <v>0</v>
      </c>
      <c r="O78" s="90">
        <f>'Restating Adj'!O78+'Pro Forma Adj'!O78</f>
        <v>0</v>
      </c>
      <c r="P78" s="90">
        <f>'Restating Adj'!P78+'Pro Forma Adj'!P78</f>
        <v>0</v>
      </c>
      <c r="Q78" s="91">
        <f>'Restating Adj'!Q78+'Pro Forma Adj'!Q78</f>
        <v>47838.41379794394</v>
      </c>
      <c r="R78" s="30">
        <f>'Restating Adj'!R78+'Pro Forma Adj'!R78</f>
        <v>0</v>
      </c>
      <c r="S78" s="90">
        <f>'Restating Adj'!S78+'Pro Forma Adj'!S78</f>
        <v>0</v>
      </c>
      <c r="T78" s="90">
        <f>'Restating Adj'!T78+'Pro Forma Adj'!T78</f>
        <v>0</v>
      </c>
      <c r="U78" s="90">
        <f>'Restating Adj'!U78+'Pro Forma Adj'!U78</f>
        <v>0</v>
      </c>
      <c r="V78" s="90">
        <f>'Restating Adj'!V78+'Pro Forma Adj'!V78</f>
        <v>0</v>
      </c>
      <c r="W78" s="90">
        <f>'Restating Adj'!W78+'Pro Forma Adj'!W78</f>
        <v>0</v>
      </c>
      <c r="X78" s="91">
        <f>'Restating Adj'!X78+'Pro Forma Adj'!X78</f>
        <v>0</v>
      </c>
      <c r="Y78" s="30">
        <f>'Restating Adj'!Y78+'Pro Forma Adj'!Y78</f>
        <v>0</v>
      </c>
      <c r="Z78" s="90">
        <f>'Restating Adj'!Z78+'Pro Forma Adj'!Z78</f>
        <v>0</v>
      </c>
      <c r="AA78" s="90">
        <f>'Restating Adj'!AA78+'Pro Forma Adj'!AA78</f>
        <v>0</v>
      </c>
      <c r="AB78" s="90">
        <f>'Restating Adj'!AB78+'Pro Forma Adj'!AB78</f>
        <v>0</v>
      </c>
      <c r="AC78" s="91">
        <f>'Restating Adj'!AC78+'Pro Forma Adj'!AC78</f>
        <v>0</v>
      </c>
      <c r="AD78" s="30">
        <f>'Restating Adj'!AD78+'Pro Forma Adj'!AD78</f>
        <v>0</v>
      </c>
      <c r="AE78" s="91">
        <f>'Restating Adj'!AE78+'Pro Forma Adj'!AE78</f>
        <v>0</v>
      </c>
      <c r="AF78" s="30">
        <f>'Restating Adj'!AF78+'Pro Forma Adj'!AF78</f>
        <v>0</v>
      </c>
      <c r="AG78" s="90">
        <f>'Restating Adj'!AG78+'Pro Forma Adj'!AG78</f>
        <v>-52188</v>
      </c>
      <c r="AH78" s="30">
        <f>'Restating Adj'!AH78+'Pro Forma Adj'!AH78</f>
        <v>0</v>
      </c>
      <c r="AI78" s="90">
        <f>'Restating Adj'!AI78+'Pro Forma Adj'!AI78</f>
        <v>0</v>
      </c>
      <c r="AJ78" s="90">
        <f>'Restating Adj'!AJ78+'Pro Forma Adj'!AJ78</f>
        <v>0</v>
      </c>
      <c r="AK78" s="91">
        <f>'Restating Adj'!AK78+'Pro Forma Adj'!AK78</f>
        <v>0</v>
      </c>
      <c r="AL78" s="30">
        <f>'Restating Adj'!AL78+'Pro Forma Adj'!AL78</f>
        <v>0</v>
      </c>
      <c r="AM78" s="90">
        <f>'Restating Adj'!AM78+'Pro Forma Adj'!AM78</f>
        <v>0</v>
      </c>
      <c r="AN78" s="90">
        <f>'Restating Adj'!AN78+'Pro Forma Adj'!AN78</f>
        <v>1428608.4764376199</v>
      </c>
      <c r="AO78" s="90">
        <f>'Restating Adj'!AO78+'Pro Forma Adj'!AO78</f>
        <v>0</v>
      </c>
      <c r="AP78" s="90">
        <f>'Restating Adj'!AP78+'Pro Forma Adj'!AP78</f>
        <v>0</v>
      </c>
      <c r="AQ78" s="91">
        <f>'Restating Adj'!AQ78+'Pro Forma Adj'!AQ78</f>
        <v>-378814.10350758285</v>
      </c>
      <c r="AR78" s="90">
        <f>'Restating Adj'!AR78+'Pro Forma Adj'!AR78</f>
        <v>0</v>
      </c>
      <c r="AS78" s="30">
        <f>'Restating Adj'!AS78+'Pro Forma Adj'!AS78</f>
        <v>0</v>
      </c>
      <c r="AT78" s="90">
        <f>'Restating Adj'!AT78+'Pro Forma Adj'!AT78</f>
        <v>0</v>
      </c>
      <c r="AU78" s="90">
        <f>'Restating Adj'!AU78+'Pro Forma Adj'!AU78</f>
        <v>0</v>
      </c>
      <c r="AV78" s="90">
        <f>'Restating Adj'!AV78+'Pro Forma Adj'!AV78</f>
        <v>0</v>
      </c>
      <c r="AW78" s="90">
        <f>'Restating Adj'!AW78+'Pro Forma Adj'!AW78</f>
        <v>0</v>
      </c>
      <c r="AX78" s="90">
        <f>'Restating Adj'!AX78+'Pro Forma Adj'!AX78</f>
        <v>0</v>
      </c>
      <c r="AY78" s="30">
        <f>'Restating Adj'!AY78+'Pro Forma Adj'!AY78</f>
        <v>0</v>
      </c>
      <c r="AZ78" s="90">
        <f>'Restating Adj'!AZ78+'Pro Forma Adj'!AZ78</f>
        <v>0</v>
      </c>
      <c r="BA78" s="90">
        <f>'Restating Adj'!BA78+'Pro Forma Adj'!BA78</f>
        <v>0</v>
      </c>
      <c r="BB78" s="30">
        <f>'Restating Adj'!BB78+'Pro Forma Adj'!BB78</f>
        <v>-28035.211745422421</v>
      </c>
      <c r="BC78" s="90">
        <f>'Restating Adj'!BC78+'Pro Forma Adj'!BC78</f>
        <v>-294575.05943405337</v>
      </c>
      <c r="BD78" s="90">
        <f>'Restating Adj'!BD78+'Pro Forma Adj'!BD78</f>
        <v>0</v>
      </c>
      <c r="BE78" s="90">
        <f>'Restating Adj'!BE78+'Pro Forma Adj'!BE78</f>
        <v>0</v>
      </c>
      <c r="BF78" s="30">
        <f>'Restating Adj'!BF78+'Pro Forma Adj'!BF78</f>
        <v>466361.6448689489</v>
      </c>
      <c r="BG78" s="90">
        <f>'Restating Adj'!BG78+'Pro Forma Adj'!BG78</f>
        <v>0</v>
      </c>
      <c r="BH78" s="12">
        <f>'Restating Adj'!BH78+'Pro Forma Adj'!BH78</f>
        <v>0</v>
      </c>
      <c r="BI78" s="90">
        <f>'Restating Adj'!BI78+'Pro Forma Adj'!BI78</f>
        <v>-201567.2407369685</v>
      </c>
      <c r="BJ78" s="90">
        <f>'Restating Adj'!BJ78+'Pro Forma Adj'!BJ78</f>
        <v>0</v>
      </c>
      <c r="BK78" s="90">
        <f>'Restating Adj'!BK78+'Pro Forma Adj'!BK78</f>
        <v>0</v>
      </c>
      <c r="BL78" s="90">
        <f>'Restating Adj'!BL78+'Pro Forma Adj'!BL78</f>
        <v>0</v>
      </c>
      <c r="BM78" s="90">
        <f>'Restating Adj'!BM78+'Pro Forma Adj'!BM78</f>
        <v>0</v>
      </c>
      <c r="BN78" s="30">
        <f>'Restating Adj'!BN78+'Pro Forma Adj'!BN78</f>
        <v>0</v>
      </c>
      <c r="BO78" s="90">
        <f>'Restating Adj'!BO78+'Pro Forma Adj'!BO78</f>
        <v>0</v>
      </c>
      <c r="BP78" s="90">
        <f>'Restating Adj'!BP78+'Pro Forma Adj'!BP78</f>
        <v>0</v>
      </c>
      <c r="BQ78" s="90">
        <f>'Restating Adj'!BQ78+'Pro Forma Adj'!BQ78</f>
        <v>0</v>
      </c>
      <c r="BR78" s="90">
        <f>'Restating Adj'!BR78+'Pro Forma Adj'!BR78</f>
        <v>0</v>
      </c>
      <c r="BS78" s="90">
        <f>'Restating Adj'!BS78+'Pro Forma Adj'!BS78</f>
        <v>0</v>
      </c>
      <c r="BT78" s="90">
        <f>'Restating Adj'!BT78+'Pro Forma Adj'!BT78</f>
        <v>0</v>
      </c>
      <c r="BU78" s="90">
        <f>'Restating Adj'!BU78+'Pro Forma Adj'!BU78</f>
        <v>0</v>
      </c>
      <c r="BV78" s="100">
        <f>'Restating Adj'!BV78+'Pro Forma Adj'!BV78</f>
        <v>0</v>
      </c>
      <c r="BW78" s="30">
        <f>'Restating Adj'!BW78+'Pro Forma Adj'!BW78</f>
        <v>0</v>
      </c>
      <c r="BX78" s="91">
        <f>'Restating Adj'!BX78+'Pro Forma Adj'!BX78</f>
        <v>11894.848074263922</v>
      </c>
    </row>
    <row r="79" spans="1:77" x14ac:dyDescent="0.2">
      <c r="A79" s="14" t="s">
        <v>107</v>
      </c>
      <c r="B79" s="192">
        <f t="shared" si="89"/>
        <v>6314778.2300997097</v>
      </c>
      <c r="C79" s="108">
        <f>'Restating Adj'!C79+'Pro Forma Adj'!C79</f>
        <v>0</v>
      </c>
      <c r="D79" s="99">
        <f>'Restating Adj'!D79+'Pro Forma Adj'!D79</f>
        <v>0</v>
      </c>
      <c r="E79" s="99">
        <f>'Restating Adj'!E79+'Pro Forma Adj'!E79</f>
        <v>0</v>
      </c>
      <c r="F79" s="12">
        <f>'Restating Adj'!F79+'Pro Forma Adj'!F79</f>
        <v>778051.99910408224</v>
      </c>
      <c r="G79" s="99">
        <f>'Restating Adj'!G79+'Pro Forma Adj'!G79</f>
        <v>0</v>
      </c>
      <c r="H79" s="99">
        <f>'Restating Adj'!H79+'Pro Forma Adj'!H79</f>
        <v>0</v>
      </c>
      <c r="I79" s="107">
        <f>'Restating Adj'!I79+'Pro Forma Adj'!I79</f>
        <v>0</v>
      </c>
      <c r="J79" s="38">
        <f>'Restating Adj'!J79+'Pro Forma Adj'!J79</f>
        <v>0</v>
      </c>
      <c r="K79" s="107">
        <f>'Restating Adj'!K79+'Pro Forma Adj'!K79</f>
        <v>0</v>
      </c>
      <c r="L79" s="108">
        <f>'Restating Adj'!L79+'Pro Forma Adj'!L79</f>
        <v>0</v>
      </c>
      <c r="M79" s="97">
        <f>'Restating Adj'!M79+'Pro Forma Adj'!M79</f>
        <v>0</v>
      </c>
      <c r="N79" s="97">
        <f>'Restating Adj'!N79+'Pro Forma Adj'!N79</f>
        <v>0</v>
      </c>
      <c r="O79" s="97">
        <f>'Restating Adj'!O79+'Pro Forma Adj'!O79</f>
        <v>0</v>
      </c>
      <c r="P79" s="97">
        <f>'Restating Adj'!P79+'Pro Forma Adj'!P79</f>
        <v>0</v>
      </c>
      <c r="Q79" s="109">
        <f>'Restating Adj'!Q79+'Pro Forma Adj'!Q79</f>
        <v>0</v>
      </c>
      <c r="R79" s="108">
        <f>'Restating Adj'!R79+'Pro Forma Adj'!R79</f>
        <v>1255521.1132177606</v>
      </c>
      <c r="S79" s="97">
        <f>'Restating Adj'!S79+'Pro Forma Adj'!S79</f>
        <v>0</v>
      </c>
      <c r="T79" s="97">
        <f>'Restating Adj'!T79+'Pro Forma Adj'!T79</f>
        <v>0</v>
      </c>
      <c r="U79" s="97">
        <f>'Restating Adj'!U79+'Pro Forma Adj'!U79</f>
        <v>0</v>
      </c>
      <c r="V79" s="97">
        <f>'Restating Adj'!V79+'Pro Forma Adj'!V79</f>
        <v>0</v>
      </c>
      <c r="W79" s="97">
        <f>'Restating Adj'!W79+'Pro Forma Adj'!W79</f>
        <v>0</v>
      </c>
      <c r="X79" s="109">
        <f>'Restating Adj'!X79+'Pro Forma Adj'!X79</f>
        <v>0</v>
      </c>
      <c r="Y79" s="108">
        <f>'Restating Adj'!Y79+'Pro Forma Adj'!Y79</f>
        <v>0</v>
      </c>
      <c r="Z79" s="97">
        <f>'Restating Adj'!Z79+'Pro Forma Adj'!Z79</f>
        <v>0</v>
      </c>
      <c r="AA79" s="97">
        <f>'Restating Adj'!AA79+'Pro Forma Adj'!AA79</f>
        <v>0</v>
      </c>
      <c r="AB79" s="97">
        <f>'Restating Adj'!AB79+'Pro Forma Adj'!AB79</f>
        <v>0</v>
      </c>
      <c r="AC79" s="109">
        <f>'Restating Adj'!AC79+'Pro Forma Adj'!AC79</f>
        <v>0</v>
      </c>
      <c r="AD79" s="108">
        <f>'Restating Adj'!AD79+'Pro Forma Adj'!AD79</f>
        <v>0</v>
      </c>
      <c r="AE79" s="109">
        <f>'Restating Adj'!AE79+'Pro Forma Adj'!AE79</f>
        <v>0</v>
      </c>
      <c r="AF79" s="108">
        <f>'Restating Adj'!AF79+'Pro Forma Adj'!AF79</f>
        <v>0</v>
      </c>
      <c r="AG79" s="97">
        <f>'Restating Adj'!AG79+'Pro Forma Adj'!AG79</f>
        <v>298029.30754214432</v>
      </c>
      <c r="AH79" s="38">
        <f>'Restating Adj'!AH79+'Pro Forma Adj'!AH79</f>
        <v>128121.11534020312</v>
      </c>
      <c r="AI79" s="99">
        <f>'Restating Adj'!AI79+'Pro Forma Adj'!AI79</f>
        <v>0</v>
      </c>
      <c r="AJ79" s="99">
        <f>'Restating Adj'!AJ79+'Pro Forma Adj'!AJ79</f>
        <v>0</v>
      </c>
      <c r="AK79" s="107">
        <f>'Restating Adj'!AK79+'Pro Forma Adj'!AK79</f>
        <v>0</v>
      </c>
      <c r="AL79" s="38">
        <f>'Restating Adj'!AL79+'Pro Forma Adj'!AL79</f>
        <v>0</v>
      </c>
      <c r="AM79" s="99">
        <f>'Restating Adj'!AM79+'Pro Forma Adj'!AM79</f>
        <v>0</v>
      </c>
      <c r="AN79" s="99">
        <f>'Restating Adj'!AN79+'Pro Forma Adj'!AN79</f>
        <v>0</v>
      </c>
      <c r="AO79" s="99">
        <f>'Restating Adj'!AO79+'Pro Forma Adj'!AO79</f>
        <v>0</v>
      </c>
      <c r="AP79" s="99">
        <f>'Restating Adj'!AP79+'Pro Forma Adj'!AP79</f>
        <v>0</v>
      </c>
      <c r="AQ79" s="107">
        <f>'Restating Adj'!AQ79+'Pro Forma Adj'!AQ79</f>
        <v>0</v>
      </c>
      <c r="AR79" s="99">
        <f>'Restating Adj'!AR79+'Pro Forma Adj'!AR79</f>
        <v>0</v>
      </c>
      <c r="AS79" s="38">
        <f>'Restating Adj'!AS79+'Pro Forma Adj'!AS79</f>
        <v>0</v>
      </c>
      <c r="AT79" s="99">
        <f>'Restating Adj'!AT79+'Pro Forma Adj'!AT79</f>
        <v>0</v>
      </c>
      <c r="AU79" s="99">
        <f>'Restating Adj'!AU79+'Pro Forma Adj'!AU79</f>
        <v>0</v>
      </c>
      <c r="AV79" s="99">
        <f>'Restating Adj'!AV79+'Pro Forma Adj'!AV79</f>
        <v>0</v>
      </c>
      <c r="AW79" s="99">
        <f>'Restating Adj'!AW79+'Pro Forma Adj'!AW79</f>
        <v>0</v>
      </c>
      <c r="AX79" s="99">
        <f>'Restating Adj'!AX79+'Pro Forma Adj'!AX79</f>
        <v>0</v>
      </c>
      <c r="AY79" s="38">
        <f>'Restating Adj'!AY79+'Pro Forma Adj'!AY79</f>
        <v>0</v>
      </c>
      <c r="AZ79" s="99">
        <f>'Restating Adj'!AZ79+'Pro Forma Adj'!AZ79</f>
        <v>0</v>
      </c>
      <c r="BA79" s="99">
        <f>'Restating Adj'!BA79+'Pro Forma Adj'!BA79</f>
        <v>0</v>
      </c>
      <c r="BB79" s="38">
        <f>'Restating Adj'!BB79+'Pro Forma Adj'!BB79</f>
        <v>-424076.846086126</v>
      </c>
      <c r="BC79" s="99">
        <f>'Restating Adj'!BC79+'Pro Forma Adj'!BC79</f>
        <v>-321354.16943471832</v>
      </c>
      <c r="BD79" s="99">
        <f>'Restating Adj'!BD79+'Pro Forma Adj'!BD79</f>
        <v>0</v>
      </c>
      <c r="BE79" s="99">
        <f>'Restating Adj'!BE79+'Pro Forma Adj'!BE79</f>
        <v>0</v>
      </c>
      <c r="BF79" s="38">
        <f>'Restating Adj'!BF79+'Pro Forma Adj'!BF79</f>
        <v>4756418.8191222055</v>
      </c>
      <c r="BG79" s="99">
        <f>'Restating Adj'!BG79+'Pro Forma Adj'!BG79</f>
        <v>0</v>
      </c>
      <c r="BH79" s="99">
        <f>'Restating Adj'!BH79+'Pro Forma Adj'!BH79</f>
        <v>0</v>
      </c>
      <c r="BI79" s="99">
        <f>'Restating Adj'!BI79+'Pro Forma Adj'!BI79</f>
        <v>-38021.730055842912</v>
      </c>
      <c r="BJ79" s="99">
        <f>'Restating Adj'!BJ79+'Pro Forma Adj'!BJ79</f>
        <v>17990.552800000001</v>
      </c>
      <c r="BK79" s="99">
        <f>'Restating Adj'!BK79+'Pro Forma Adj'!BK79</f>
        <v>-285034</v>
      </c>
      <c r="BL79" s="99">
        <f>'Restating Adj'!BL79+'Pro Forma Adj'!BL79</f>
        <v>0</v>
      </c>
      <c r="BM79" s="99">
        <f>'Restating Adj'!BM79+'Pro Forma Adj'!BM79</f>
        <v>0</v>
      </c>
      <c r="BN79" s="38">
        <f>'Restating Adj'!BN79+'Pro Forma Adj'!BN79</f>
        <v>0</v>
      </c>
      <c r="BO79" s="99">
        <f>'Restating Adj'!BO79+'Pro Forma Adj'!BO79</f>
        <v>0</v>
      </c>
      <c r="BP79" s="99">
        <f>'Restating Adj'!BP79+'Pro Forma Adj'!BP79</f>
        <v>0</v>
      </c>
      <c r="BQ79" s="99">
        <f>'Restating Adj'!BQ79+'Pro Forma Adj'!BQ79</f>
        <v>0</v>
      </c>
      <c r="BR79" s="99">
        <f>'Restating Adj'!BR79+'Pro Forma Adj'!BR79</f>
        <v>0</v>
      </c>
      <c r="BS79" s="99">
        <f>'Restating Adj'!BS79+'Pro Forma Adj'!BS79</f>
        <v>0</v>
      </c>
      <c r="BT79" s="99">
        <f>'Restating Adj'!BT79+'Pro Forma Adj'!BT79</f>
        <v>0</v>
      </c>
      <c r="BU79" s="99">
        <f>'Restating Adj'!BU79+'Pro Forma Adj'!BU79</f>
        <v>0</v>
      </c>
      <c r="BV79" s="301">
        <f>'Restating Adj'!BV79+'Pro Forma Adj'!BV79</f>
        <v>0</v>
      </c>
      <c r="BW79" s="38">
        <f>'Restating Adj'!BW79+'Pro Forma Adj'!BW79</f>
        <v>0</v>
      </c>
      <c r="BX79" s="107">
        <f>'Restating Adj'!BX79+'Pro Forma Adj'!BX79</f>
        <v>149132.06855000136</v>
      </c>
    </row>
    <row r="80" spans="1:77" x14ac:dyDescent="0.2">
      <c r="A80" s="14" t="s">
        <v>108</v>
      </c>
      <c r="B80" s="194">
        <f t="shared" si="89"/>
        <v>12844683.890817905</v>
      </c>
      <c r="C80" s="200">
        <f t="shared" ref="C80" si="100">C74-C76-C77+C78-C79</f>
        <v>-5692761.2699999996</v>
      </c>
      <c r="D80" s="13">
        <f t="shared" ref="D80:BE80" si="101">D74-D76-D77+D78-D79</f>
        <v>-7427584.4312790008</v>
      </c>
      <c r="E80" s="13">
        <f t="shared" si="101"/>
        <v>17025824.820802085</v>
      </c>
      <c r="F80" s="115">
        <f t="shared" si="101"/>
        <v>-1944.6228786786087</v>
      </c>
      <c r="G80" s="13">
        <f t="shared" si="101"/>
        <v>-2253339.1310724937</v>
      </c>
      <c r="H80" s="13">
        <f t="shared" si="101"/>
        <v>347223.37826988706</v>
      </c>
      <c r="I80" s="201">
        <f t="shared" si="101"/>
        <v>41325.822449383042</v>
      </c>
      <c r="J80" s="200">
        <f t="shared" ref="J80:K80" si="102">J74-J76-J77+J78-J79</f>
        <v>0</v>
      </c>
      <c r="K80" s="201">
        <f t="shared" si="102"/>
        <v>25888.581406835918</v>
      </c>
      <c r="L80" s="200">
        <f t="shared" si="101"/>
        <v>22113.998075557342</v>
      </c>
      <c r="M80" s="13">
        <f t="shared" si="101"/>
        <v>47588.981132557921</v>
      </c>
      <c r="N80" s="13">
        <f t="shared" si="101"/>
        <v>688642.78950831818</v>
      </c>
      <c r="O80" s="13">
        <f t="shared" si="101"/>
        <v>5340.7537227038374</v>
      </c>
      <c r="P80" s="13">
        <f t="shared" si="101"/>
        <v>-155436.59276701676</v>
      </c>
      <c r="Q80" s="201">
        <f t="shared" si="101"/>
        <v>10725427.003797945</v>
      </c>
      <c r="R80" s="200">
        <f t="shared" si="101"/>
        <v>744021.10676359385</v>
      </c>
      <c r="S80" s="13">
        <f t="shared" si="101"/>
        <v>401.946618269174</v>
      </c>
      <c r="T80" s="13">
        <f t="shared" si="101"/>
        <v>-1496.5274180481501</v>
      </c>
      <c r="U80" s="13">
        <f t="shared" si="101"/>
        <v>-422425.00651124539</v>
      </c>
      <c r="V80" s="13">
        <f t="shared" si="101"/>
        <v>-734346.64790187846</v>
      </c>
      <c r="W80" s="13">
        <f t="shared" si="101"/>
        <v>640526.89575698704</v>
      </c>
      <c r="X80" s="201">
        <f t="shared" si="101"/>
        <v>0</v>
      </c>
      <c r="Y80" s="200">
        <f t="shared" ref="Y80:AB80" si="103">Y74-Y76-Y77+Y78-Y79</f>
        <v>0</v>
      </c>
      <c r="Z80" s="13">
        <f t="shared" si="103"/>
        <v>0</v>
      </c>
      <c r="AA80" s="13">
        <f t="shared" si="103"/>
        <v>0</v>
      </c>
      <c r="AB80" s="13">
        <f t="shared" si="103"/>
        <v>0</v>
      </c>
      <c r="AC80" s="201">
        <f t="shared" ref="AC80" si="104">AC74-AC76-AC77+AC78-AC79</f>
        <v>0</v>
      </c>
      <c r="AD80" s="200">
        <f t="shared" si="101"/>
        <v>11514719.674666643</v>
      </c>
      <c r="AE80" s="201">
        <f t="shared" ref="AE80" si="105">AE74-AE76-AE77+AE78-AE79</f>
        <v>-4721726.857480526</v>
      </c>
      <c r="AF80" s="200">
        <f t="shared" si="101"/>
        <v>679898.4167838149</v>
      </c>
      <c r="AG80" s="13">
        <f t="shared" si="101"/>
        <v>118902.0262606421</v>
      </c>
      <c r="AH80" s="200">
        <f t="shared" si="101"/>
        <v>-128121.11534020312</v>
      </c>
      <c r="AI80" s="13">
        <f t="shared" si="101"/>
        <v>0</v>
      </c>
      <c r="AJ80" s="13">
        <f t="shared" si="101"/>
        <v>0</v>
      </c>
      <c r="AK80" s="201">
        <f t="shared" si="101"/>
        <v>0</v>
      </c>
      <c r="AL80" s="200">
        <f t="shared" si="101"/>
        <v>-1428608.4764376204</v>
      </c>
      <c r="AM80" s="13">
        <f t="shared" ref="AM80:AQ80" si="106">AM74-AM76-AM77+AM78-AM79</f>
        <v>0</v>
      </c>
      <c r="AN80" s="13">
        <f t="shared" ref="AN80:AP80" si="107">AN74-AN76-AN77+AN78-AN79</f>
        <v>1428608.4764376199</v>
      </c>
      <c r="AO80" s="13">
        <f t="shared" si="107"/>
        <v>88748.911094690207</v>
      </c>
      <c r="AP80" s="13">
        <f t="shared" si="107"/>
        <v>43408.994722799682</v>
      </c>
      <c r="AQ80" s="201">
        <f t="shared" si="106"/>
        <v>-378814.10350758285</v>
      </c>
      <c r="AR80" s="13">
        <f t="shared" ref="AR80" si="108">AR74-AR76-AR77+AR78-AR79</f>
        <v>0</v>
      </c>
      <c r="AS80" s="200">
        <f t="shared" si="101"/>
        <v>-83843.165870714933</v>
      </c>
      <c r="AT80" s="13">
        <f t="shared" si="101"/>
        <v>-108255</v>
      </c>
      <c r="AU80" s="13">
        <f t="shared" si="101"/>
        <v>0</v>
      </c>
      <c r="AV80" s="13">
        <f t="shared" si="101"/>
        <v>0</v>
      </c>
      <c r="AW80" s="13">
        <f t="shared" si="101"/>
        <v>-39804</v>
      </c>
      <c r="AX80" s="13">
        <f t="shared" si="101"/>
        <v>0</v>
      </c>
      <c r="AY80" s="200">
        <f t="shared" si="101"/>
        <v>0</v>
      </c>
      <c r="AZ80" s="13">
        <f t="shared" si="101"/>
        <v>0</v>
      </c>
      <c r="BA80" s="13">
        <f t="shared" si="101"/>
        <v>807244.04000000097</v>
      </c>
      <c r="BB80" s="200">
        <f t="shared" si="101"/>
        <v>396041.6343407036</v>
      </c>
      <c r="BC80" s="13">
        <f t="shared" si="101"/>
        <v>-141986.76530199265</v>
      </c>
      <c r="BD80" s="13">
        <f t="shared" si="101"/>
        <v>0</v>
      </c>
      <c r="BE80" s="13">
        <f t="shared" si="101"/>
        <v>-466361.64486894885</v>
      </c>
      <c r="BF80" s="200">
        <f t="shared" ref="BF80:BX80" si="109">BF74-BF76-BF77+BF78-BF79</f>
        <v>-4290057.174253257</v>
      </c>
      <c r="BG80" s="13">
        <f t="shared" si="109"/>
        <v>0</v>
      </c>
      <c r="BH80" s="13">
        <f t="shared" si="109"/>
        <v>0</v>
      </c>
      <c r="BI80" s="13">
        <f t="shared" si="109"/>
        <v>-245907.2699441571</v>
      </c>
      <c r="BJ80" s="13">
        <f t="shared" si="109"/>
        <v>0</v>
      </c>
      <c r="BK80" s="13">
        <f t="shared" si="109"/>
        <v>285034</v>
      </c>
      <c r="BL80" s="13">
        <f t="shared" si="109"/>
        <v>-4169.3672727272733</v>
      </c>
      <c r="BM80" s="13">
        <f t="shared" si="109"/>
        <v>-3000000</v>
      </c>
      <c r="BN80" s="200">
        <f t="shared" si="109"/>
        <v>6984.2305789677403</v>
      </c>
      <c r="BO80" s="13">
        <f t="shared" si="109"/>
        <v>0</v>
      </c>
      <c r="BP80" s="13">
        <f t="shared" si="109"/>
        <v>0</v>
      </c>
      <c r="BQ80" s="13">
        <f t="shared" si="109"/>
        <v>0</v>
      </c>
      <c r="BR80" s="13">
        <f t="shared" si="109"/>
        <v>0</v>
      </c>
      <c r="BS80" s="13">
        <f t="shared" si="109"/>
        <v>0</v>
      </c>
      <c r="BT80" s="13">
        <f t="shared" si="109"/>
        <v>0</v>
      </c>
      <c r="BU80" s="13">
        <f t="shared" si="109"/>
        <v>0</v>
      </c>
      <c r="BV80" s="302">
        <f t="shared" si="109"/>
        <v>0</v>
      </c>
      <c r="BW80" s="200">
        <f t="shared" si="109"/>
        <v>-980581.26515954512</v>
      </c>
      <c r="BX80" s="201">
        <f t="shared" si="109"/>
        <v>-131662.15710646479</v>
      </c>
    </row>
    <row r="81" spans="1:77" x14ac:dyDescent="0.2">
      <c r="A81" s="14"/>
      <c r="B81" s="88"/>
      <c r="C81" s="29"/>
      <c r="D81" s="12"/>
      <c r="E81" s="12"/>
      <c r="F81" s="12"/>
      <c r="G81" s="12"/>
      <c r="H81" s="12"/>
      <c r="I81" s="86"/>
      <c r="J81" s="29"/>
      <c r="K81" s="86"/>
      <c r="L81" s="29"/>
      <c r="M81" s="12"/>
      <c r="N81" s="12"/>
      <c r="O81" s="12"/>
      <c r="P81" s="12"/>
      <c r="Q81" s="86"/>
      <c r="R81" s="29"/>
      <c r="S81" s="12"/>
      <c r="T81" s="12"/>
      <c r="U81" s="12"/>
      <c r="V81" s="12"/>
      <c r="W81" s="12"/>
      <c r="X81" s="86"/>
      <c r="Y81" s="29"/>
      <c r="Z81" s="12"/>
      <c r="AA81" s="12"/>
      <c r="AB81" s="12"/>
      <c r="AC81" s="86"/>
      <c r="AD81" s="29"/>
      <c r="AE81" s="86"/>
      <c r="AF81" s="29"/>
      <c r="AG81" s="12"/>
      <c r="AH81" s="29"/>
      <c r="AI81" s="12"/>
      <c r="AJ81" s="12"/>
      <c r="AK81" s="86"/>
      <c r="AL81" s="29"/>
      <c r="AM81" s="12"/>
      <c r="AN81" s="12"/>
      <c r="AO81" s="12"/>
      <c r="AP81" s="12"/>
      <c r="AQ81" s="86"/>
      <c r="AR81" s="12"/>
      <c r="AS81" s="29"/>
      <c r="AT81" s="12"/>
      <c r="AU81" s="12"/>
      <c r="AV81" s="12"/>
      <c r="AW81" s="12"/>
      <c r="AX81" s="12"/>
      <c r="AY81" s="29"/>
      <c r="AZ81" s="12"/>
      <c r="BA81" s="12"/>
      <c r="BB81" s="29"/>
      <c r="BC81" s="12"/>
      <c r="BD81" s="12"/>
      <c r="BE81" s="12"/>
      <c r="BF81" s="29"/>
      <c r="BG81" s="12"/>
      <c r="BH81" s="12"/>
      <c r="BI81" s="12"/>
      <c r="BJ81" s="12"/>
      <c r="BK81" s="12"/>
      <c r="BL81" s="12"/>
      <c r="BM81" s="12"/>
      <c r="BN81" s="29"/>
      <c r="BO81" s="12"/>
      <c r="BP81" s="12"/>
      <c r="BQ81" s="12"/>
      <c r="BR81" s="12"/>
      <c r="BS81" s="12"/>
      <c r="BT81" s="12"/>
      <c r="BU81" s="12"/>
      <c r="BV81" s="88"/>
      <c r="BW81" s="29"/>
      <c r="BX81" s="86"/>
    </row>
    <row r="82" spans="1:77" x14ac:dyDescent="0.2">
      <c r="A82" s="14" t="s">
        <v>109</v>
      </c>
      <c r="B82" s="195">
        <f t="shared" ref="B82:B87" si="110">SUM(C82:BX82)</f>
        <v>0</v>
      </c>
      <c r="C82" s="29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86">
        <v>0</v>
      </c>
      <c r="J82" s="29">
        <v>0</v>
      </c>
      <c r="K82" s="86">
        <v>0</v>
      </c>
      <c r="L82" s="29">
        <v>0</v>
      </c>
      <c r="M82" s="12">
        <v>0</v>
      </c>
      <c r="N82" s="12">
        <v>0</v>
      </c>
      <c r="O82" s="12">
        <v>0</v>
      </c>
      <c r="P82" s="12">
        <v>0</v>
      </c>
      <c r="Q82" s="86">
        <v>0</v>
      </c>
      <c r="R82" s="29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86">
        <v>0</v>
      </c>
      <c r="Y82" s="29">
        <v>0</v>
      </c>
      <c r="Z82" s="12">
        <v>0</v>
      </c>
      <c r="AA82" s="12">
        <v>0</v>
      </c>
      <c r="AB82" s="12">
        <v>0</v>
      </c>
      <c r="AC82" s="86">
        <v>0</v>
      </c>
      <c r="AD82" s="29">
        <v>0</v>
      </c>
      <c r="AE82" s="86">
        <v>0</v>
      </c>
      <c r="AF82" s="29">
        <v>0</v>
      </c>
      <c r="AG82" s="12">
        <v>0</v>
      </c>
      <c r="AH82" s="29">
        <v>0</v>
      </c>
      <c r="AI82" s="12">
        <v>0</v>
      </c>
      <c r="AJ82" s="12">
        <v>0</v>
      </c>
      <c r="AK82" s="86">
        <v>0</v>
      </c>
      <c r="AL82" s="29">
        <v>0</v>
      </c>
      <c r="AM82" s="12">
        <v>0</v>
      </c>
      <c r="AN82" s="12">
        <v>0</v>
      </c>
      <c r="AO82" s="12">
        <v>0</v>
      </c>
      <c r="AP82" s="12">
        <v>0</v>
      </c>
      <c r="AQ82" s="86">
        <v>0</v>
      </c>
      <c r="AR82" s="12">
        <v>0</v>
      </c>
      <c r="AS82" s="39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39">
        <v>0</v>
      </c>
      <c r="AZ82" s="2">
        <v>0</v>
      </c>
      <c r="BA82" s="2">
        <v>0</v>
      </c>
      <c r="BB82" s="39">
        <v>0</v>
      </c>
      <c r="BC82" s="2">
        <v>0</v>
      </c>
      <c r="BD82" s="2">
        <v>0</v>
      </c>
      <c r="BE82" s="2">
        <v>0</v>
      </c>
      <c r="BF82" s="39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39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195">
        <v>0</v>
      </c>
      <c r="BW82" s="39">
        <v>0</v>
      </c>
      <c r="BX82" s="309">
        <v>0</v>
      </c>
    </row>
    <row r="83" spans="1:77" x14ac:dyDescent="0.2">
      <c r="A83" s="14" t="s">
        <v>110</v>
      </c>
      <c r="B83" s="195">
        <f t="shared" si="110"/>
        <v>12844683.890817905</v>
      </c>
      <c r="C83" s="29">
        <f>C80-C82</f>
        <v>-5692761.2699999996</v>
      </c>
      <c r="D83" s="12">
        <f t="shared" ref="D83:BE83" si="111">D80-D82</f>
        <v>-7427584.4312790008</v>
      </c>
      <c r="E83" s="12">
        <f t="shared" si="111"/>
        <v>17025824.820802085</v>
      </c>
      <c r="F83" s="12">
        <f t="shared" si="111"/>
        <v>-1944.6228786786087</v>
      </c>
      <c r="G83" s="12">
        <f t="shared" si="111"/>
        <v>-2253339.1310724937</v>
      </c>
      <c r="H83" s="12">
        <f t="shared" si="111"/>
        <v>347223.37826988706</v>
      </c>
      <c r="I83" s="86">
        <f t="shared" si="111"/>
        <v>41325.822449383042</v>
      </c>
      <c r="J83" s="29">
        <f t="shared" ref="J83:K83" si="112">J80-J82</f>
        <v>0</v>
      </c>
      <c r="K83" s="86">
        <f t="shared" si="112"/>
        <v>25888.581406835918</v>
      </c>
      <c r="L83" s="29">
        <f t="shared" si="111"/>
        <v>22113.998075557342</v>
      </c>
      <c r="M83" s="12">
        <f t="shared" si="111"/>
        <v>47588.981132557921</v>
      </c>
      <c r="N83" s="12">
        <f t="shared" si="111"/>
        <v>688642.78950831818</v>
      </c>
      <c r="O83" s="12">
        <f t="shared" si="111"/>
        <v>5340.7537227038374</v>
      </c>
      <c r="P83" s="12">
        <f t="shared" si="111"/>
        <v>-155436.59276701676</v>
      </c>
      <c r="Q83" s="86">
        <f t="shared" si="111"/>
        <v>10725427.003797945</v>
      </c>
      <c r="R83" s="29">
        <f t="shared" si="111"/>
        <v>744021.10676359385</v>
      </c>
      <c r="S83" s="12">
        <f t="shared" si="111"/>
        <v>401.946618269174</v>
      </c>
      <c r="T83" s="12">
        <f t="shared" si="111"/>
        <v>-1496.5274180481501</v>
      </c>
      <c r="U83" s="12">
        <f t="shared" si="111"/>
        <v>-422425.00651124539</v>
      </c>
      <c r="V83" s="12">
        <f t="shared" si="111"/>
        <v>-734346.64790187846</v>
      </c>
      <c r="W83" s="12">
        <f t="shared" si="111"/>
        <v>640526.89575698704</v>
      </c>
      <c r="X83" s="86">
        <f t="shared" si="111"/>
        <v>0</v>
      </c>
      <c r="Y83" s="29">
        <f t="shared" ref="Y83:AB83" si="113">Y80-Y82</f>
        <v>0</v>
      </c>
      <c r="Z83" s="12">
        <f t="shared" si="113"/>
        <v>0</v>
      </c>
      <c r="AA83" s="12">
        <f t="shared" si="113"/>
        <v>0</v>
      </c>
      <c r="AB83" s="12">
        <f t="shared" si="113"/>
        <v>0</v>
      </c>
      <c r="AC83" s="86">
        <f t="shared" ref="AC83" si="114">AC80-AC82</f>
        <v>0</v>
      </c>
      <c r="AD83" s="29">
        <f t="shared" si="111"/>
        <v>11514719.674666643</v>
      </c>
      <c r="AE83" s="86">
        <f t="shared" ref="AE83" si="115">AE80-AE82</f>
        <v>-4721726.857480526</v>
      </c>
      <c r="AF83" s="29">
        <f t="shared" si="111"/>
        <v>679898.4167838149</v>
      </c>
      <c r="AG83" s="12">
        <f t="shared" si="111"/>
        <v>118902.0262606421</v>
      </c>
      <c r="AH83" s="29">
        <f t="shared" si="111"/>
        <v>-128121.11534020312</v>
      </c>
      <c r="AI83" s="12">
        <f t="shared" si="111"/>
        <v>0</v>
      </c>
      <c r="AJ83" s="12">
        <f t="shared" si="111"/>
        <v>0</v>
      </c>
      <c r="AK83" s="86">
        <f t="shared" si="111"/>
        <v>0</v>
      </c>
      <c r="AL83" s="29">
        <f t="shared" si="111"/>
        <v>-1428608.4764376204</v>
      </c>
      <c r="AM83" s="12">
        <f t="shared" ref="AM83:AQ83" si="116">AM80-AM82</f>
        <v>0</v>
      </c>
      <c r="AN83" s="12">
        <f t="shared" ref="AN83:AP83" si="117">AN80-AN82</f>
        <v>1428608.4764376199</v>
      </c>
      <c r="AO83" s="12">
        <f t="shared" si="117"/>
        <v>88748.911094690207</v>
      </c>
      <c r="AP83" s="12">
        <f t="shared" si="117"/>
        <v>43408.994722799682</v>
      </c>
      <c r="AQ83" s="86">
        <f t="shared" si="116"/>
        <v>-378814.10350758285</v>
      </c>
      <c r="AR83" s="12">
        <f t="shared" ref="AR83" si="118">AR80-AR82</f>
        <v>0</v>
      </c>
      <c r="AS83" s="39">
        <f t="shared" si="111"/>
        <v>-83843.165870714933</v>
      </c>
      <c r="AT83" s="2">
        <f t="shared" si="111"/>
        <v>-108255</v>
      </c>
      <c r="AU83" s="2">
        <f t="shared" si="111"/>
        <v>0</v>
      </c>
      <c r="AV83" s="2">
        <f t="shared" si="111"/>
        <v>0</v>
      </c>
      <c r="AW83" s="2">
        <f t="shared" si="111"/>
        <v>-39804</v>
      </c>
      <c r="AX83" s="2">
        <f t="shared" si="111"/>
        <v>0</v>
      </c>
      <c r="AY83" s="39">
        <f t="shared" si="111"/>
        <v>0</v>
      </c>
      <c r="AZ83" s="2">
        <f t="shared" si="111"/>
        <v>0</v>
      </c>
      <c r="BA83" s="2">
        <f t="shared" si="111"/>
        <v>807244.04000000097</v>
      </c>
      <c r="BB83" s="39">
        <f t="shared" si="111"/>
        <v>396041.6343407036</v>
      </c>
      <c r="BC83" s="2">
        <f t="shared" si="111"/>
        <v>-141986.76530199265</v>
      </c>
      <c r="BD83" s="2">
        <f t="shared" si="111"/>
        <v>0</v>
      </c>
      <c r="BE83" s="2">
        <f t="shared" si="111"/>
        <v>-466361.64486894885</v>
      </c>
      <c r="BF83" s="39">
        <f t="shared" ref="BF83:BX83" si="119">BF80-BF82</f>
        <v>-4290057.174253257</v>
      </c>
      <c r="BG83" s="2">
        <f t="shared" si="119"/>
        <v>0</v>
      </c>
      <c r="BH83" s="2">
        <f t="shared" si="119"/>
        <v>0</v>
      </c>
      <c r="BI83" s="2">
        <f t="shared" si="119"/>
        <v>-245907.2699441571</v>
      </c>
      <c r="BJ83" s="2">
        <f t="shared" si="119"/>
        <v>0</v>
      </c>
      <c r="BK83" s="2">
        <f t="shared" si="119"/>
        <v>285034</v>
      </c>
      <c r="BL83" s="2">
        <f t="shared" si="119"/>
        <v>-4169.3672727272733</v>
      </c>
      <c r="BM83" s="2">
        <f t="shared" si="119"/>
        <v>-3000000</v>
      </c>
      <c r="BN83" s="39">
        <f t="shared" si="119"/>
        <v>6984.2305789677403</v>
      </c>
      <c r="BO83" s="2">
        <f t="shared" si="119"/>
        <v>0</v>
      </c>
      <c r="BP83" s="2">
        <f t="shared" si="119"/>
        <v>0</v>
      </c>
      <c r="BQ83" s="2">
        <f t="shared" si="119"/>
        <v>0</v>
      </c>
      <c r="BR83" s="2">
        <f t="shared" si="119"/>
        <v>0</v>
      </c>
      <c r="BS83" s="2">
        <f t="shared" si="119"/>
        <v>0</v>
      </c>
      <c r="BT83" s="2">
        <f t="shared" si="119"/>
        <v>0</v>
      </c>
      <c r="BU83" s="2">
        <f t="shared" si="119"/>
        <v>0</v>
      </c>
      <c r="BV83" s="195">
        <f t="shared" si="119"/>
        <v>0</v>
      </c>
      <c r="BW83" s="39">
        <f t="shared" si="119"/>
        <v>-980581.26515954512</v>
      </c>
      <c r="BX83" s="309">
        <f t="shared" si="119"/>
        <v>-131662.15710646479</v>
      </c>
    </row>
    <row r="84" spans="1:77" x14ac:dyDescent="0.2">
      <c r="A84" s="14"/>
      <c r="B84" s="195">
        <f t="shared" si="110"/>
        <v>0</v>
      </c>
      <c r="C84" s="29"/>
      <c r="D84" s="12"/>
      <c r="E84" s="12"/>
      <c r="F84" s="12"/>
      <c r="G84" s="12"/>
      <c r="H84" s="12"/>
      <c r="I84" s="86"/>
      <c r="J84" s="29"/>
      <c r="K84" s="86"/>
      <c r="L84" s="29"/>
      <c r="M84" s="12"/>
      <c r="N84" s="12"/>
      <c r="O84" s="12"/>
      <c r="P84" s="12"/>
      <c r="Q84" s="86"/>
      <c r="R84" s="29"/>
      <c r="S84" s="12"/>
      <c r="T84" s="12"/>
      <c r="U84" s="12"/>
      <c r="V84" s="12"/>
      <c r="W84" s="12"/>
      <c r="X84" s="86"/>
      <c r="Y84" s="29"/>
      <c r="Z84" s="12"/>
      <c r="AA84" s="12"/>
      <c r="AB84" s="12"/>
      <c r="AC84" s="86"/>
      <c r="AD84" s="29"/>
      <c r="AE84" s="86"/>
      <c r="AF84" s="29"/>
      <c r="AG84" s="12"/>
      <c r="AH84" s="29"/>
      <c r="AI84" s="12"/>
      <c r="AJ84" s="12"/>
      <c r="AK84" s="86"/>
      <c r="AL84" s="29"/>
      <c r="AM84" s="12"/>
      <c r="AN84" s="12"/>
      <c r="AO84" s="12"/>
      <c r="AP84" s="12"/>
      <c r="AQ84" s="86"/>
      <c r="AR84" s="12"/>
      <c r="AS84" s="39"/>
      <c r="AT84" s="2"/>
      <c r="AU84" s="2"/>
      <c r="AV84" s="2"/>
      <c r="AW84" s="2"/>
      <c r="AX84" s="2"/>
      <c r="AY84" s="39"/>
      <c r="AZ84" s="2"/>
      <c r="BA84" s="2"/>
      <c r="BB84" s="39"/>
      <c r="BC84" s="2"/>
      <c r="BD84" s="2"/>
      <c r="BE84" s="2"/>
      <c r="BF84" s="39"/>
      <c r="BG84" s="2"/>
      <c r="BH84" s="2"/>
      <c r="BI84" s="2"/>
      <c r="BJ84" s="2"/>
      <c r="BK84" s="2"/>
      <c r="BL84" s="2"/>
      <c r="BM84" s="2"/>
      <c r="BN84" s="39"/>
      <c r="BO84" s="2"/>
      <c r="BP84" s="2"/>
      <c r="BQ84" s="2"/>
      <c r="BR84" s="2"/>
      <c r="BS84" s="2"/>
      <c r="BT84" s="2"/>
      <c r="BV84" s="195"/>
      <c r="BW84" s="39"/>
      <c r="BX84" s="309"/>
    </row>
    <row r="85" spans="1:77" x14ac:dyDescent="0.2">
      <c r="A85" s="14" t="s">
        <v>139</v>
      </c>
      <c r="B85" s="195">
        <f t="shared" si="110"/>
        <v>4495639.9477862651</v>
      </c>
      <c r="C85" s="29">
        <f>C83*0.35</f>
        <v>-1992466.4444999998</v>
      </c>
      <c r="D85" s="12">
        <f t="shared" ref="D85:BE85" si="120">D83*0.35</f>
        <v>-2599654.5509476503</v>
      </c>
      <c r="E85" s="12">
        <f t="shared" si="120"/>
        <v>5959038.6872807294</v>
      </c>
      <c r="F85" s="12">
        <f t="shared" si="120"/>
        <v>-680.61800753751299</v>
      </c>
      <c r="G85" s="12">
        <f t="shared" si="120"/>
        <v>-788668.69587537274</v>
      </c>
      <c r="H85" s="12">
        <f t="shared" si="120"/>
        <v>121528.18239446047</v>
      </c>
      <c r="I85" s="86">
        <f t="shared" si="120"/>
        <v>14464.037857284064</v>
      </c>
      <c r="J85" s="29">
        <f t="shared" ref="J85:K85" si="121">J83*0.35</f>
        <v>0</v>
      </c>
      <c r="K85" s="86">
        <f t="shared" si="121"/>
        <v>9061.0034923925705</v>
      </c>
      <c r="L85" s="29">
        <f t="shared" si="120"/>
        <v>7739.8993264450692</v>
      </c>
      <c r="M85" s="12">
        <f t="shared" si="120"/>
        <v>16656.143396395273</v>
      </c>
      <c r="N85" s="12">
        <f t="shared" si="120"/>
        <v>241024.97632791134</v>
      </c>
      <c r="O85" s="12">
        <f t="shared" si="120"/>
        <v>1869.263802946343</v>
      </c>
      <c r="P85" s="12">
        <f t="shared" si="120"/>
        <v>-54402.80746845586</v>
      </c>
      <c r="Q85" s="86">
        <f t="shared" si="120"/>
        <v>3753899.4513292802</v>
      </c>
      <c r="R85" s="29">
        <f t="shared" si="120"/>
        <v>260407.38736725782</v>
      </c>
      <c r="S85" s="12">
        <f t="shared" si="120"/>
        <v>140.68131639421088</v>
      </c>
      <c r="T85" s="12">
        <f t="shared" si="120"/>
        <v>-523.78459631685257</v>
      </c>
      <c r="U85" s="12">
        <f t="shared" si="120"/>
        <v>-147848.75227893586</v>
      </c>
      <c r="V85" s="12">
        <f t="shared" si="120"/>
        <v>-257021.32676565743</v>
      </c>
      <c r="W85" s="12">
        <f t="shared" si="120"/>
        <v>224184.41351494545</v>
      </c>
      <c r="X85" s="86">
        <f t="shared" si="120"/>
        <v>0</v>
      </c>
      <c r="Y85" s="29">
        <f t="shared" ref="Y85:AB85" si="122">Y83*0.35</f>
        <v>0</v>
      </c>
      <c r="Z85" s="12">
        <f t="shared" si="122"/>
        <v>0</v>
      </c>
      <c r="AA85" s="12">
        <f t="shared" si="122"/>
        <v>0</v>
      </c>
      <c r="AB85" s="12">
        <f t="shared" si="122"/>
        <v>0</v>
      </c>
      <c r="AC85" s="86">
        <f t="shared" ref="AC85" si="123">AC83*0.35</f>
        <v>0</v>
      </c>
      <c r="AD85" s="29">
        <f t="shared" si="120"/>
        <v>4030151.8861333248</v>
      </c>
      <c r="AE85" s="86">
        <f t="shared" ref="AE85" si="124">AE83*0.35</f>
        <v>-1652604.400118184</v>
      </c>
      <c r="AF85" s="29">
        <f t="shared" si="120"/>
        <v>237964.44587433519</v>
      </c>
      <c r="AG85" s="12">
        <f t="shared" si="120"/>
        <v>41615.709191224734</v>
      </c>
      <c r="AH85" s="29">
        <f t="shared" si="120"/>
        <v>-44842.390369071087</v>
      </c>
      <c r="AI85" s="12">
        <f t="shared" si="120"/>
        <v>0</v>
      </c>
      <c r="AJ85" s="12">
        <f t="shared" si="120"/>
        <v>0</v>
      </c>
      <c r="AK85" s="86">
        <f t="shared" si="120"/>
        <v>0</v>
      </c>
      <c r="AL85" s="29">
        <f t="shared" si="120"/>
        <v>-500012.9667531671</v>
      </c>
      <c r="AM85" s="12">
        <f t="shared" ref="AM85:AQ85" si="125">AM83*0.35</f>
        <v>0</v>
      </c>
      <c r="AN85" s="12">
        <f t="shared" ref="AN85:AP85" si="126">AN83*0.35</f>
        <v>500012.96675316693</v>
      </c>
      <c r="AO85" s="12">
        <f t="shared" si="126"/>
        <v>31062.118883141571</v>
      </c>
      <c r="AP85" s="12">
        <f t="shared" si="126"/>
        <v>15193.148152979888</v>
      </c>
      <c r="AQ85" s="86">
        <f t="shared" si="125"/>
        <v>-132584.93622765399</v>
      </c>
      <c r="AR85" s="12">
        <f>AR83*0.37951</f>
        <v>0</v>
      </c>
      <c r="AS85" s="39">
        <f t="shared" si="120"/>
        <v>-29345.108054750224</v>
      </c>
      <c r="AT85" s="2">
        <f t="shared" si="120"/>
        <v>-37889.25</v>
      </c>
      <c r="AU85" s="2">
        <f t="shared" si="120"/>
        <v>0</v>
      </c>
      <c r="AV85" s="2">
        <f t="shared" si="120"/>
        <v>0</v>
      </c>
      <c r="AW85" s="2">
        <f t="shared" si="120"/>
        <v>-13931.4</v>
      </c>
      <c r="AX85" s="2">
        <f t="shared" si="120"/>
        <v>0</v>
      </c>
      <c r="AY85" s="39">
        <f t="shared" si="120"/>
        <v>0</v>
      </c>
      <c r="AZ85" s="2">
        <f t="shared" si="120"/>
        <v>0</v>
      </c>
      <c r="BA85" s="2">
        <f>ROUNDUP(BA83*0.35,0)</f>
        <v>282536</v>
      </c>
      <c r="BB85" s="39">
        <f t="shared" si="120"/>
        <v>138614.57201924626</v>
      </c>
      <c r="BC85" s="2">
        <f t="shared" si="120"/>
        <v>-49695.367855697426</v>
      </c>
      <c r="BD85" s="2">
        <f t="shared" si="120"/>
        <v>0</v>
      </c>
      <c r="BE85" s="2">
        <f t="shared" si="120"/>
        <v>-163226.57570413209</v>
      </c>
      <c r="BF85" s="39">
        <f t="shared" ref="BF85:BX85" si="127">BF83*0.35</f>
        <v>-1501520.0109886399</v>
      </c>
      <c r="BG85" s="2">
        <f t="shared" si="127"/>
        <v>0</v>
      </c>
      <c r="BH85" s="2">
        <f t="shared" si="127"/>
        <v>0</v>
      </c>
      <c r="BI85" s="2">
        <f t="shared" si="127"/>
        <v>-86067.544480454977</v>
      </c>
      <c r="BJ85" s="2">
        <f t="shared" si="127"/>
        <v>0</v>
      </c>
      <c r="BK85" s="2">
        <f t="shared" si="127"/>
        <v>99761.9</v>
      </c>
      <c r="BL85" s="2">
        <f t="shared" si="127"/>
        <v>-1459.2785454545456</v>
      </c>
      <c r="BM85" s="2">
        <f t="shared" si="127"/>
        <v>-1050000</v>
      </c>
      <c r="BN85" s="39">
        <f t="shared" si="127"/>
        <v>2444.4807026387089</v>
      </c>
      <c r="BO85" s="2">
        <f t="shared" si="127"/>
        <v>0</v>
      </c>
      <c r="BP85" s="2">
        <f t="shared" si="127"/>
        <v>0</v>
      </c>
      <c r="BQ85" s="2">
        <f t="shared" si="127"/>
        <v>0</v>
      </c>
      <c r="BR85" s="2">
        <f t="shared" si="127"/>
        <v>0</v>
      </c>
      <c r="BS85" s="2">
        <f t="shared" si="127"/>
        <v>0</v>
      </c>
      <c r="BT85" s="2">
        <f t="shared" si="127"/>
        <v>0</v>
      </c>
      <c r="BU85" s="2">
        <f t="shared" si="127"/>
        <v>0</v>
      </c>
      <c r="BV85" s="195">
        <f t="shared" si="127"/>
        <v>0</v>
      </c>
      <c r="BW85" s="39">
        <f t="shared" si="127"/>
        <v>-343203.44280584075</v>
      </c>
      <c r="BX85" s="309">
        <f t="shared" si="127"/>
        <v>-46081.75498726267</v>
      </c>
    </row>
    <row r="86" spans="1:77" x14ac:dyDescent="0.2">
      <c r="A86" s="14" t="s">
        <v>140</v>
      </c>
      <c r="B86" s="195">
        <f t="shared" si="110"/>
        <v>-667033.44483830314</v>
      </c>
      <c r="C86" s="29">
        <f>'Restating Adj'!C86+'Pro Forma Adj'!C86</f>
        <v>0</v>
      </c>
      <c r="D86" s="12">
        <f>'Restating Adj'!D86+'Pro Forma Adj'!D86</f>
        <v>0</v>
      </c>
      <c r="E86" s="12">
        <f>'Restating Adj'!E86+'Pro Forma Adj'!E86</f>
        <v>0</v>
      </c>
      <c r="F86" s="12">
        <f>'Restating Adj'!F86+'Pro Forma Adj'!F86</f>
        <v>0</v>
      </c>
      <c r="G86" s="12">
        <f>'Restating Adj'!G86+'Pro Forma Adj'!G86</f>
        <v>0</v>
      </c>
      <c r="H86" s="12">
        <f>'Restating Adj'!H86+'Pro Forma Adj'!H86</f>
        <v>0</v>
      </c>
      <c r="I86" s="86">
        <f>'Restating Adj'!I86+'Pro Forma Adj'!I86</f>
        <v>0</v>
      </c>
      <c r="J86" s="29">
        <f>'Restating Adj'!J86+'Pro Forma Adj'!J86</f>
        <v>0</v>
      </c>
      <c r="K86" s="86">
        <f>'Restating Adj'!K86+'Pro Forma Adj'!K86</f>
        <v>0</v>
      </c>
      <c r="L86" s="29">
        <f>'Restating Adj'!L86+'Pro Forma Adj'!L86</f>
        <v>0</v>
      </c>
      <c r="M86" s="12">
        <f>'Restating Adj'!M86+'Pro Forma Adj'!M86</f>
        <v>0</v>
      </c>
      <c r="N86" s="12">
        <f>'Restating Adj'!N86+'Pro Forma Adj'!N86</f>
        <v>0</v>
      </c>
      <c r="O86" s="12">
        <f>'Restating Adj'!O86+'Pro Forma Adj'!O86</f>
        <v>0</v>
      </c>
      <c r="P86" s="12">
        <f>'Restating Adj'!P86+'Pro Forma Adj'!P86</f>
        <v>0</v>
      </c>
      <c r="Q86" s="86">
        <f>'Restating Adj'!Q86+'Pro Forma Adj'!Q86</f>
        <v>0</v>
      </c>
      <c r="R86" s="29">
        <f>'Restating Adj'!R86+'Pro Forma Adj'!R86</f>
        <v>0</v>
      </c>
      <c r="S86" s="12">
        <f>'Restating Adj'!S86+'Pro Forma Adj'!S86</f>
        <v>0</v>
      </c>
      <c r="T86" s="12">
        <f>'Restating Adj'!T86+'Pro Forma Adj'!T86</f>
        <v>0</v>
      </c>
      <c r="U86" s="12">
        <f>'Restating Adj'!U86+'Pro Forma Adj'!U86</f>
        <v>0</v>
      </c>
      <c r="V86" s="12">
        <f>'Restating Adj'!V86+'Pro Forma Adj'!V86</f>
        <v>0</v>
      </c>
      <c r="W86" s="12">
        <f>'Restating Adj'!W86+'Pro Forma Adj'!W86</f>
        <v>0</v>
      </c>
      <c r="X86" s="86">
        <f>'Restating Adj'!X86+'Pro Forma Adj'!X86</f>
        <v>0</v>
      </c>
      <c r="Y86" s="29">
        <f>'Restating Adj'!Y86+'Pro Forma Adj'!Y86</f>
        <v>0</v>
      </c>
      <c r="Z86" s="12">
        <f>'Restating Adj'!Z86+'Pro Forma Adj'!Z86</f>
        <v>0</v>
      </c>
      <c r="AA86" s="12">
        <f>'Restating Adj'!AA86+'Pro Forma Adj'!AA86</f>
        <v>0</v>
      </c>
      <c r="AB86" s="12">
        <f>'Restating Adj'!AB86+'Pro Forma Adj'!AB86</f>
        <v>0</v>
      </c>
      <c r="AC86" s="86">
        <f>'Restating Adj'!AC86+'Pro Forma Adj'!AC86</f>
        <v>0</v>
      </c>
      <c r="AD86" s="29">
        <f>'Restating Adj'!AD86+'Pro Forma Adj'!AD86</f>
        <v>0</v>
      </c>
      <c r="AE86" s="86">
        <f>'Restating Adj'!AE86+'Pro Forma Adj'!AE86</f>
        <v>0</v>
      </c>
      <c r="AF86" s="29">
        <f>'Restating Adj'!AF86+'Pro Forma Adj'!AF86</f>
        <v>0</v>
      </c>
      <c r="AG86" s="12">
        <f>'Restating Adj'!AG86+'Pro Forma Adj'!AG86</f>
        <v>0</v>
      </c>
      <c r="AH86" s="29">
        <f>'Restating Adj'!AH86+'Pro Forma Adj'!AH86</f>
        <v>0</v>
      </c>
      <c r="AI86" s="12">
        <f>'Restating Adj'!AI86+'Pro Forma Adj'!AI86</f>
        <v>0</v>
      </c>
      <c r="AJ86" s="12">
        <f>'Restating Adj'!AJ86+'Pro Forma Adj'!AJ86</f>
        <v>0</v>
      </c>
      <c r="AK86" s="86">
        <f>'Restating Adj'!AK86+'Pro Forma Adj'!AK86</f>
        <v>0</v>
      </c>
      <c r="AL86" s="29">
        <f>'Restating Adj'!AL86+'Pro Forma Adj'!AL86</f>
        <v>0</v>
      </c>
      <c r="AM86" s="12">
        <f>'Restating Adj'!AM86+'Pro Forma Adj'!AM86</f>
        <v>0</v>
      </c>
      <c r="AN86" s="12">
        <f>'Restating Adj'!AN86+'Pro Forma Adj'!AN86</f>
        <v>0</v>
      </c>
      <c r="AO86" s="12">
        <f>'Restating Adj'!AO86+'Pro Forma Adj'!AO86</f>
        <v>0</v>
      </c>
      <c r="AP86" s="12">
        <f>'Restating Adj'!AP86+'Pro Forma Adj'!AP86</f>
        <v>0</v>
      </c>
      <c r="AQ86" s="86">
        <f>'Restating Adj'!AQ86+'Pro Forma Adj'!AQ86</f>
        <v>0</v>
      </c>
      <c r="AR86" s="12">
        <f>'Restating Adj'!AR86+'Pro Forma Adj'!AR86</f>
        <v>0</v>
      </c>
      <c r="AS86" s="39">
        <f>'Restating Adj'!AS86+'Pro Forma Adj'!AS86</f>
        <v>0</v>
      </c>
      <c r="AT86" s="2">
        <f>'Restating Adj'!AT86+'Pro Forma Adj'!AT86</f>
        <v>0</v>
      </c>
      <c r="AU86" s="2">
        <f>'Restating Adj'!AU86+'Pro Forma Adj'!AU86</f>
        <v>-661916.82775972039</v>
      </c>
      <c r="AV86" s="2">
        <f>'Restating Adj'!AV86+'Pro Forma Adj'!AV86</f>
        <v>0</v>
      </c>
      <c r="AW86" s="2">
        <f>'Restating Adj'!AW86+'Pro Forma Adj'!AW86</f>
        <v>0</v>
      </c>
      <c r="AX86" s="2">
        <f>'Restating Adj'!AX86+'Pro Forma Adj'!AX86</f>
        <v>0</v>
      </c>
      <c r="AY86" s="39">
        <f>'Restating Adj'!AY86+'Pro Forma Adj'!AY86</f>
        <v>0</v>
      </c>
      <c r="AZ86" s="2">
        <f>'Restating Adj'!AZ86+'Pro Forma Adj'!AZ86</f>
        <v>0</v>
      </c>
      <c r="BA86" s="2">
        <f>'Restating Adj'!BA86+'Pro Forma Adj'!BA86</f>
        <v>0</v>
      </c>
      <c r="BB86" s="39">
        <f>'Restating Adj'!BB86+'Pro Forma Adj'!BB86</f>
        <v>0</v>
      </c>
      <c r="BC86" s="2">
        <f>'Restating Adj'!BC86+'Pro Forma Adj'!BC86</f>
        <v>0</v>
      </c>
      <c r="BD86" s="2">
        <f>'Restating Adj'!BD86+'Pro Forma Adj'!BD86</f>
        <v>0</v>
      </c>
      <c r="BE86" s="2">
        <f>'Restating Adj'!BE86+'Pro Forma Adj'!BE86</f>
        <v>0</v>
      </c>
      <c r="BF86" s="39">
        <f>'Restating Adj'!BF86+'Pro Forma Adj'!BF86</f>
        <v>0</v>
      </c>
      <c r="BG86" s="2">
        <f>'Restating Adj'!BG86+'Pro Forma Adj'!BG86</f>
        <v>0</v>
      </c>
      <c r="BH86" s="2">
        <f>'Restating Adj'!BH86+'Pro Forma Adj'!BH86</f>
        <v>0</v>
      </c>
      <c r="BI86" s="2">
        <f>'Restating Adj'!BI86+'Pro Forma Adj'!BI86</f>
        <v>0</v>
      </c>
      <c r="BJ86" s="2">
        <f>'Restating Adj'!BJ86+'Pro Forma Adj'!BJ86</f>
        <v>0</v>
      </c>
      <c r="BK86" s="2">
        <f>'Restating Adj'!BK86+'Pro Forma Adj'!BK86</f>
        <v>0</v>
      </c>
      <c r="BL86" s="2">
        <f>'Restating Adj'!BL86+'Pro Forma Adj'!BL86</f>
        <v>0</v>
      </c>
      <c r="BM86" s="2">
        <f>'Restating Adj'!BM86+'Pro Forma Adj'!BM86</f>
        <v>0</v>
      </c>
      <c r="BN86" s="39">
        <f>'Restating Adj'!BN86+'Pro Forma Adj'!BN86</f>
        <v>0</v>
      </c>
      <c r="BO86" s="2">
        <f>'Restating Adj'!BO86+'Pro Forma Adj'!BO86</f>
        <v>0</v>
      </c>
      <c r="BP86" s="2">
        <f>'Restating Adj'!BP86+'Pro Forma Adj'!BP86</f>
        <v>0</v>
      </c>
      <c r="BQ86" s="2">
        <f>'Restating Adj'!BQ86+'Pro Forma Adj'!BQ86</f>
        <v>0</v>
      </c>
      <c r="BR86" s="2">
        <f>'Restating Adj'!BR86+'Pro Forma Adj'!BR86</f>
        <v>0</v>
      </c>
      <c r="BS86" s="2">
        <f>'Restating Adj'!BS86+'Pro Forma Adj'!BS86</f>
        <v>0</v>
      </c>
      <c r="BT86" s="2">
        <f>'Restating Adj'!BT86+'Pro Forma Adj'!BT86</f>
        <v>0</v>
      </c>
      <c r="BU86" s="2">
        <f>'Restating Adj'!BU86+'Pro Forma Adj'!BU86</f>
        <v>0</v>
      </c>
      <c r="BV86" s="195">
        <f>'Restating Adj'!BV86+'Pro Forma Adj'!BV86</f>
        <v>0</v>
      </c>
      <c r="BW86" s="39">
        <f>'Restating Adj'!BW86+'Pro Forma Adj'!BW86</f>
        <v>0</v>
      </c>
      <c r="BX86" s="309">
        <f>'Restating Adj'!BX86+'Pro Forma Adj'!BX86</f>
        <v>-5116.6170785827489</v>
      </c>
    </row>
    <row r="87" spans="1:77" s="2" customFormat="1" ht="13.5" thickBot="1" x14ac:dyDescent="0.25">
      <c r="A87" s="14" t="s">
        <v>141</v>
      </c>
      <c r="B87" s="196">
        <f t="shared" si="110"/>
        <v>3828606.5029479624</v>
      </c>
      <c r="C87" s="112">
        <f>C85+C86</f>
        <v>-1992466.4444999998</v>
      </c>
      <c r="D87" s="110">
        <f t="shared" ref="D87:BE87" si="128">D85+D86</f>
        <v>-2599654.5509476503</v>
      </c>
      <c r="E87" s="110">
        <f t="shared" si="128"/>
        <v>5959038.6872807294</v>
      </c>
      <c r="F87" s="110">
        <f t="shared" si="128"/>
        <v>-680.61800753751299</v>
      </c>
      <c r="G87" s="110">
        <f t="shared" si="128"/>
        <v>-788668.69587537274</v>
      </c>
      <c r="H87" s="110">
        <f t="shared" si="128"/>
        <v>121528.18239446047</v>
      </c>
      <c r="I87" s="111">
        <f t="shared" si="128"/>
        <v>14464.037857284064</v>
      </c>
      <c r="J87" s="112">
        <f t="shared" ref="J87:K87" si="129">J85+J86</f>
        <v>0</v>
      </c>
      <c r="K87" s="111">
        <f t="shared" si="129"/>
        <v>9061.0034923925705</v>
      </c>
      <c r="L87" s="112">
        <f t="shared" si="128"/>
        <v>7739.8993264450692</v>
      </c>
      <c r="M87" s="110">
        <f t="shared" si="128"/>
        <v>16656.143396395273</v>
      </c>
      <c r="N87" s="110">
        <f t="shared" si="128"/>
        <v>241024.97632791134</v>
      </c>
      <c r="O87" s="110">
        <f t="shared" si="128"/>
        <v>1869.263802946343</v>
      </c>
      <c r="P87" s="110">
        <f t="shared" si="128"/>
        <v>-54402.80746845586</v>
      </c>
      <c r="Q87" s="111">
        <f t="shared" si="128"/>
        <v>3753899.4513292802</v>
      </c>
      <c r="R87" s="112">
        <f t="shared" si="128"/>
        <v>260407.38736725782</v>
      </c>
      <c r="S87" s="110">
        <f t="shared" si="128"/>
        <v>140.68131639421088</v>
      </c>
      <c r="T87" s="110">
        <f t="shared" si="128"/>
        <v>-523.78459631685257</v>
      </c>
      <c r="U87" s="110">
        <f t="shared" si="128"/>
        <v>-147848.75227893586</v>
      </c>
      <c r="V87" s="110">
        <f t="shared" si="128"/>
        <v>-257021.32676565743</v>
      </c>
      <c r="W87" s="110">
        <f t="shared" si="128"/>
        <v>224184.41351494545</v>
      </c>
      <c r="X87" s="111">
        <f t="shared" si="128"/>
        <v>0</v>
      </c>
      <c r="Y87" s="112">
        <f t="shared" ref="Y87:AB87" si="130">Y85+Y86</f>
        <v>0</v>
      </c>
      <c r="Z87" s="110">
        <f t="shared" si="130"/>
        <v>0</v>
      </c>
      <c r="AA87" s="110">
        <f t="shared" si="130"/>
        <v>0</v>
      </c>
      <c r="AB87" s="110">
        <f t="shared" si="130"/>
        <v>0</v>
      </c>
      <c r="AC87" s="111">
        <f t="shared" ref="AC87" si="131">AC85+AC86</f>
        <v>0</v>
      </c>
      <c r="AD87" s="112">
        <f t="shared" si="128"/>
        <v>4030151.8861333248</v>
      </c>
      <c r="AE87" s="111">
        <f t="shared" ref="AE87" si="132">AE85+AE86</f>
        <v>-1652604.400118184</v>
      </c>
      <c r="AF87" s="112">
        <f t="shared" si="128"/>
        <v>237964.44587433519</v>
      </c>
      <c r="AG87" s="110">
        <f t="shared" si="128"/>
        <v>41615.709191224734</v>
      </c>
      <c r="AH87" s="112">
        <f t="shared" si="128"/>
        <v>-44842.390369071087</v>
      </c>
      <c r="AI87" s="110">
        <f t="shared" si="128"/>
        <v>0</v>
      </c>
      <c r="AJ87" s="110">
        <f t="shared" si="128"/>
        <v>0</v>
      </c>
      <c r="AK87" s="111">
        <f t="shared" si="128"/>
        <v>0</v>
      </c>
      <c r="AL87" s="112">
        <f t="shared" si="128"/>
        <v>-500012.9667531671</v>
      </c>
      <c r="AM87" s="110">
        <f t="shared" ref="AM87:AQ87" si="133">AM85+AM86</f>
        <v>0</v>
      </c>
      <c r="AN87" s="110">
        <f t="shared" ref="AN87:AP87" si="134">AN85+AN86</f>
        <v>500012.96675316693</v>
      </c>
      <c r="AO87" s="110">
        <f t="shared" si="134"/>
        <v>31062.118883141571</v>
      </c>
      <c r="AP87" s="110">
        <f t="shared" si="134"/>
        <v>15193.148152979888</v>
      </c>
      <c r="AQ87" s="111">
        <f t="shared" si="133"/>
        <v>-132584.93622765399</v>
      </c>
      <c r="AR87" s="110">
        <f t="shared" ref="AR87" si="135">AR85+AR86</f>
        <v>0</v>
      </c>
      <c r="AS87" s="40">
        <f t="shared" si="128"/>
        <v>-29345.108054750224</v>
      </c>
      <c r="AT87" s="197">
        <f t="shared" si="128"/>
        <v>-37889.25</v>
      </c>
      <c r="AU87" s="197">
        <f t="shared" si="128"/>
        <v>-661916.82775972039</v>
      </c>
      <c r="AV87" s="197">
        <f t="shared" si="128"/>
        <v>0</v>
      </c>
      <c r="AW87" s="197">
        <f t="shared" si="128"/>
        <v>-13931.4</v>
      </c>
      <c r="AX87" s="197">
        <f t="shared" si="128"/>
        <v>0</v>
      </c>
      <c r="AY87" s="40">
        <f t="shared" si="128"/>
        <v>0</v>
      </c>
      <c r="AZ87" s="197">
        <f t="shared" si="128"/>
        <v>0</v>
      </c>
      <c r="BA87" s="197">
        <f t="shared" si="128"/>
        <v>282536</v>
      </c>
      <c r="BB87" s="40">
        <f t="shared" si="128"/>
        <v>138614.57201924626</v>
      </c>
      <c r="BC87" s="197">
        <f t="shared" si="128"/>
        <v>-49695.367855697426</v>
      </c>
      <c r="BD87" s="197">
        <f t="shared" si="128"/>
        <v>0</v>
      </c>
      <c r="BE87" s="197">
        <f t="shared" si="128"/>
        <v>-163226.57570413209</v>
      </c>
      <c r="BF87" s="40">
        <f t="shared" ref="BF87:BX87" si="136">BF85+BF86</f>
        <v>-1501520.0109886399</v>
      </c>
      <c r="BG87" s="197">
        <f t="shared" si="136"/>
        <v>0</v>
      </c>
      <c r="BH87" s="197">
        <f t="shared" si="136"/>
        <v>0</v>
      </c>
      <c r="BI87" s="197">
        <f t="shared" si="136"/>
        <v>-86067.544480454977</v>
      </c>
      <c r="BJ87" s="197">
        <f t="shared" si="136"/>
        <v>0</v>
      </c>
      <c r="BK87" s="197">
        <f t="shared" si="136"/>
        <v>99761.9</v>
      </c>
      <c r="BL87" s="197">
        <f t="shared" si="136"/>
        <v>-1459.2785454545456</v>
      </c>
      <c r="BM87" s="197">
        <f t="shared" si="136"/>
        <v>-1050000</v>
      </c>
      <c r="BN87" s="40">
        <f t="shared" si="136"/>
        <v>2444.4807026387089</v>
      </c>
      <c r="BO87" s="197">
        <f t="shared" si="136"/>
        <v>0</v>
      </c>
      <c r="BP87" s="197">
        <f t="shared" si="136"/>
        <v>0</v>
      </c>
      <c r="BQ87" s="197">
        <f t="shared" si="136"/>
        <v>0</v>
      </c>
      <c r="BR87" s="197">
        <f t="shared" si="136"/>
        <v>0</v>
      </c>
      <c r="BS87" s="197">
        <f t="shared" si="136"/>
        <v>0</v>
      </c>
      <c r="BT87" s="197">
        <f t="shared" si="136"/>
        <v>0</v>
      </c>
      <c r="BU87" s="197">
        <f t="shared" si="136"/>
        <v>0</v>
      </c>
      <c r="BV87" s="196">
        <f t="shared" si="136"/>
        <v>0</v>
      </c>
      <c r="BW87" s="40">
        <f t="shared" si="136"/>
        <v>-343203.44280584075</v>
      </c>
      <c r="BX87" s="310">
        <f t="shared" si="136"/>
        <v>-51198.372065845419</v>
      </c>
      <c r="BY87" s="177"/>
    </row>
    <row r="88" spans="1:77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72"/>
    </row>
    <row r="89" spans="1:77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72"/>
    </row>
    <row r="90" spans="1:77" s="72" customFormat="1" x14ac:dyDescent="0.2">
      <c r="A90" s="293"/>
      <c r="B90" s="280" t="s">
        <v>313</v>
      </c>
      <c r="C90" s="280">
        <f>C71-[14]AdjSummary!D68</f>
        <v>0</v>
      </c>
      <c r="D90" s="280">
        <f>D71-[14]AdjSummary!E68</f>
        <v>0</v>
      </c>
      <c r="E90" s="280">
        <f>E71-[14]AdjSummary!F68</f>
        <v>0</v>
      </c>
      <c r="F90" s="280">
        <f>F71-[14]AdjSummary!G68</f>
        <v>0</v>
      </c>
      <c r="G90" s="280">
        <f>G71-[14]AdjSummary!H68</f>
        <v>0</v>
      </c>
      <c r="H90" s="280">
        <f>H71-[14]AdjSummary!I68</f>
        <v>0</v>
      </c>
      <c r="I90" s="280">
        <f>I71-[14]AdjSummary!J68</f>
        <v>0</v>
      </c>
      <c r="J90" s="280">
        <f>J71-[14]AdjSummary!K68</f>
        <v>0</v>
      </c>
      <c r="K90" s="280">
        <f>K71-[14]AdjSummary!L68</f>
        <v>0</v>
      </c>
      <c r="L90" s="280">
        <f>L71-[14]AdjSummary!D155</f>
        <v>0</v>
      </c>
      <c r="M90" s="280">
        <f>M71-[14]AdjSummary!E155</f>
        <v>0</v>
      </c>
      <c r="N90" s="280">
        <f>N71-[14]AdjSummary!F155</f>
        <v>0</v>
      </c>
      <c r="O90" s="280">
        <f>O71-[14]AdjSummary!G155</f>
        <v>0</v>
      </c>
      <c r="P90" s="280">
        <f>P71-[14]AdjSummary!H155</f>
        <v>0</v>
      </c>
      <c r="Q90" s="280">
        <f>Q71-[14]AdjSummary!I155</f>
        <v>0</v>
      </c>
      <c r="R90" s="280">
        <f>R71-[14]AdjSummary!J155</f>
        <v>0</v>
      </c>
      <c r="S90" s="280">
        <f>S71-[14]AdjSummary!K155</f>
        <v>0</v>
      </c>
      <c r="T90" s="280">
        <f>T71-[14]AdjSummary!L155</f>
        <v>0</v>
      </c>
      <c r="U90" s="280">
        <f>U71-[14]AdjSummary!M155</f>
        <v>6.7909469944424927E-3</v>
      </c>
      <c r="V90" s="280">
        <f>V71-[14]AdjSummary!N155</f>
        <v>0</v>
      </c>
      <c r="W90" s="280">
        <f>W71-[14]AdjSummary!O155</f>
        <v>8.4768161992542446E-2</v>
      </c>
      <c r="X90" s="280">
        <f>X71-[14]AdjSummary!P155</f>
        <v>0</v>
      </c>
      <c r="Y90" s="280">
        <f>Y71-[14]AdjSummary!Q155</f>
        <v>0</v>
      </c>
      <c r="Z90" s="280">
        <f>Z71-[14]AdjSummary!R155</f>
        <v>0</v>
      </c>
      <c r="AA90" s="280">
        <f>AA71-[14]AdjSummary!S155</f>
        <v>0</v>
      </c>
      <c r="AB90" s="280">
        <f>AB71-[14]AdjSummary!T155</f>
        <v>0</v>
      </c>
      <c r="AC90" s="280">
        <f>AC71-[14]AdjSummary!U155</f>
        <v>0</v>
      </c>
      <c r="AD90" s="280">
        <f>AD71-[14]AdjSummary!D242</f>
        <v>0</v>
      </c>
      <c r="AE90" s="280">
        <f>AE71-[14]AdjSummary!E242</f>
        <v>0</v>
      </c>
      <c r="AF90" s="280">
        <f>AF71-[14]AdjSummary!F242</f>
        <v>0</v>
      </c>
      <c r="AG90" s="280">
        <f>AG71-[14]AdjSummary!G242</f>
        <v>0</v>
      </c>
      <c r="AH90" s="280">
        <f>AH71-[14]AdjSummary!D329</f>
        <v>0</v>
      </c>
      <c r="AI90" s="280">
        <f>AI71-[14]AdjSummary!E329</f>
        <v>0</v>
      </c>
      <c r="AJ90" s="280">
        <f>AJ71-[14]AdjSummary!F329</f>
        <v>0</v>
      </c>
      <c r="AK90" s="280">
        <f>AK71-[14]AdjSummary!G329</f>
        <v>0</v>
      </c>
      <c r="AL90" s="280">
        <f>AL71-[14]AdjSummary!H329</f>
        <v>0</v>
      </c>
      <c r="AM90" s="280">
        <f>AM71-[14]AdjSummary!I329</f>
        <v>0</v>
      </c>
      <c r="AN90" s="280">
        <f>AN71-[14]AdjSummary!J329</f>
        <v>0</v>
      </c>
      <c r="AO90" s="280">
        <f>AO71-[14]AdjSummary!K329</f>
        <v>0</v>
      </c>
      <c r="AP90" s="280">
        <f>AP71-[14]AdjSummary!L329</f>
        <v>0</v>
      </c>
      <c r="AQ90" s="280">
        <f>AQ71-[14]AdjSummary!M329</f>
        <v>0</v>
      </c>
      <c r="AR90" s="280">
        <f>AR71-[14]AdjSummary!N329</f>
        <v>0</v>
      </c>
      <c r="AS90" s="280">
        <f>AS71-[14]AdjSummary!D416</f>
        <v>2.6213152086711489E-3</v>
      </c>
      <c r="AT90" s="280">
        <f>AT71-[14]AdjSummary!E416</f>
        <v>-0.10652605636278167</v>
      </c>
      <c r="AU90" s="280">
        <f>AU71-[14]AdjSummary!F416</f>
        <v>0</v>
      </c>
      <c r="AV90" s="280">
        <f>AV71-[14]AdjSummary!G416</f>
        <v>2.1824450814165175E-3</v>
      </c>
      <c r="AW90" s="280">
        <f>AW71-[14]AdjSummary!H416</f>
        <v>0</v>
      </c>
      <c r="AX90" s="280">
        <f>AX71-[14]AdjSummary!I416</f>
        <v>-2.2938372567296028E-2</v>
      </c>
      <c r="AY90" s="280">
        <f>AY71-[14]AdjSummary!J416</f>
        <v>0</v>
      </c>
      <c r="AZ90" s="280">
        <f>AZ71-[14]AdjSummary!K416</f>
        <v>0</v>
      </c>
      <c r="BA90" s="280">
        <f>BA71-[14]AdjSummary!L416</f>
        <v>-0.13152758160140365</v>
      </c>
      <c r="BB90" s="280">
        <f>BB71-[14]AdjSummary!D506</f>
        <v>0</v>
      </c>
      <c r="BC90" s="280">
        <f>BC71-[14]AdjSummary!E506</f>
        <v>0</v>
      </c>
      <c r="BD90" s="280">
        <f>BD71-[14]AdjSummary!F506</f>
        <v>-2.5465851649641991E-10</v>
      </c>
      <c r="BE90" s="280">
        <f>BE71-[14]AdjSummary!G506</f>
        <v>0</v>
      </c>
      <c r="BF90" s="280">
        <f>BF71-[14]AdjSummary!H506</f>
        <v>0</v>
      </c>
      <c r="BG90" s="280">
        <f>BG71-[14]AdjSummary!I506</f>
        <v>0</v>
      </c>
      <c r="BH90" s="280">
        <f>BH71-[14]AdjSummary!J506</f>
        <v>0</v>
      </c>
      <c r="BI90" s="280">
        <f>BI71-[14]AdjSummary!K506</f>
        <v>0</v>
      </c>
      <c r="BJ90" s="280">
        <f>BJ71-[14]AdjSummary!L506</f>
        <v>0</v>
      </c>
      <c r="BK90" s="280">
        <f>BK71-[14]AdjSummary!M506</f>
        <v>0</v>
      </c>
      <c r="BL90" s="280">
        <f>BL71-[14]AdjSummary!N506</f>
        <v>0</v>
      </c>
      <c r="BM90" s="280">
        <f>BM71-[14]AdjSummary!O506</f>
        <v>0</v>
      </c>
      <c r="BN90" s="280">
        <f>BN71-[14]AdjSummary!P506</f>
        <v>0</v>
      </c>
      <c r="BO90" s="280">
        <f>BO71-[14]AdjSummary!Q506</f>
        <v>0</v>
      </c>
      <c r="BP90" s="280">
        <f>BP71-[14]AdjSummary!R506</f>
        <v>0</v>
      </c>
      <c r="BQ90" s="280">
        <f>BQ71-[14]AdjSummary!S506</f>
        <v>0</v>
      </c>
      <c r="BR90" s="280">
        <f>BR71-[14]AdjSummary!T506</f>
        <v>0</v>
      </c>
      <c r="BS90" s="280">
        <f>BS71-[14]AdjSummary!U506</f>
        <v>0</v>
      </c>
      <c r="BT90" s="280">
        <f>BT71-[14]AdjSummary!V506</f>
        <v>0</v>
      </c>
      <c r="BU90" s="280">
        <f>BU71-[14]AdjSummary!W506</f>
        <v>0</v>
      </c>
      <c r="BV90" s="280">
        <f>BV71-[14]AdjSummary!X506</f>
        <v>0</v>
      </c>
      <c r="BW90" s="280">
        <f>BW71-[14]AdjSummary!D593</f>
        <v>0</v>
      </c>
      <c r="BX90" s="280">
        <f>BX71-[14]AdjSummary!E593</f>
        <v>0</v>
      </c>
    </row>
    <row r="91" spans="1:77" s="72" customFormat="1" x14ac:dyDescent="0.2">
      <c r="A91" s="294"/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280"/>
      <c r="AK91" s="280"/>
      <c r="AL91" s="280"/>
      <c r="AM91" s="280"/>
      <c r="AN91" s="280"/>
      <c r="AO91" s="280"/>
      <c r="AP91" s="280"/>
      <c r="AQ91" s="280"/>
      <c r="AR91" s="280"/>
      <c r="AS91" s="280"/>
      <c r="AT91" s="280"/>
      <c r="AU91" s="280"/>
      <c r="AV91" s="280"/>
      <c r="AW91" s="280"/>
      <c r="AX91" s="280"/>
      <c r="AY91" s="280"/>
      <c r="AZ91" s="280"/>
      <c r="BA91" s="280"/>
      <c r="BB91" s="280"/>
      <c r="BC91" s="280"/>
      <c r="BD91" s="280"/>
      <c r="BE91" s="280"/>
      <c r="BF91" s="280"/>
      <c r="BG91" s="280"/>
      <c r="BH91" s="280"/>
      <c r="BI91" s="280"/>
      <c r="BJ91" s="280"/>
      <c r="BK91" s="280"/>
      <c r="BL91" s="280"/>
      <c r="BM91" s="280"/>
      <c r="BN91" s="280"/>
      <c r="BO91" s="280"/>
      <c r="BP91" s="280"/>
      <c r="BQ91" s="280"/>
      <c r="BR91" s="280"/>
      <c r="BS91" s="280"/>
      <c r="BT91" s="280"/>
      <c r="BU91" s="280"/>
      <c r="BV91" s="280"/>
      <c r="BW91" s="280"/>
      <c r="BX91" s="280"/>
    </row>
    <row r="92" spans="1:77" s="72" customFormat="1" x14ac:dyDescent="0.2">
      <c r="A92" s="294"/>
    </row>
    <row r="93" spans="1:77" s="72" customFormat="1" x14ac:dyDescent="0.2">
      <c r="A93" s="295"/>
      <c r="C93" s="72">
        <f>C87-[14]AdjSummary!D85</f>
        <v>0</v>
      </c>
      <c r="D93" s="72">
        <f>D87-[14]AdjSummary!E85</f>
        <v>0</v>
      </c>
      <c r="E93" s="72">
        <f>E87-[14]AdjSummary!F85</f>
        <v>0</v>
      </c>
      <c r="F93" s="72">
        <f>F87-[14]AdjSummary!G85</f>
        <v>0</v>
      </c>
      <c r="G93" s="72">
        <f>G87-[14]AdjSummary!H85</f>
        <v>0</v>
      </c>
      <c r="H93" s="72">
        <f>H87-[14]AdjSummary!I85</f>
        <v>0</v>
      </c>
      <c r="I93" s="72">
        <f>I87-[14]AdjSummary!J85</f>
        <v>0</v>
      </c>
      <c r="J93" s="72">
        <f>J87-[14]AdjSummary!K85</f>
        <v>0</v>
      </c>
      <c r="K93" s="72">
        <f>K87-[14]AdjSummary!L85</f>
        <v>0</v>
      </c>
      <c r="L93" s="72">
        <f>L87-[14]AdjSummary!D172</f>
        <v>0</v>
      </c>
      <c r="M93" s="72">
        <f>M87-[14]AdjSummary!E172</f>
        <v>0</v>
      </c>
      <c r="N93" s="72">
        <f>N87-[14]AdjSummary!F172</f>
        <v>0</v>
      </c>
      <c r="O93" s="72">
        <f>O87-[14]AdjSummary!G172</f>
        <v>0</v>
      </c>
      <c r="P93" s="72">
        <f>P87-[14]AdjSummary!H172</f>
        <v>0</v>
      </c>
      <c r="Q93" s="72">
        <f>Q87-[14]AdjSummary!I172</f>
        <v>0</v>
      </c>
      <c r="R93" s="72">
        <f>R87-[14]AdjSummary!J172</f>
        <v>0</v>
      </c>
      <c r="S93" s="72">
        <f>S87-[14]AdjSummary!K172</f>
        <v>0</v>
      </c>
      <c r="T93" s="72">
        <f>T87-[14]AdjSummary!L172</f>
        <v>0</v>
      </c>
      <c r="U93" s="72">
        <f>U87-[14]AdjSummary!M172</f>
        <v>-2.2654859931208193E-3</v>
      </c>
      <c r="V93" s="72">
        <f>V87-[14]AdjSummary!N172</f>
        <v>0</v>
      </c>
      <c r="W93" s="72">
        <f>W87-[14]AdjSummary!O172</f>
        <v>-2.8278984915232286E-2</v>
      </c>
      <c r="X93" s="72">
        <f>X87-[14]AdjSummary!P172</f>
        <v>0</v>
      </c>
      <c r="Y93" s="72">
        <f>Y87-[14]AdjSummary!Q172</f>
        <v>0</v>
      </c>
      <c r="Z93" s="72">
        <f>Z87-[14]AdjSummary!R172</f>
        <v>0</v>
      </c>
      <c r="AA93" s="72">
        <f>AA87-[14]AdjSummary!S172</f>
        <v>0</v>
      </c>
      <c r="AB93" s="72">
        <f>AB87-[14]AdjSummary!T172</f>
        <v>0</v>
      </c>
      <c r="AC93" s="72">
        <f>AC87-[14]AdjSummary!U172</f>
        <v>0</v>
      </c>
      <c r="AD93" s="72">
        <f>AD87-[14]AdjSummary!D259</f>
        <v>0</v>
      </c>
      <c r="AE93" s="72">
        <f>AE87-[14]AdjSummary!E259</f>
        <v>0</v>
      </c>
      <c r="AF93" s="72">
        <f>AF87-[14]AdjSummary!F259</f>
        <v>0</v>
      </c>
      <c r="AG93" s="72">
        <f>AG87-[14]AdjSummary!G259</f>
        <v>0</v>
      </c>
      <c r="AH93" s="72">
        <f>AH87-[14]AdjSummary!D346</f>
        <v>0</v>
      </c>
      <c r="AI93" s="72">
        <f>AI87-[14]AdjSummary!E346</f>
        <v>0</v>
      </c>
      <c r="AJ93" s="72">
        <f>AJ87-[14]AdjSummary!F346</f>
        <v>0</v>
      </c>
      <c r="AK93" s="72">
        <f>AK87-[14]AdjSummary!G346</f>
        <v>0</v>
      </c>
      <c r="AL93" s="72">
        <f>AL87-[14]AdjSummary!H346</f>
        <v>0</v>
      </c>
      <c r="AM93" s="72">
        <f>AM87-[14]AdjSummary!I346</f>
        <v>0</v>
      </c>
      <c r="AN93" s="72">
        <f>AN87-[14]AdjSummary!J346</f>
        <v>0</v>
      </c>
      <c r="AO93" s="72">
        <f>AO87-[14]AdjSummary!K346</f>
        <v>0</v>
      </c>
      <c r="AP93" s="72">
        <f>AP87-[14]AdjSummary!L346</f>
        <v>0</v>
      </c>
      <c r="AQ93" s="72">
        <f>AQ87-[14]AdjSummary!M346</f>
        <v>0</v>
      </c>
      <c r="AR93" s="72">
        <f>AR87-[14]AdjSummary!N346</f>
        <v>0</v>
      </c>
      <c r="AS93" s="72">
        <f>AS87-[14]AdjSummary!D436</f>
        <v>1.6240358345385175E-3</v>
      </c>
      <c r="AT93" s="72">
        <f>AT87-[14]AdjSummary!E436</f>
        <v>3.5537502124498133E-2</v>
      </c>
      <c r="AU93" s="72">
        <f>AU87-[14]AdjSummary!F436</f>
        <v>0</v>
      </c>
      <c r="AV93" s="72">
        <f>AV87-[14]AdjSummary!G436</f>
        <v>0</v>
      </c>
      <c r="AW93" s="72">
        <f>AW87-[14]AdjSummary!H436</f>
        <v>0</v>
      </c>
      <c r="AX93" s="72">
        <f>AX87-[14]AdjSummary!I436</f>
        <v>0</v>
      </c>
      <c r="AY93" s="72">
        <f>AY87-[14]AdjSummary!J436</f>
        <v>0</v>
      </c>
      <c r="AZ93" s="72">
        <f>AZ87-[14]AdjSummary!K436</f>
        <v>0</v>
      </c>
      <c r="BA93" s="72">
        <f>BA87-[14]AdjSummary!L436</f>
        <v>0.42849349178140983</v>
      </c>
      <c r="BB93" s="72">
        <f>BB87-[14]AdjSummary!D523</f>
        <v>0</v>
      </c>
      <c r="BC93" s="72">
        <f>BC87-[14]AdjSummary!E523</f>
        <v>0</v>
      </c>
      <c r="BD93" s="72">
        <f>BD87-[14]AdjSummary!F523</f>
        <v>0</v>
      </c>
      <c r="BE93" s="72">
        <f>BE87-[14]AdjSummary!G523</f>
        <v>0</v>
      </c>
      <c r="BF93" s="72">
        <f>BF87-[14]AdjSummary!H523</f>
        <v>0</v>
      </c>
      <c r="BG93" s="72">
        <f>BG87-[14]AdjSummary!I523</f>
        <v>0</v>
      </c>
      <c r="BH93" s="72">
        <f>BH87-[14]AdjSummary!J523</f>
        <v>0</v>
      </c>
      <c r="BI93" s="72">
        <f>BI87-[14]AdjSummary!K523</f>
        <v>0</v>
      </c>
      <c r="BJ93" s="72">
        <f>BJ87-[14]AdjSummary!L523</f>
        <v>0</v>
      </c>
      <c r="BK93" s="72">
        <f>BK87-[14]AdjSummary!M523</f>
        <v>0</v>
      </c>
      <c r="BL93" s="72">
        <f>BL87-[14]AdjSummary!N523</f>
        <v>0</v>
      </c>
      <c r="BM93" s="72">
        <f>BM87-[14]AdjSummary!O523</f>
        <v>0</v>
      </c>
      <c r="BN93" s="72">
        <f>BN87-[14]AdjSummary!P523</f>
        <v>0</v>
      </c>
      <c r="BO93" s="72">
        <f>BO87-[14]AdjSummary!Q523</f>
        <v>0</v>
      </c>
      <c r="BP93" s="72">
        <f>BP87-[14]AdjSummary!R523</f>
        <v>0</v>
      </c>
      <c r="BQ93" s="72">
        <f>BQ87-[14]AdjSummary!S523</f>
        <v>0</v>
      </c>
      <c r="BR93" s="72">
        <f>BR87-[14]AdjSummary!T523</f>
        <v>0</v>
      </c>
      <c r="BS93" s="72">
        <f>BS87-[14]AdjSummary!U523</f>
        <v>0</v>
      </c>
      <c r="BT93" s="72">
        <f>BT87-[14]AdjSummary!V523</f>
        <v>0</v>
      </c>
      <c r="BU93" s="72">
        <f>BU87-[14]AdjSummary!W523</f>
        <v>0</v>
      </c>
      <c r="BV93" s="72">
        <f>BV87-[14]AdjSummary!X523</f>
        <v>0</v>
      </c>
      <c r="BW93" s="72">
        <f>BW87-[14]Results!D1128</f>
        <v>0</v>
      </c>
      <c r="BX93" s="72">
        <f>BX87-[14]Results!E1128</f>
        <v>0</v>
      </c>
    </row>
  </sheetData>
  <mergeCells count="15">
    <mergeCell ref="C7:I7"/>
    <mergeCell ref="J7:K7"/>
    <mergeCell ref="L7:Q7"/>
    <mergeCell ref="R7:X7"/>
    <mergeCell ref="Y7:AC7"/>
    <mergeCell ref="AD7:AE7"/>
    <mergeCell ref="AF7:AG7"/>
    <mergeCell ref="AH7:AK7"/>
    <mergeCell ref="AL7:AQ7"/>
    <mergeCell ref="BW7:BX7"/>
    <mergeCell ref="AS7:AX7"/>
    <mergeCell ref="AY7:BA7"/>
    <mergeCell ref="BB7:BE7"/>
    <mergeCell ref="BF7:BM7"/>
    <mergeCell ref="BN7:BU7"/>
  </mergeCells>
  <pageMargins left="1" right="0.5" top="0.75" bottom="0.5" header="0.4" footer="0.5"/>
  <pageSetup scale="61" firstPageNumber="7" fitToWidth="0" orientation="portrait" useFirstPageNumber="1" r:id="rId1"/>
  <headerFooter alignWithMargins="0">
    <oddHeader>&amp;RPage 1.&amp;P</oddHeader>
  </headerFooter>
  <colBreaks count="5" manualBreakCount="5">
    <brk id="9" min="6" max="86" man="1"/>
    <brk id="17" min="6" max="86" man="1"/>
    <brk id="24" min="6" max="86" man="1"/>
    <brk id="43" min="6" max="86" man="1"/>
    <brk id="73" min="6" max="86" man="1"/>
  </colBreaks>
  <customProperties>
    <customPr name="_pios_id" r:id="rId2"/>
  </customProperties>
  <ignoredErrors>
    <ignoredError sqref="C55:D56 C17:D18 C41:D42 C29 C16 B72:B73 B68:B70 B81 V41:X42 V17:X18 V55:X56 AD55:AD56 AD17:AD18 AD41:AD42 AS55:BE56 AS17:BE18 AS41:BE42 AF55:AL56 AF17:AL18 AF41:AL4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Y93"/>
  <sheetViews>
    <sheetView view="pageBreakPreview" zoomScale="70" zoomScaleNormal="85" zoomScaleSheetLayoutView="70" workbookViewId="0">
      <pane xSplit="2" ySplit="9" topLeftCell="BN10" activePane="bottomRight" state="frozen"/>
      <selection activeCell="BV32" sqref="BV32"/>
      <selection pane="topRight" activeCell="BV32" sqref="BV32"/>
      <selection pane="bottomLeft" activeCell="BV32" sqref="BV32"/>
      <selection pane="bottomRight" activeCell="A5" sqref="A5"/>
    </sheetView>
  </sheetViews>
  <sheetFormatPr defaultRowHeight="12.75" x14ac:dyDescent="0.2"/>
  <cols>
    <col min="1" max="1" width="36" style="2" customWidth="1"/>
    <col min="2" max="2" width="12.28515625" style="15" customWidth="1"/>
    <col min="3" max="3" width="14.7109375" style="15" customWidth="1"/>
    <col min="4" max="5" width="13.7109375" style="15" customWidth="1"/>
    <col min="6" max="6" width="14.42578125" style="15" bestFit="1" customWidth="1"/>
    <col min="7" max="7" width="13.7109375" style="15" customWidth="1"/>
    <col min="8" max="9" width="12.140625" style="2" bestFit="1" customWidth="1"/>
    <col min="10" max="10" width="10.7109375" style="2" customWidth="1"/>
    <col min="11" max="11" width="12.140625" style="15" bestFit="1" customWidth="1"/>
    <col min="12" max="12" width="14" style="15" customWidth="1"/>
    <col min="13" max="17" width="13.7109375" style="15" customWidth="1"/>
    <col min="18" max="19" width="13.7109375" style="2" customWidth="1"/>
    <col min="20" max="20" width="10.5703125" style="2" customWidth="1"/>
    <col min="21" max="21" width="12.42578125" style="2" customWidth="1"/>
    <col min="22" max="22" width="12.85546875" style="2" customWidth="1"/>
    <col min="23" max="24" width="16.140625" style="2" bestFit="1" customWidth="1"/>
    <col min="25" max="25" width="13.85546875" style="2" customWidth="1"/>
    <col min="26" max="26" width="13.42578125" style="2" customWidth="1"/>
    <col min="27" max="27" width="12.42578125" style="2" customWidth="1"/>
    <col min="28" max="28" width="13.140625" style="2" customWidth="1"/>
    <col min="29" max="29" width="14.140625" style="2" customWidth="1"/>
    <col min="30" max="30" width="13.7109375" style="2" customWidth="1"/>
    <col min="31" max="33" width="13.7109375" style="15" customWidth="1"/>
    <col min="34" max="37" width="18.28515625" style="2" bestFit="1" customWidth="1"/>
    <col min="38" max="38" width="16.7109375" style="15" customWidth="1"/>
    <col min="39" max="40" width="15.42578125" style="15" customWidth="1"/>
    <col min="41" max="41" width="15.7109375" style="15" customWidth="1"/>
    <col min="42" max="42" width="16.85546875" style="15" customWidth="1"/>
    <col min="43" max="43" width="16.7109375" style="15" customWidth="1"/>
    <col min="44" max="44" width="18.28515625" style="15" customWidth="1"/>
    <col min="45" max="50" width="13.7109375" style="15" customWidth="1"/>
    <col min="51" max="51" width="16.5703125" style="15" customWidth="1"/>
    <col min="52" max="54" width="13.7109375" style="15" customWidth="1"/>
    <col min="55" max="55" width="16.140625" style="15" customWidth="1"/>
    <col min="56" max="58" width="14.85546875" style="15" customWidth="1"/>
    <col min="59" max="60" width="13.140625" style="15" customWidth="1"/>
    <col min="61" max="61" width="12.85546875" style="15" customWidth="1"/>
    <col min="62" max="64" width="12.140625" style="15" customWidth="1"/>
    <col min="65" max="66" width="13.7109375" style="15" customWidth="1"/>
    <col min="67" max="72" width="12.7109375" style="15" customWidth="1"/>
    <col min="73" max="73" width="12.7109375" style="2" customWidth="1"/>
    <col min="74" max="74" width="14.85546875" style="15" customWidth="1"/>
    <col min="75" max="75" width="17.7109375" style="15" customWidth="1"/>
    <col min="76" max="76" width="18.7109375" style="15" customWidth="1"/>
    <col min="77" max="77" width="12.28515625" style="177" bestFit="1" customWidth="1"/>
    <col min="78" max="16384" width="9.140625" style="15"/>
  </cols>
  <sheetData>
    <row r="1" spans="1:77" x14ac:dyDescent="0.2">
      <c r="A1" s="4" t="s">
        <v>46</v>
      </c>
    </row>
    <row r="2" spans="1:77" s="2" customFormat="1" x14ac:dyDescent="0.2">
      <c r="A2" s="178" t="s">
        <v>292</v>
      </c>
      <c r="BY2" s="72"/>
    </row>
    <row r="3" spans="1:77" s="2" customFormat="1" x14ac:dyDescent="0.2">
      <c r="A3" s="179" t="s">
        <v>348</v>
      </c>
      <c r="BY3" s="72"/>
    </row>
    <row r="4" spans="1:77" s="2" customFormat="1" x14ac:dyDescent="0.2">
      <c r="A4" s="179" t="s">
        <v>387</v>
      </c>
      <c r="BY4" s="72"/>
    </row>
    <row r="5" spans="1:77" s="2" customFormat="1" x14ac:dyDescent="0.2">
      <c r="A5" s="178"/>
      <c r="BY5" s="72"/>
    </row>
    <row r="6" spans="1:77" s="4" customFormat="1" ht="13.5" thickBot="1" x14ac:dyDescent="0.25">
      <c r="A6" s="180"/>
      <c r="G6" s="69"/>
      <c r="H6" s="69"/>
      <c r="I6" s="69"/>
      <c r="J6" s="69"/>
      <c r="K6" s="69"/>
      <c r="P6" s="69"/>
      <c r="AS6" s="69"/>
      <c r="BB6" s="69"/>
      <c r="BY6" s="73"/>
    </row>
    <row r="7" spans="1:77" s="181" customFormat="1" ht="13.5" thickBot="1" x14ac:dyDescent="0.25">
      <c r="A7" s="4"/>
      <c r="B7" s="41"/>
      <c r="C7" s="312" t="s">
        <v>37</v>
      </c>
      <c r="D7" s="314"/>
      <c r="E7" s="314"/>
      <c r="F7" s="314"/>
      <c r="G7" s="314"/>
      <c r="H7" s="314"/>
      <c r="I7" s="313"/>
      <c r="J7" s="312"/>
      <c r="K7" s="313"/>
      <c r="L7" s="312" t="s">
        <v>271</v>
      </c>
      <c r="M7" s="314"/>
      <c r="N7" s="314"/>
      <c r="O7" s="314"/>
      <c r="P7" s="314"/>
      <c r="Q7" s="313"/>
      <c r="R7" s="312" t="s">
        <v>271</v>
      </c>
      <c r="S7" s="314"/>
      <c r="T7" s="314" t="s">
        <v>271</v>
      </c>
      <c r="U7" s="314"/>
      <c r="V7" s="314"/>
      <c r="W7" s="314"/>
      <c r="X7" s="313"/>
      <c r="Y7" s="312"/>
      <c r="Z7" s="314"/>
      <c r="AA7" s="314"/>
      <c r="AB7" s="314"/>
      <c r="AC7" s="313"/>
      <c r="AD7" s="312" t="s">
        <v>38</v>
      </c>
      <c r="AE7" s="313"/>
      <c r="AF7" s="312" t="s">
        <v>331</v>
      </c>
      <c r="AG7" s="314"/>
      <c r="AH7" s="312" t="s">
        <v>254</v>
      </c>
      <c r="AI7" s="314"/>
      <c r="AJ7" s="314"/>
      <c r="AK7" s="313"/>
      <c r="AL7" s="312" t="s">
        <v>254</v>
      </c>
      <c r="AM7" s="314"/>
      <c r="AN7" s="314"/>
      <c r="AO7" s="314"/>
      <c r="AP7" s="314"/>
      <c r="AQ7" s="313"/>
      <c r="AR7" s="304" t="s">
        <v>341</v>
      </c>
      <c r="AS7" s="312" t="s">
        <v>39</v>
      </c>
      <c r="AT7" s="314"/>
      <c r="AU7" s="314"/>
      <c r="AV7" s="314"/>
      <c r="AW7" s="314"/>
      <c r="AX7" s="314"/>
      <c r="AY7" s="314" t="s">
        <v>39</v>
      </c>
      <c r="AZ7" s="314"/>
      <c r="BA7" s="313"/>
      <c r="BB7" s="312" t="s">
        <v>40</v>
      </c>
      <c r="BC7" s="314"/>
      <c r="BD7" s="314"/>
      <c r="BE7" s="314"/>
      <c r="BF7" s="314" t="s">
        <v>40</v>
      </c>
      <c r="BG7" s="314"/>
      <c r="BH7" s="314"/>
      <c r="BI7" s="314"/>
      <c r="BJ7" s="314"/>
      <c r="BK7" s="314"/>
      <c r="BL7" s="314"/>
      <c r="BM7" s="314"/>
      <c r="BN7" s="314" t="s">
        <v>40</v>
      </c>
      <c r="BO7" s="314"/>
      <c r="BP7" s="314"/>
      <c r="BQ7" s="314"/>
      <c r="BR7" s="314"/>
      <c r="BS7" s="314"/>
      <c r="BT7" s="314"/>
      <c r="BU7" s="314"/>
      <c r="BV7" s="296" t="s">
        <v>346</v>
      </c>
      <c r="BW7" s="312" t="s">
        <v>312</v>
      </c>
      <c r="BX7" s="313"/>
      <c r="BY7" s="182"/>
    </row>
    <row r="8" spans="1:77" x14ac:dyDescent="0.2">
      <c r="B8" s="83"/>
      <c r="C8" s="84" t="s">
        <v>0</v>
      </c>
      <c r="D8" s="79" t="s">
        <v>2</v>
      </c>
      <c r="E8" s="79" t="s">
        <v>3</v>
      </c>
      <c r="F8" s="79" t="s">
        <v>4</v>
      </c>
      <c r="G8" s="79" t="s">
        <v>5</v>
      </c>
      <c r="H8" s="79" t="s">
        <v>6</v>
      </c>
      <c r="I8" s="80" t="s">
        <v>191</v>
      </c>
      <c r="J8" s="84" t="s">
        <v>285</v>
      </c>
      <c r="K8" s="80" t="s">
        <v>295</v>
      </c>
      <c r="L8" s="28" t="s">
        <v>1</v>
      </c>
      <c r="M8" s="81" t="s">
        <v>7</v>
      </c>
      <c r="N8" s="81" t="s">
        <v>8</v>
      </c>
      <c r="O8" s="81" t="s">
        <v>9</v>
      </c>
      <c r="P8" s="81" t="s">
        <v>10</v>
      </c>
      <c r="Q8" s="82" t="s">
        <v>11</v>
      </c>
      <c r="R8" s="28" t="s">
        <v>12</v>
      </c>
      <c r="S8" s="81" t="s">
        <v>41</v>
      </c>
      <c r="T8" s="81" t="s">
        <v>193</v>
      </c>
      <c r="U8" s="81" t="s">
        <v>194</v>
      </c>
      <c r="V8" s="81" t="s">
        <v>199</v>
      </c>
      <c r="W8" s="81" t="s">
        <v>296</v>
      </c>
      <c r="X8" s="82" t="s">
        <v>195</v>
      </c>
      <c r="Y8" s="28" t="s">
        <v>297</v>
      </c>
      <c r="Z8" s="81" t="s">
        <v>298</v>
      </c>
      <c r="AA8" s="81" t="s">
        <v>299</v>
      </c>
      <c r="AB8" s="81" t="s">
        <v>300</v>
      </c>
      <c r="AC8" s="82" t="s">
        <v>301</v>
      </c>
      <c r="AD8" s="28" t="s">
        <v>13</v>
      </c>
      <c r="AE8" s="82" t="s">
        <v>201</v>
      </c>
      <c r="AF8" s="28" t="s">
        <v>45</v>
      </c>
      <c r="AG8" s="81" t="s">
        <v>42</v>
      </c>
      <c r="AH8" s="28" t="s">
        <v>14</v>
      </c>
      <c r="AI8" s="79" t="s">
        <v>255</v>
      </c>
      <c r="AJ8" s="79" t="s">
        <v>276</v>
      </c>
      <c r="AK8" s="80" t="s">
        <v>277</v>
      </c>
      <c r="AL8" s="84" t="s">
        <v>278</v>
      </c>
      <c r="AM8" s="79" t="s">
        <v>279</v>
      </c>
      <c r="AN8" s="79" t="s">
        <v>302</v>
      </c>
      <c r="AO8" s="79" t="s">
        <v>303</v>
      </c>
      <c r="AP8" s="79" t="s">
        <v>304</v>
      </c>
      <c r="AQ8" s="80" t="s">
        <v>305</v>
      </c>
      <c r="AR8" s="80" t="s">
        <v>340</v>
      </c>
      <c r="AS8" s="84" t="s">
        <v>15</v>
      </c>
      <c r="AT8" s="79" t="s">
        <v>16</v>
      </c>
      <c r="AU8" s="79" t="s">
        <v>17</v>
      </c>
      <c r="AV8" s="79" t="s">
        <v>18</v>
      </c>
      <c r="AW8" s="79" t="s">
        <v>43</v>
      </c>
      <c r="AX8" s="79" t="s">
        <v>44</v>
      </c>
      <c r="AY8" s="84" t="s">
        <v>202</v>
      </c>
      <c r="AZ8" s="79" t="s">
        <v>19</v>
      </c>
      <c r="BA8" s="79" t="s">
        <v>20</v>
      </c>
      <c r="BB8" s="28" t="s">
        <v>21</v>
      </c>
      <c r="BC8" s="81" t="s">
        <v>22</v>
      </c>
      <c r="BD8" s="81" t="s">
        <v>23</v>
      </c>
      <c r="BE8" s="81" t="s">
        <v>24</v>
      </c>
      <c r="BF8" s="28" t="s">
        <v>310</v>
      </c>
      <c r="BG8" s="81" t="s">
        <v>25</v>
      </c>
      <c r="BH8" s="81" t="s">
        <v>260</v>
      </c>
      <c r="BI8" s="81" t="s">
        <v>26</v>
      </c>
      <c r="BJ8" s="81" t="s">
        <v>27</v>
      </c>
      <c r="BK8" s="81" t="s">
        <v>28</v>
      </c>
      <c r="BL8" s="81" t="s">
        <v>29</v>
      </c>
      <c r="BM8" s="81" t="s">
        <v>206</v>
      </c>
      <c r="BN8" s="28" t="s">
        <v>263</v>
      </c>
      <c r="BO8" s="81" t="s">
        <v>264</v>
      </c>
      <c r="BP8" s="81" t="s">
        <v>265</v>
      </c>
      <c r="BQ8" s="81" t="s">
        <v>266</v>
      </c>
      <c r="BR8" s="81" t="s">
        <v>267</v>
      </c>
      <c r="BS8" s="81" t="s">
        <v>268</v>
      </c>
      <c r="BT8" s="81" t="s">
        <v>269</v>
      </c>
      <c r="BU8" s="81" t="s">
        <v>270</v>
      </c>
      <c r="BV8" s="297" t="s">
        <v>283</v>
      </c>
      <c r="BW8" s="28" t="s">
        <v>280</v>
      </c>
      <c r="BX8" s="82" t="s">
        <v>311</v>
      </c>
    </row>
    <row r="9" spans="1:77" s="183" customFormat="1" ht="104.25" customHeight="1" x14ac:dyDescent="0.2">
      <c r="A9" s="14"/>
      <c r="B9" s="85" t="s">
        <v>332</v>
      </c>
      <c r="C9" s="113" t="s">
        <v>111</v>
      </c>
      <c r="D9" s="116" t="s">
        <v>112</v>
      </c>
      <c r="E9" s="116" t="s">
        <v>116</v>
      </c>
      <c r="F9" s="116" t="s">
        <v>198</v>
      </c>
      <c r="G9" s="116" t="s">
        <v>288</v>
      </c>
      <c r="H9" s="116" t="s">
        <v>251</v>
      </c>
      <c r="I9" s="114" t="s">
        <v>273</v>
      </c>
      <c r="J9" s="113" t="s">
        <v>364</v>
      </c>
      <c r="K9" s="114" t="s">
        <v>294</v>
      </c>
      <c r="L9" s="113" t="s">
        <v>333</v>
      </c>
      <c r="M9" s="116" t="s">
        <v>345</v>
      </c>
      <c r="N9" s="116" t="s">
        <v>344</v>
      </c>
      <c r="O9" s="116" t="s">
        <v>252</v>
      </c>
      <c r="P9" s="116" t="s">
        <v>113</v>
      </c>
      <c r="Q9" s="114" t="s">
        <v>192</v>
      </c>
      <c r="R9" s="113" t="s">
        <v>200</v>
      </c>
      <c r="S9" s="116" t="s">
        <v>253</v>
      </c>
      <c r="T9" s="116" t="s">
        <v>350</v>
      </c>
      <c r="U9" s="116" t="s">
        <v>351</v>
      </c>
      <c r="V9" s="116" t="s">
        <v>365</v>
      </c>
      <c r="W9" s="116" t="s">
        <v>366</v>
      </c>
      <c r="X9" s="114" t="s">
        <v>367</v>
      </c>
      <c r="Y9" s="113" t="s">
        <v>368</v>
      </c>
      <c r="Z9" s="116" t="s">
        <v>369</v>
      </c>
      <c r="AA9" s="116" t="s">
        <v>370</v>
      </c>
      <c r="AB9" s="116" t="s">
        <v>371</v>
      </c>
      <c r="AC9" s="114" t="s">
        <v>372</v>
      </c>
      <c r="AD9" s="113" t="s">
        <v>114</v>
      </c>
      <c r="AE9" s="114" t="s">
        <v>373</v>
      </c>
      <c r="AF9" s="113" t="s">
        <v>117</v>
      </c>
      <c r="AG9" s="116" t="s">
        <v>196</v>
      </c>
      <c r="AH9" s="113" t="s">
        <v>343</v>
      </c>
      <c r="AI9" s="116" t="s">
        <v>374</v>
      </c>
      <c r="AJ9" s="116" t="s">
        <v>375</v>
      </c>
      <c r="AK9" s="114" t="s">
        <v>376</v>
      </c>
      <c r="AL9" s="113" t="s">
        <v>337</v>
      </c>
      <c r="AM9" s="116" t="s">
        <v>338</v>
      </c>
      <c r="AN9" s="116" t="s">
        <v>339</v>
      </c>
      <c r="AO9" s="116" t="s">
        <v>306</v>
      </c>
      <c r="AP9" s="116" t="s">
        <v>307</v>
      </c>
      <c r="AQ9" s="114" t="s">
        <v>308</v>
      </c>
      <c r="AR9" s="116" t="s">
        <v>377</v>
      </c>
      <c r="AS9" s="308" t="s">
        <v>378</v>
      </c>
      <c r="AT9" s="116" t="s">
        <v>379</v>
      </c>
      <c r="AU9" s="116" t="s">
        <v>119</v>
      </c>
      <c r="AV9" s="116" t="s">
        <v>272</v>
      </c>
      <c r="AW9" s="116" t="s">
        <v>256</v>
      </c>
      <c r="AX9" s="116" t="s">
        <v>257</v>
      </c>
      <c r="AY9" s="113" t="s">
        <v>258</v>
      </c>
      <c r="AZ9" s="116" t="s">
        <v>380</v>
      </c>
      <c r="BA9" s="116" t="s">
        <v>259</v>
      </c>
      <c r="BB9" s="113" t="s">
        <v>261</v>
      </c>
      <c r="BC9" s="116" t="s">
        <v>309</v>
      </c>
      <c r="BD9" s="116" t="s">
        <v>115</v>
      </c>
      <c r="BE9" s="116" t="s">
        <v>381</v>
      </c>
      <c r="BF9" s="113" t="s">
        <v>382</v>
      </c>
      <c r="BG9" s="116" t="s">
        <v>383</v>
      </c>
      <c r="BH9" s="116" t="s">
        <v>384</v>
      </c>
      <c r="BI9" s="116" t="s">
        <v>118</v>
      </c>
      <c r="BJ9" s="116" t="s">
        <v>244</v>
      </c>
      <c r="BK9" s="116" t="s">
        <v>334</v>
      </c>
      <c r="BL9" s="116" t="s">
        <v>96</v>
      </c>
      <c r="BM9" s="116" t="s">
        <v>335</v>
      </c>
      <c r="BN9" s="113" t="s">
        <v>363</v>
      </c>
      <c r="BO9" s="116" t="s">
        <v>323</v>
      </c>
      <c r="BP9" s="116" t="s">
        <v>324</v>
      </c>
      <c r="BQ9" s="116" t="s">
        <v>325</v>
      </c>
      <c r="BR9" s="116" t="s">
        <v>326</v>
      </c>
      <c r="BS9" s="116" t="s">
        <v>327</v>
      </c>
      <c r="BT9" s="116" t="s">
        <v>328</v>
      </c>
      <c r="BU9" s="116" t="s">
        <v>329</v>
      </c>
      <c r="BV9" s="298" t="s">
        <v>284</v>
      </c>
      <c r="BW9" s="113" t="s">
        <v>281</v>
      </c>
      <c r="BX9" s="114" t="s">
        <v>385</v>
      </c>
      <c r="BY9" s="184"/>
    </row>
    <row r="10" spans="1:77" x14ac:dyDescent="0.2">
      <c r="B10" s="185"/>
      <c r="C10" s="39"/>
      <c r="D10" s="12"/>
      <c r="E10" s="12"/>
      <c r="F10" s="12"/>
      <c r="G10" s="12"/>
      <c r="H10" s="65"/>
      <c r="I10" s="87"/>
      <c r="J10" s="89"/>
      <c r="K10" s="87"/>
      <c r="L10" s="29"/>
      <c r="M10" s="12"/>
      <c r="N10" s="12"/>
      <c r="O10" s="12"/>
      <c r="P10" s="65"/>
      <c r="Q10" s="86"/>
      <c r="R10" s="89"/>
      <c r="S10" s="65"/>
      <c r="T10" s="65"/>
      <c r="U10" s="65"/>
      <c r="V10" s="65"/>
      <c r="W10" s="65"/>
      <c r="X10" s="87"/>
      <c r="Y10" s="89"/>
      <c r="Z10" s="65"/>
      <c r="AA10" s="65"/>
      <c r="AB10" s="65"/>
      <c r="AC10" s="87"/>
      <c r="AD10" s="29"/>
      <c r="AE10" s="86"/>
      <c r="AF10" s="29"/>
      <c r="AG10" s="12"/>
      <c r="AH10" s="29"/>
      <c r="AI10" s="12"/>
      <c r="AJ10" s="12"/>
      <c r="AK10" s="86"/>
      <c r="AL10" s="29"/>
      <c r="AM10" s="12"/>
      <c r="AN10" s="12"/>
      <c r="AO10" s="12"/>
      <c r="AP10" s="12"/>
      <c r="AQ10" s="86"/>
      <c r="AR10" s="12"/>
      <c r="AS10" s="89"/>
      <c r="AT10" s="65"/>
      <c r="AU10" s="12"/>
      <c r="AV10" s="12"/>
      <c r="AW10" s="12"/>
      <c r="AX10" s="12"/>
      <c r="AY10" s="29"/>
      <c r="AZ10" s="12"/>
      <c r="BA10" s="12"/>
      <c r="BB10" s="29"/>
      <c r="BC10" s="65"/>
      <c r="BD10" s="65"/>
      <c r="BE10" s="65"/>
      <c r="BF10" s="89"/>
      <c r="BG10" s="65"/>
      <c r="BH10" s="12"/>
      <c r="BI10" s="65"/>
      <c r="BJ10" s="65"/>
      <c r="BK10" s="65"/>
      <c r="BL10" s="65"/>
      <c r="BM10" s="65"/>
      <c r="BN10" s="89"/>
      <c r="BO10" s="65"/>
      <c r="BP10" s="65"/>
      <c r="BQ10" s="65"/>
      <c r="BR10" s="65"/>
      <c r="BS10" s="65"/>
      <c r="BT10" s="65"/>
      <c r="BU10" s="65"/>
      <c r="BV10" s="185"/>
      <c r="BW10" s="89"/>
      <c r="BX10" s="87"/>
    </row>
    <row r="11" spans="1:77" x14ac:dyDescent="0.2">
      <c r="A11" s="14" t="s">
        <v>49</v>
      </c>
      <c r="B11" s="88"/>
      <c r="C11" s="29"/>
      <c r="D11" s="12"/>
      <c r="E11" s="12"/>
      <c r="F11" s="12"/>
      <c r="G11" s="12"/>
      <c r="H11" s="12"/>
      <c r="I11" s="86"/>
      <c r="J11" s="29"/>
      <c r="K11" s="86"/>
      <c r="L11" s="29"/>
      <c r="M11" s="12"/>
      <c r="N11" s="12"/>
      <c r="O11" s="12"/>
      <c r="P11" s="12"/>
      <c r="Q11" s="86"/>
      <c r="R11" s="29"/>
      <c r="S11" s="12"/>
      <c r="T11" s="12"/>
      <c r="U11" s="12"/>
      <c r="V11" s="12"/>
      <c r="W11" s="12"/>
      <c r="X11" s="86"/>
      <c r="Y11" s="29"/>
      <c r="Z11" s="12"/>
      <c r="AA11" s="12"/>
      <c r="AB11" s="12"/>
      <c r="AC11" s="86"/>
      <c r="AD11" s="29"/>
      <c r="AE11" s="86"/>
      <c r="AF11" s="29"/>
      <c r="AG11" s="12"/>
      <c r="AH11" s="29"/>
      <c r="AI11" s="12"/>
      <c r="AJ11" s="12"/>
      <c r="AK11" s="86"/>
      <c r="AL11" s="29"/>
      <c r="AM11" s="12"/>
      <c r="AN11" s="12"/>
      <c r="AO11" s="12"/>
      <c r="AP11" s="12"/>
      <c r="AQ11" s="86"/>
      <c r="AR11" s="12"/>
      <c r="AS11" s="29"/>
      <c r="AT11" s="12"/>
      <c r="AU11" s="12"/>
      <c r="AV11" s="12"/>
      <c r="AW11" s="12"/>
      <c r="AX11" s="12"/>
      <c r="AY11" s="29"/>
      <c r="AZ11" s="12"/>
      <c r="BA11" s="12"/>
      <c r="BB11" s="29"/>
      <c r="BC11" s="12"/>
      <c r="BD11" s="12"/>
      <c r="BE11" s="12"/>
      <c r="BF11" s="29"/>
      <c r="BG11" s="12"/>
      <c r="BH11" s="12"/>
      <c r="BI11" s="12"/>
      <c r="BJ11" s="12"/>
      <c r="BK11" s="12"/>
      <c r="BL11" s="12"/>
      <c r="BM11" s="12"/>
      <c r="BN11" s="29"/>
      <c r="BO11" s="12"/>
      <c r="BP11" s="12"/>
      <c r="BQ11" s="12"/>
      <c r="BR11" s="12"/>
      <c r="BS11" s="12"/>
      <c r="BT11" s="12"/>
      <c r="BU11" s="12"/>
      <c r="BV11" s="88"/>
      <c r="BW11" s="29"/>
      <c r="BX11" s="86"/>
    </row>
    <row r="12" spans="1:77" x14ac:dyDescent="0.2">
      <c r="A12" s="14" t="s">
        <v>50</v>
      </c>
      <c r="B12" s="100">
        <f>SUM(C12:BX12)</f>
        <v>3905479.1195230857</v>
      </c>
      <c r="C12" s="31">
        <f>'[1]Page 3.1'!$H$14</f>
        <v>-5692761.2699999996</v>
      </c>
      <c r="D12" s="90">
        <f>'[1]Page 3.2'!$H$14</f>
        <v>-7427584.4312790008</v>
      </c>
      <c r="E12" s="90">
        <f>'[1]Page 3.3'!$H$14</f>
        <v>17025824.820802085</v>
      </c>
      <c r="F12" s="90"/>
      <c r="G12" s="90"/>
      <c r="H12" s="90"/>
      <c r="I12" s="91"/>
      <c r="J12" s="30"/>
      <c r="K12" s="91"/>
      <c r="L12" s="30"/>
      <c r="M12" s="90"/>
      <c r="N12" s="90"/>
      <c r="O12" s="90"/>
      <c r="P12" s="92"/>
      <c r="Q12" s="91"/>
      <c r="R12" s="30"/>
      <c r="S12" s="90"/>
      <c r="T12" s="90"/>
      <c r="U12" s="90"/>
      <c r="V12" s="90"/>
      <c r="W12" s="90"/>
      <c r="X12" s="91"/>
      <c r="Y12" s="30"/>
      <c r="Z12" s="90"/>
      <c r="AA12" s="90"/>
      <c r="AB12" s="90"/>
      <c r="AC12" s="91"/>
      <c r="AD12" s="30"/>
      <c r="AE12" s="91"/>
      <c r="AF12" s="30"/>
      <c r="AG12" s="90"/>
      <c r="AH12" s="31"/>
      <c r="AI12" s="92"/>
      <c r="AJ12" s="92"/>
      <c r="AK12" s="93"/>
      <c r="AL12" s="31"/>
      <c r="AM12" s="92"/>
      <c r="AN12" s="92"/>
      <c r="AO12" s="92"/>
      <c r="AP12" s="92"/>
      <c r="AQ12" s="93"/>
      <c r="AR12" s="92"/>
      <c r="AS12" s="31"/>
      <c r="AT12" s="92"/>
      <c r="AU12" s="92"/>
      <c r="AV12" s="92"/>
      <c r="AW12" s="92"/>
      <c r="AX12" s="92"/>
      <c r="AY12" s="31"/>
      <c r="AZ12" s="92"/>
      <c r="BA12" s="92"/>
      <c r="BB12" s="30"/>
      <c r="BC12" s="90"/>
      <c r="BD12" s="90"/>
      <c r="BE12" s="90"/>
      <c r="BF12" s="30"/>
      <c r="BG12" s="90"/>
      <c r="BH12" s="12"/>
      <c r="BI12" s="90"/>
      <c r="BJ12" s="92"/>
      <c r="BK12" s="92"/>
      <c r="BL12" s="92"/>
      <c r="BM12" s="92"/>
      <c r="BN12" s="31"/>
      <c r="BO12" s="92"/>
      <c r="BP12" s="92"/>
      <c r="BQ12" s="92"/>
      <c r="BR12" s="92"/>
      <c r="BS12" s="92"/>
      <c r="BT12" s="92"/>
      <c r="BU12" s="92"/>
      <c r="BV12" s="299"/>
      <c r="BW12" s="31"/>
      <c r="BX12" s="93"/>
    </row>
    <row r="13" spans="1:77" x14ac:dyDescent="0.2">
      <c r="A13" s="14" t="s">
        <v>51</v>
      </c>
      <c r="B13" s="100">
        <f>SUM(C13:BX13)</f>
        <v>0</v>
      </c>
      <c r="C13" s="31"/>
      <c r="D13" s="92"/>
      <c r="E13" s="92"/>
      <c r="F13" s="92"/>
      <c r="G13" s="92"/>
      <c r="H13" s="90"/>
      <c r="I13" s="91"/>
      <c r="J13" s="30"/>
      <c r="K13" s="91"/>
      <c r="L13" s="31"/>
      <c r="M13" s="92"/>
      <c r="N13" s="92"/>
      <c r="O13" s="92"/>
      <c r="P13" s="92"/>
      <c r="Q13" s="93"/>
      <c r="R13" s="30"/>
      <c r="S13" s="90"/>
      <c r="T13" s="90"/>
      <c r="U13" s="90"/>
      <c r="V13" s="90"/>
      <c r="W13" s="90"/>
      <c r="X13" s="91"/>
      <c r="Y13" s="30"/>
      <c r="Z13" s="90"/>
      <c r="AA13" s="90"/>
      <c r="AB13" s="90"/>
      <c r="AC13" s="91"/>
      <c r="AD13" s="31"/>
      <c r="AE13" s="93"/>
      <c r="AF13" s="31"/>
      <c r="AG13" s="92"/>
      <c r="AH13" s="31"/>
      <c r="AI13" s="92"/>
      <c r="AJ13" s="92"/>
      <c r="AK13" s="93"/>
      <c r="AL13" s="31"/>
      <c r="AM13" s="92"/>
      <c r="AN13" s="92"/>
      <c r="AO13" s="92"/>
      <c r="AP13" s="92"/>
      <c r="AQ13" s="93"/>
      <c r="AR13" s="92"/>
      <c r="AS13" s="31"/>
      <c r="AT13" s="92"/>
      <c r="AU13" s="92"/>
      <c r="AV13" s="92"/>
      <c r="AW13" s="92"/>
      <c r="AX13" s="92"/>
      <c r="AY13" s="31"/>
      <c r="AZ13" s="92"/>
      <c r="BA13" s="92"/>
      <c r="BB13" s="31"/>
      <c r="BC13" s="90"/>
      <c r="BD13" s="90"/>
      <c r="BE13" s="90"/>
      <c r="BF13" s="30"/>
      <c r="BG13" s="90"/>
      <c r="BH13" s="12"/>
      <c r="BI13" s="90"/>
      <c r="BJ13" s="92"/>
      <c r="BK13" s="92"/>
      <c r="BL13" s="92"/>
      <c r="BM13" s="92"/>
      <c r="BN13" s="31"/>
      <c r="BO13" s="92"/>
      <c r="BP13" s="92"/>
      <c r="BQ13" s="92"/>
      <c r="BR13" s="92"/>
      <c r="BS13" s="92"/>
      <c r="BT13" s="92"/>
      <c r="BU13" s="92"/>
      <c r="BV13" s="299"/>
      <c r="BW13" s="31"/>
      <c r="BX13" s="93"/>
    </row>
    <row r="14" spans="1:77" x14ac:dyDescent="0.2">
      <c r="A14" s="14" t="s">
        <v>52</v>
      </c>
      <c r="B14" s="100">
        <f>SUM(C14:BX14)</f>
        <v>49115714.281319283</v>
      </c>
      <c r="C14" s="31"/>
      <c r="D14" s="92"/>
      <c r="E14" s="92"/>
      <c r="F14" s="92"/>
      <c r="G14" s="92"/>
      <c r="H14" s="90"/>
      <c r="I14" s="91"/>
      <c r="J14" s="30"/>
      <c r="K14" s="91"/>
      <c r="L14" s="31"/>
      <c r="M14" s="92"/>
      <c r="N14" s="92"/>
      <c r="O14" s="92"/>
      <c r="P14" s="92"/>
      <c r="Q14" s="93"/>
      <c r="R14" s="30"/>
      <c r="S14" s="90"/>
      <c r="T14" s="90"/>
      <c r="U14" s="90"/>
      <c r="V14" s="90"/>
      <c r="W14" s="90"/>
      <c r="X14" s="91"/>
      <c r="Y14" s="30"/>
      <c r="Z14" s="90"/>
      <c r="AA14" s="90"/>
      <c r="AB14" s="90"/>
      <c r="AC14" s="91"/>
      <c r="AD14" s="31">
        <f>'[2]Page 5.1'!$I$13</f>
        <v>49115714.281319283</v>
      </c>
      <c r="AE14" s="93"/>
      <c r="AF14" s="31"/>
      <c r="AG14" s="92"/>
      <c r="AH14" s="31"/>
      <c r="AI14" s="92"/>
      <c r="AJ14" s="92"/>
      <c r="AK14" s="93"/>
      <c r="AL14" s="31"/>
      <c r="AM14" s="92"/>
      <c r="AN14" s="92"/>
      <c r="AO14" s="92"/>
      <c r="AP14" s="92"/>
      <c r="AQ14" s="93"/>
      <c r="AR14" s="92"/>
      <c r="AS14" s="31"/>
      <c r="AT14" s="92"/>
      <c r="AU14" s="92"/>
      <c r="AV14" s="92"/>
      <c r="AW14" s="92"/>
      <c r="AX14" s="92"/>
      <c r="AY14" s="31"/>
      <c r="AZ14" s="92"/>
      <c r="BA14" s="92"/>
      <c r="BB14" s="31"/>
      <c r="BC14" s="90"/>
      <c r="BD14" s="90"/>
      <c r="BE14" s="90"/>
      <c r="BF14" s="30"/>
      <c r="BG14" s="90"/>
      <c r="BH14" s="12"/>
      <c r="BI14" s="90"/>
      <c r="BJ14" s="92"/>
      <c r="BK14" s="92"/>
      <c r="BL14" s="92"/>
      <c r="BM14" s="92"/>
      <c r="BN14" s="31"/>
      <c r="BO14" s="92"/>
      <c r="BP14" s="92"/>
      <c r="BQ14" s="92"/>
      <c r="BR14" s="92"/>
      <c r="BS14" s="92"/>
      <c r="BT14" s="92"/>
      <c r="BU14" s="92"/>
      <c r="BV14" s="299"/>
      <c r="BW14" s="31"/>
      <c r="BX14" s="93"/>
    </row>
    <row r="15" spans="1:77" x14ac:dyDescent="0.2">
      <c r="A15" s="14" t="s">
        <v>53</v>
      </c>
      <c r="B15" s="100">
        <f>SUM(C15:BX15)</f>
        <v>-5636807.1774237705</v>
      </c>
      <c r="C15" s="31"/>
      <c r="D15" s="92"/>
      <c r="E15" s="92"/>
      <c r="F15" s="92"/>
      <c r="G15" s="92">
        <f>'[3]Page 3.5'!$I$12+'[3]Page 3.5'!$I$14</f>
        <v>-2253339.1310724937</v>
      </c>
      <c r="H15" s="90">
        <f>'[4]Page 3.6'!$I$10</f>
        <v>-213923.19074152302</v>
      </c>
      <c r="I15" s="91"/>
      <c r="J15" s="30"/>
      <c r="K15" s="91">
        <f>'[5]Page 3.9'!$H$11</f>
        <v>-11430.308529090542</v>
      </c>
      <c r="L15" s="31"/>
      <c r="M15" s="92"/>
      <c r="N15" s="92"/>
      <c r="O15" s="92"/>
      <c r="P15" s="92">
        <f>'[6]Page 4.5'!$I$12</f>
        <v>-158114.54708066303</v>
      </c>
      <c r="Q15" s="93"/>
      <c r="R15" s="30"/>
      <c r="S15" s="90"/>
      <c r="T15" s="90"/>
      <c r="U15" s="90"/>
      <c r="V15" s="90"/>
      <c r="W15" s="90"/>
      <c r="X15" s="91"/>
      <c r="Y15" s="30"/>
      <c r="Z15" s="90"/>
      <c r="AA15" s="90"/>
      <c r="AB15" s="90"/>
      <c r="AC15" s="91"/>
      <c r="AD15" s="31"/>
      <c r="AE15" s="93"/>
      <c r="AF15" s="31"/>
      <c r="AG15" s="92"/>
      <c r="AH15" s="31"/>
      <c r="AI15" s="92"/>
      <c r="AJ15" s="92"/>
      <c r="AK15" s="93"/>
      <c r="AL15" s="31"/>
      <c r="AM15" s="92"/>
      <c r="AN15" s="92"/>
      <c r="AO15" s="92"/>
      <c r="AP15" s="92"/>
      <c r="AQ15" s="93"/>
      <c r="AR15" s="92"/>
      <c r="AS15" s="31"/>
      <c r="AT15" s="92"/>
      <c r="AU15" s="92"/>
      <c r="AV15" s="92"/>
      <c r="AW15" s="92"/>
      <c r="AX15" s="92"/>
      <c r="AY15" s="31"/>
      <c r="AZ15" s="92"/>
      <c r="BA15" s="92"/>
      <c r="BB15" s="31"/>
      <c r="BC15" s="90"/>
      <c r="BD15" s="90"/>
      <c r="BE15" s="90"/>
      <c r="BF15" s="30"/>
      <c r="BG15" s="90"/>
      <c r="BH15" s="12"/>
      <c r="BI15" s="90"/>
      <c r="BJ15" s="92"/>
      <c r="BK15" s="92"/>
      <c r="BL15" s="92"/>
      <c r="BM15" s="92">
        <f>'[7]Page 8.10'!$F$10</f>
        <v>-3000000</v>
      </c>
      <c r="BN15" s="31"/>
      <c r="BO15" s="92"/>
      <c r="BP15" s="92"/>
      <c r="BQ15" s="92"/>
      <c r="BR15" s="92"/>
      <c r="BS15" s="92"/>
      <c r="BT15" s="92"/>
      <c r="BU15" s="92"/>
      <c r="BV15" s="299"/>
      <c r="BW15" s="31"/>
      <c r="BX15" s="93"/>
    </row>
    <row r="16" spans="1:77" x14ac:dyDescent="0.2">
      <c r="A16" s="14" t="s">
        <v>54</v>
      </c>
      <c r="B16" s="186">
        <f>SUM(C16:BX16)</f>
        <v>47384386.223418601</v>
      </c>
      <c r="C16" s="32">
        <f>SUM(C12:C15)</f>
        <v>-5692761.2699999996</v>
      </c>
      <c r="D16" s="94">
        <f t="shared" ref="D16:BL16" si="0">SUM(D12:D15)</f>
        <v>-7427584.4312790008</v>
      </c>
      <c r="E16" s="94">
        <f t="shared" ref="E16" si="1">SUM(E12:E15)</f>
        <v>17025824.820802085</v>
      </c>
      <c r="F16" s="94">
        <f t="shared" si="0"/>
        <v>0</v>
      </c>
      <c r="G16" s="94">
        <f t="shared" si="0"/>
        <v>-2253339.1310724937</v>
      </c>
      <c r="H16" s="94">
        <f t="shared" si="0"/>
        <v>-213923.19074152302</v>
      </c>
      <c r="I16" s="95">
        <f t="shared" ref="I16:J16" si="2">SUM(I12:I15)</f>
        <v>0</v>
      </c>
      <c r="J16" s="32">
        <f t="shared" si="2"/>
        <v>0</v>
      </c>
      <c r="K16" s="95">
        <f t="shared" ref="K16" si="3">SUM(K12:K15)</f>
        <v>-11430.308529090542</v>
      </c>
      <c r="L16" s="32">
        <f t="shared" si="0"/>
        <v>0</v>
      </c>
      <c r="M16" s="94">
        <f t="shared" si="0"/>
        <v>0</v>
      </c>
      <c r="N16" s="94">
        <f t="shared" ref="N16:O16" si="4">SUM(N12:N15)</f>
        <v>0</v>
      </c>
      <c r="O16" s="94">
        <f t="shared" si="4"/>
        <v>0</v>
      </c>
      <c r="P16" s="94">
        <f t="shared" si="0"/>
        <v>-158114.54708066303</v>
      </c>
      <c r="Q16" s="95">
        <f t="shared" si="0"/>
        <v>0</v>
      </c>
      <c r="R16" s="32">
        <f t="shared" ref="R16:V16" si="5">SUM(R12:R15)</f>
        <v>0</v>
      </c>
      <c r="S16" s="94">
        <f t="shared" si="5"/>
        <v>0</v>
      </c>
      <c r="T16" s="94">
        <f t="shared" si="5"/>
        <v>0</v>
      </c>
      <c r="U16" s="94">
        <f t="shared" si="5"/>
        <v>0</v>
      </c>
      <c r="V16" s="94">
        <f t="shared" si="5"/>
        <v>0</v>
      </c>
      <c r="W16" s="94">
        <f t="shared" ref="W16" si="6">SUM(W12:W15)</f>
        <v>0</v>
      </c>
      <c r="X16" s="95">
        <f t="shared" ref="X16:AC16" si="7">SUM(X12:X15)</f>
        <v>0</v>
      </c>
      <c r="Y16" s="32"/>
      <c r="Z16" s="94"/>
      <c r="AA16" s="94"/>
      <c r="AB16" s="94"/>
      <c r="AC16" s="95">
        <f t="shared" si="7"/>
        <v>0</v>
      </c>
      <c r="AD16" s="32">
        <f t="shared" ref="AD16:AF16" si="8">SUM(AD12:AD15)</f>
        <v>49115714.281319283</v>
      </c>
      <c r="AE16" s="95">
        <f t="shared" si="8"/>
        <v>0</v>
      </c>
      <c r="AF16" s="32">
        <f t="shared" si="8"/>
        <v>0</v>
      </c>
      <c r="AG16" s="94">
        <f t="shared" ref="AG16:AK16" si="9">SUM(AG12:AG15)</f>
        <v>0</v>
      </c>
      <c r="AH16" s="32">
        <f t="shared" ref="AH16:AI16" si="10">SUM(AH12:AH15)</f>
        <v>0</v>
      </c>
      <c r="AI16" s="94">
        <f t="shared" si="10"/>
        <v>0</v>
      </c>
      <c r="AJ16" s="94">
        <f t="shared" ref="AJ16" si="11">SUM(AJ12:AJ15)</f>
        <v>0</v>
      </c>
      <c r="AK16" s="95">
        <f t="shared" si="9"/>
        <v>0</v>
      </c>
      <c r="AL16" s="32">
        <f t="shared" si="0"/>
        <v>0</v>
      </c>
      <c r="AM16" s="94">
        <f t="shared" ref="AM16:AR16" si="12">SUM(AM12:AM15)</f>
        <v>0</v>
      </c>
      <c r="AN16" s="94">
        <f t="shared" ref="AN16:AP16" si="13">SUM(AN12:AN15)</f>
        <v>0</v>
      </c>
      <c r="AO16" s="94">
        <f t="shared" si="13"/>
        <v>0</v>
      </c>
      <c r="AP16" s="94">
        <f t="shared" si="13"/>
        <v>0</v>
      </c>
      <c r="AQ16" s="95">
        <f t="shared" si="12"/>
        <v>0</v>
      </c>
      <c r="AR16" s="94">
        <f t="shared" si="12"/>
        <v>0</v>
      </c>
      <c r="AS16" s="32">
        <f t="shared" si="0"/>
        <v>0</v>
      </c>
      <c r="AT16" s="94">
        <f t="shared" ref="AT16" si="14">SUM(AT12:AT15)</f>
        <v>0</v>
      </c>
      <c r="AU16" s="94">
        <f t="shared" si="0"/>
        <v>0</v>
      </c>
      <c r="AV16" s="94">
        <f t="shared" ref="AV16" si="15">SUM(AV12:AV15)</f>
        <v>0</v>
      </c>
      <c r="AW16" s="94">
        <f t="shared" si="0"/>
        <v>0</v>
      </c>
      <c r="AX16" s="94">
        <f t="shared" si="0"/>
        <v>0</v>
      </c>
      <c r="AY16" s="32">
        <f t="shared" ref="AY16" si="16">SUM(AY12:AY15)</f>
        <v>0</v>
      </c>
      <c r="AZ16" s="94">
        <f t="shared" ref="AZ16" si="17">SUM(AZ12:AZ15)</f>
        <v>0</v>
      </c>
      <c r="BA16" s="94">
        <f t="shared" ref="BA16" si="18">SUM(BA12:BA15)</f>
        <v>0</v>
      </c>
      <c r="BB16" s="32">
        <f t="shared" si="0"/>
        <v>0</v>
      </c>
      <c r="BC16" s="94">
        <f t="shared" si="0"/>
        <v>0</v>
      </c>
      <c r="BD16" s="94">
        <f t="shared" si="0"/>
        <v>0</v>
      </c>
      <c r="BE16" s="94">
        <f t="shared" si="0"/>
        <v>0</v>
      </c>
      <c r="BF16" s="32">
        <f t="shared" ref="BF16" si="19">SUM(BF12:BF15)</f>
        <v>0</v>
      </c>
      <c r="BG16" s="94">
        <f t="shared" ref="BG16" si="20">SUM(BG12:BG15)</f>
        <v>0</v>
      </c>
      <c r="BH16" s="94">
        <f t="shared" si="0"/>
        <v>0</v>
      </c>
      <c r="BI16" s="94">
        <f t="shared" si="0"/>
        <v>0</v>
      </c>
      <c r="BJ16" s="94">
        <f t="shared" si="0"/>
        <v>0</v>
      </c>
      <c r="BK16" s="94">
        <f t="shared" ref="BK16" si="21">SUM(BK12:BK15)</f>
        <v>0</v>
      </c>
      <c r="BL16" s="94">
        <f t="shared" si="0"/>
        <v>0</v>
      </c>
      <c r="BM16" s="94">
        <f t="shared" ref="BM16:BS16" si="22">SUM(BM12:BM15)</f>
        <v>-3000000</v>
      </c>
      <c r="BN16" s="32">
        <f t="shared" si="22"/>
        <v>0</v>
      </c>
      <c r="BO16" s="94">
        <f t="shared" si="22"/>
        <v>0</v>
      </c>
      <c r="BP16" s="94">
        <f t="shared" si="22"/>
        <v>0</v>
      </c>
      <c r="BQ16" s="94">
        <f t="shared" ref="BQ16:BR16" si="23">SUM(BQ12:BQ15)</f>
        <v>0</v>
      </c>
      <c r="BR16" s="94">
        <f t="shared" si="23"/>
        <v>0</v>
      </c>
      <c r="BS16" s="94">
        <f t="shared" si="22"/>
        <v>0</v>
      </c>
      <c r="BT16" s="94">
        <f t="shared" ref="BT16:BU16" si="24">SUM(BT12:BT15)</f>
        <v>0</v>
      </c>
      <c r="BU16" s="94">
        <f t="shared" si="24"/>
        <v>0</v>
      </c>
      <c r="BV16" s="186">
        <f t="shared" ref="BV16" si="25">SUM(BV12:BV15)</f>
        <v>0</v>
      </c>
      <c r="BW16" s="32">
        <f t="shared" ref="BW16" si="26">SUM(BW12:BW15)</f>
        <v>0</v>
      </c>
      <c r="BX16" s="95">
        <f t="shared" ref="BX16" si="27">SUM(BX12:BX15)</f>
        <v>0</v>
      </c>
    </row>
    <row r="17" spans="1:77" x14ac:dyDescent="0.2">
      <c r="A17" s="14"/>
      <c r="B17" s="88"/>
      <c r="C17" s="29"/>
      <c r="D17" s="12"/>
      <c r="E17" s="12"/>
      <c r="F17" s="12"/>
      <c r="G17" s="12"/>
      <c r="H17" s="12"/>
      <c r="I17" s="86"/>
      <c r="J17" s="29"/>
      <c r="K17" s="86"/>
      <c r="L17" s="29"/>
      <c r="M17" s="12"/>
      <c r="N17" s="12"/>
      <c r="O17" s="12"/>
      <c r="P17" s="12"/>
      <c r="Q17" s="86"/>
      <c r="R17" s="29"/>
      <c r="S17" s="12"/>
      <c r="T17" s="12"/>
      <c r="U17" s="12"/>
      <c r="V17" s="12"/>
      <c r="W17" s="12"/>
      <c r="X17" s="86"/>
      <c r="Y17" s="29"/>
      <c r="Z17" s="12"/>
      <c r="AA17" s="12"/>
      <c r="AB17" s="12"/>
      <c r="AC17" s="86"/>
      <c r="AD17" s="29"/>
      <c r="AE17" s="86"/>
      <c r="AF17" s="29"/>
      <c r="AG17" s="12"/>
      <c r="AH17" s="29"/>
      <c r="AI17" s="12"/>
      <c r="AJ17" s="12"/>
      <c r="AK17" s="86"/>
      <c r="AL17" s="29"/>
      <c r="AM17" s="12"/>
      <c r="AN17" s="12"/>
      <c r="AO17" s="12"/>
      <c r="AP17" s="12"/>
      <c r="AQ17" s="86"/>
      <c r="AR17" s="12"/>
      <c r="AS17" s="29"/>
      <c r="AT17" s="12"/>
      <c r="AU17" s="12"/>
      <c r="AV17" s="12"/>
      <c r="AW17" s="12"/>
      <c r="AX17" s="12"/>
      <c r="AY17" s="29"/>
      <c r="AZ17" s="12"/>
      <c r="BA17" s="12"/>
      <c r="BB17" s="29"/>
      <c r="BC17" s="12"/>
      <c r="BD17" s="12"/>
      <c r="BE17" s="12"/>
      <c r="BF17" s="29"/>
      <c r="BG17" s="12"/>
      <c r="BH17" s="12"/>
      <c r="BI17" s="12"/>
      <c r="BJ17" s="12"/>
      <c r="BK17" s="12"/>
      <c r="BL17" s="12"/>
      <c r="BM17" s="12"/>
      <c r="BN17" s="29"/>
      <c r="BO17" s="12"/>
      <c r="BP17" s="12"/>
      <c r="BQ17" s="12"/>
      <c r="BR17" s="12"/>
      <c r="BS17" s="12"/>
      <c r="BT17" s="12"/>
      <c r="BU17" s="12"/>
      <c r="BV17" s="88"/>
      <c r="BW17" s="29"/>
      <c r="BX17" s="86"/>
      <c r="BY17" s="15"/>
    </row>
    <row r="18" spans="1:77" x14ac:dyDescent="0.2">
      <c r="A18" s="14" t="s">
        <v>55</v>
      </c>
      <c r="B18" s="88"/>
      <c r="C18" s="29"/>
      <c r="D18" s="12"/>
      <c r="E18" s="12"/>
      <c r="F18" s="12"/>
      <c r="G18" s="12"/>
      <c r="H18" s="12"/>
      <c r="I18" s="86"/>
      <c r="J18" s="29"/>
      <c r="K18" s="86"/>
      <c r="L18" s="29"/>
      <c r="M18" s="12"/>
      <c r="N18" s="12"/>
      <c r="O18" s="12"/>
      <c r="P18" s="12"/>
      <c r="Q18" s="86"/>
      <c r="R18" s="29"/>
      <c r="S18" s="12"/>
      <c r="T18" s="12"/>
      <c r="U18" s="12"/>
      <c r="V18" s="12"/>
      <c r="W18" s="12"/>
      <c r="X18" s="86"/>
      <c r="Y18" s="29"/>
      <c r="Z18" s="12"/>
      <c r="AA18" s="12"/>
      <c r="AB18" s="12"/>
      <c r="AC18" s="86"/>
      <c r="AD18" s="29"/>
      <c r="AE18" s="86"/>
      <c r="AF18" s="29"/>
      <c r="AG18" s="12"/>
      <c r="AH18" s="29"/>
      <c r="AI18" s="12"/>
      <c r="AJ18" s="12"/>
      <c r="AK18" s="86"/>
      <c r="AL18" s="29"/>
      <c r="AM18" s="12"/>
      <c r="AN18" s="12"/>
      <c r="AO18" s="12"/>
      <c r="AP18" s="12"/>
      <c r="AQ18" s="86"/>
      <c r="AR18" s="12"/>
      <c r="AS18" s="30"/>
      <c r="AT18" s="12"/>
      <c r="AU18" s="12"/>
      <c r="AV18" s="12"/>
      <c r="AW18" s="12"/>
      <c r="AX18" s="12"/>
      <c r="AY18" s="29"/>
      <c r="AZ18" s="12"/>
      <c r="BA18" s="12"/>
      <c r="BB18" s="29"/>
      <c r="BC18" s="12"/>
      <c r="BD18" s="12"/>
      <c r="BE18" s="12"/>
      <c r="BF18" s="29"/>
      <c r="BG18" s="12"/>
      <c r="BH18" s="12"/>
      <c r="BI18" s="12"/>
      <c r="BJ18" s="12"/>
      <c r="BK18" s="12"/>
      <c r="BL18" s="12"/>
      <c r="BM18" s="12"/>
      <c r="BN18" s="29"/>
      <c r="BO18" s="12"/>
      <c r="BP18" s="12"/>
      <c r="BQ18" s="12"/>
      <c r="BR18" s="12"/>
      <c r="BS18" s="12"/>
      <c r="BT18" s="12"/>
      <c r="BU18" s="12"/>
      <c r="BV18" s="88"/>
      <c r="BW18" s="29"/>
      <c r="BX18" s="86"/>
      <c r="BY18" s="15"/>
    </row>
    <row r="19" spans="1:77" x14ac:dyDescent="0.2">
      <c r="A19" s="14" t="s">
        <v>56</v>
      </c>
      <c r="B19" s="100">
        <f t="shared" ref="B19:B38" si="28">SUM(C19:BX19)</f>
        <v>2343666.6061982932</v>
      </c>
      <c r="C19" s="31"/>
      <c r="D19" s="92"/>
      <c r="E19" s="92"/>
      <c r="F19" s="92"/>
      <c r="G19" s="92"/>
      <c r="H19" s="90"/>
      <c r="I19" s="91"/>
      <c r="J19" s="30"/>
      <c r="K19" s="91"/>
      <c r="L19" s="31"/>
      <c r="M19" s="92">
        <f>SUM('[8]Page 4.2'!$I$9:$I$18)</f>
        <v>-8712.2506004676943</v>
      </c>
      <c r="N19" s="92"/>
      <c r="O19" s="92"/>
      <c r="P19" s="92">
        <f>'[6]Page 4.5'!$I$10</f>
        <v>-2677.954313646268</v>
      </c>
      <c r="Q19" s="93"/>
      <c r="R19" s="30"/>
      <c r="S19" s="90"/>
      <c r="T19" s="90"/>
      <c r="U19" s="90"/>
      <c r="V19" s="90">
        <f>'[9]Page 4.11 - 4.11.1'!$I$15+'[9]Page 4.11 - 4.11.1'!$I$16</f>
        <v>8569.2274704591728</v>
      </c>
      <c r="W19" s="90"/>
      <c r="X19" s="91"/>
      <c r="Y19" s="30"/>
      <c r="Z19" s="90"/>
      <c r="AA19" s="90"/>
      <c r="AB19" s="90"/>
      <c r="AC19" s="91"/>
      <c r="AD19" s="31">
        <f>'[2]Page 5.1'!$I$30</f>
        <v>2396809.2475024615</v>
      </c>
      <c r="AE19" s="93"/>
      <c r="AF19" s="31"/>
      <c r="AG19" s="92"/>
      <c r="AH19" s="31"/>
      <c r="AI19" s="92"/>
      <c r="AJ19" s="92"/>
      <c r="AK19" s="93"/>
      <c r="AL19" s="31"/>
      <c r="AM19" s="92"/>
      <c r="AN19" s="92"/>
      <c r="AO19" s="92">
        <f>SUM('[10]Page 6.4'!$I$9:$I$19)</f>
        <v>-16247.501258986522</v>
      </c>
      <c r="AP19" s="92">
        <f>SUM('[10]Page 6.4.1'!$I$11:$I$12)</f>
        <v>-34074.162601527518</v>
      </c>
      <c r="AQ19" s="93"/>
      <c r="AR19" s="92"/>
      <c r="AS19" s="31"/>
      <c r="AT19" s="92"/>
      <c r="AU19" s="92"/>
      <c r="AV19" s="92"/>
      <c r="AW19" s="92"/>
      <c r="AX19" s="92"/>
      <c r="AY19" s="31"/>
      <c r="AZ19" s="92"/>
      <c r="BA19" s="92"/>
      <c r="BB19" s="31"/>
      <c r="BC19" s="90"/>
      <c r="BD19" s="90"/>
      <c r="BE19" s="90"/>
      <c r="BF19" s="30"/>
      <c r="BG19" s="90"/>
      <c r="BH19" s="12"/>
      <c r="BI19" s="90"/>
      <c r="BJ19" s="92"/>
      <c r="BK19" s="92"/>
      <c r="BL19" s="92"/>
      <c r="BM19" s="92"/>
      <c r="BN19" s="31"/>
      <c r="BO19" s="92"/>
      <c r="BP19" s="92"/>
      <c r="BQ19" s="92"/>
      <c r="BR19" s="92"/>
      <c r="BS19" s="92"/>
      <c r="BT19" s="92"/>
      <c r="BU19" s="92"/>
      <c r="BV19" s="299"/>
      <c r="BW19" s="31"/>
      <c r="BX19" s="93"/>
      <c r="BY19" s="15"/>
    </row>
    <row r="20" spans="1:77" x14ac:dyDescent="0.2">
      <c r="A20" s="14" t="s">
        <v>57</v>
      </c>
      <c r="B20" s="100">
        <f t="shared" si="28"/>
        <v>0</v>
      </c>
      <c r="C20" s="31"/>
      <c r="D20" s="92"/>
      <c r="E20" s="92"/>
      <c r="F20" s="92"/>
      <c r="G20" s="92"/>
      <c r="H20" s="90"/>
      <c r="I20" s="91"/>
      <c r="J20" s="30"/>
      <c r="K20" s="91"/>
      <c r="L20" s="31"/>
      <c r="M20" s="92"/>
      <c r="N20" s="92"/>
      <c r="O20" s="92"/>
      <c r="P20" s="92"/>
      <c r="Q20" s="93"/>
      <c r="R20" s="30"/>
      <c r="S20" s="90"/>
      <c r="T20" s="90"/>
      <c r="U20" s="90"/>
      <c r="V20" s="90"/>
      <c r="W20" s="90"/>
      <c r="X20" s="91"/>
      <c r="Y20" s="30"/>
      <c r="Z20" s="90"/>
      <c r="AA20" s="90"/>
      <c r="AB20" s="90"/>
      <c r="AC20" s="91"/>
      <c r="AD20" s="31"/>
      <c r="AE20" s="93"/>
      <c r="AF20" s="31"/>
      <c r="AG20" s="92"/>
      <c r="AH20" s="31"/>
      <c r="AI20" s="92"/>
      <c r="AJ20" s="92"/>
      <c r="AK20" s="93"/>
      <c r="AL20" s="31"/>
      <c r="AM20" s="92"/>
      <c r="AN20" s="92"/>
      <c r="AO20" s="92"/>
      <c r="AP20" s="92"/>
      <c r="AQ20" s="93"/>
      <c r="AR20" s="92"/>
      <c r="AS20" s="31"/>
      <c r="AT20" s="92"/>
      <c r="AU20" s="92"/>
      <c r="AV20" s="92"/>
      <c r="AW20" s="92"/>
      <c r="AX20" s="92"/>
      <c r="AY20" s="31"/>
      <c r="AZ20" s="92"/>
      <c r="BA20" s="92"/>
      <c r="BB20" s="31"/>
      <c r="BC20" s="90"/>
      <c r="BD20" s="90"/>
      <c r="BE20" s="90"/>
      <c r="BF20" s="30"/>
      <c r="BG20" s="90"/>
      <c r="BH20" s="12"/>
      <c r="BI20" s="90"/>
      <c r="BJ20" s="92"/>
      <c r="BK20" s="92"/>
      <c r="BL20" s="92"/>
      <c r="BM20" s="92"/>
      <c r="BN20" s="31"/>
      <c r="BO20" s="92"/>
      <c r="BP20" s="92"/>
      <c r="BQ20" s="92"/>
      <c r="BR20" s="92"/>
      <c r="BS20" s="92"/>
      <c r="BT20" s="92"/>
      <c r="BU20" s="92"/>
      <c r="BV20" s="299"/>
      <c r="BW20" s="31"/>
      <c r="BX20" s="93"/>
      <c r="BY20" s="15"/>
    </row>
    <row r="21" spans="1:77" x14ac:dyDescent="0.2">
      <c r="A21" s="14" t="s">
        <v>58</v>
      </c>
      <c r="B21" s="100">
        <f t="shared" si="28"/>
        <v>-28190.057298298911</v>
      </c>
      <c r="C21" s="31"/>
      <c r="D21" s="92"/>
      <c r="E21" s="92"/>
      <c r="F21" s="92"/>
      <c r="G21" s="92"/>
      <c r="H21" s="90"/>
      <c r="I21" s="91"/>
      <c r="J21" s="30"/>
      <c r="K21" s="91"/>
      <c r="L21" s="31"/>
      <c r="M21" s="92">
        <f>SUM('[8]Page 4.2'!$I$19:$I$22)</f>
        <v>-4029.4565351827396</v>
      </c>
      <c r="N21" s="92"/>
      <c r="O21" s="92"/>
      <c r="P21" s="92"/>
      <c r="Q21" s="93"/>
      <c r="R21" s="39"/>
      <c r="V21" s="2">
        <f>'[9]Page 4.11 - 4.11.1'!$I$20</f>
        <v>-343.38767399739129</v>
      </c>
      <c r="X21" s="309"/>
      <c r="Y21" s="39"/>
      <c r="AC21" s="309"/>
      <c r="AD21" s="31"/>
      <c r="AE21" s="93"/>
      <c r="AF21" s="31"/>
      <c r="AG21" s="92"/>
      <c r="AH21" s="31"/>
      <c r="AI21" s="92"/>
      <c r="AJ21" s="92"/>
      <c r="AK21" s="93"/>
      <c r="AL21" s="31"/>
      <c r="AM21" s="92"/>
      <c r="AN21" s="92"/>
      <c r="AO21" s="92">
        <f>SUM('[10]Page 6.4'!$I$19:$I$22)</f>
        <v>-7514.5451078850419</v>
      </c>
      <c r="AP21" s="92">
        <f>SUM('[10]Page 6.4.1'!$I$13:$I$14)</f>
        <v>-9318.4374022659995</v>
      </c>
      <c r="AQ21" s="93"/>
      <c r="AR21" s="92"/>
      <c r="AS21" s="31"/>
      <c r="AT21" s="92"/>
      <c r="AU21" s="92"/>
      <c r="AV21" s="92"/>
      <c r="AW21" s="92"/>
      <c r="AX21" s="92"/>
      <c r="AY21" s="31"/>
      <c r="AZ21" s="92"/>
      <c r="BA21" s="92"/>
      <c r="BB21" s="31"/>
      <c r="BC21" s="90"/>
      <c r="BD21" s="90"/>
      <c r="BE21" s="90"/>
      <c r="BF21" s="30"/>
      <c r="BG21" s="90"/>
      <c r="BH21" s="12"/>
      <c r="BI21" s="90"/>
      <c r="BJ21" s="92"/>
      <c r="BK21" s="92"/>
      <c r="BL21" s="92"/>
      <c r="BM21" s="92"/>
      <c r="BN21" s="31">
        <f>'[11]Page 8.11'!$I$31</f>
        <v>-6984.2305789677403</v>
      </c>
      <c r="BO21" s="92"/>
      <c r="BP21" s="92"/>
      <c r="BQ21" s="92"/>
      <c r="BR21" s="92"/>
      <c r="BS21" s="92"/>
      <c r="BT21" s="92"/>
      <c r="BU21" s="92"/>
      <c r="BV21" s="299"/>
      <c r="BW21" s="31"/>
      <c r="BX21" s="93"/>
      <c r="BY21" s="15"/>
    </row>
    <row r="22" spans="1:77" x14ac:dyDescent="0.2">
      <c r="A22" s="14" t="s">
        <v>59</v>
      </c>
      <c r="B22" s="100">
        <f t="shared" si="28"/>
        <v>34773731.224899374</v>
      </c>
      <c r="C22" s="31"/>
      <c r="D22" s="92"/>
      <c r="E22" s="92"/>
      <c r="F22" s="92"/>
      <c r="G22" s="92"/>
      <c r="H22" s="90"/>
      <c r="I22" s="91"/>
      <c r="J22" s="30"/>
      <c r="K22" s="91"/>
      <c r="L22" s="31">
        <f>'[12]Page 4.1'!$I$26</f>
        <v>-571.03068678181455</v>
      </c>
      <c r="M22" s="92">
        <f>SUM('[8]Page 4.2'!$I$23:$I$32)</f>
        <v>-4861.784858658717</v>
      </c>
      <c r="N22" s="92"/>
      <c r="O22" s="92">
        <f>'[13]Page 4.4'!$I$9</f>
        <v>-5011.1464766640465</v>
      </c>
      <c r="P22" s="92"/>
      <c r="Q22" s="93"/>
      <c r="R22" s="30">
        <f>[14]OM!$I$389</f>
        <v>-39319.478067078089</v>
      </c>
      <c r="S22" s="90"/>
      <c r="T22" s="90"/>
      <c r="U22" s="90"/>
      <c r="V22" s="90">
        <f>'[9]Page 4.11 - 4.11.1'!$I$23+'[9]Page 4.11 - 4.11.1'!$I$25</f>
        <v>-61551.156267190818</v>
      </c>
      <c r="W22" s="90"/>
      <c r="X22" s="91"/>
      <c r="Y22" s="30"/>
      <c r="Z22" s="90"/>
      <c r="AA22" s="90"/>
      <c r="AB22" s="90"/>
      <c r="AC22" s="91"/>
      <c r="AD22" s="31">
        <f>'[2]Page 5.1'!$I$19+'[2]Page 5.1'!$I$20+'[2]Page 5.1'!$I$31</f>
        <v>34894112.577853382</v>
      </c>
      <c r="AE22" s="93"/>
      <c r="AF22" s="31"/>
      <c r="AG22" s="92"/>
      <c r="AH22" s="31"/>
      <c r="AI22" s="92"/>
      <c r="AJ22" s="92"/>
      <c r="AK22" s="93"/>
      <c r="AL22" s="31"/>
      <c r="AM22" s="92"/>
      <c r="AN22" s="92"/>
      <c r="AO22" s="92">
        <f>SUM('[10]Page 6.4'!$I$23:$I$32)</f>
        <v>-9066.7565976280148</v>
      </c>
      <c r="AP22" s="92"/>
      <c r="AQ22" s="93"/>
      <c r="AR22" s="92"/>
      <c r="AS22" s="31"/>
      <c r="AT22" s="92"/>
      <c r="AU22" s="92"/>
      <c r="AV22" s="92"/>
      <c r="AW22" s="92"/>
      <c r="AX22" s="92"/>
      <c r="AY22" s="31"/>
      <c r="AZ22" s="92"/>
      <c r="BA22" s="92"/>
      <c r="BB22" s="31"/>
      <c r="BC22" s="90"/>
      <c r="BD22" s="90"/>
      <c r="BE22" s="90"/>
      <c r="BF22" s="30"/>
      <c r="BG22" s="90"/>
      <c r="BH22" s="12"/>
      <c r="BI22" s="90"/>
      <c r="BJ22" s="92"/>
      <c r="BK22" s="92"/>
      <c r="BL22" s="92"/>
      <c r="BM22" s="92"/>
      <c r="BN22" s="31"/>
      <c r="BO22" s="92"/>
      <c r="BP22" s="92"/>
      <c r="BQ22" s="92"/>
      <c r="BR22" s="92"/>
      <c r="BS22" s="92"/>
      <c r="BT22" s="92"/>
      <c r="BU22" s="92"/>
      <c r="BV22" s="299"/>
      <c r="BW22" s="31"/>
      <c r="BX22" s="93"/>
      <c r="BY22" s="15"/>
    </row>
    <row r="23" spans="1:77" x14ac:dyDescent="0.2">
      <c r="A23" s="14" t="s">
        <v>60</v>
      </c>
      <c r="B23" s="100">
        <f t="shared" si="28"/>
        <v>303885.87602022506</v>
      </c>
      <c r="C23" s="31"/>
      <c r="D23" s="92"/>
      <c r="E23" s="92"/>
      <c r="F23" s="92"/>
      <c r="G23" s="92"/>
      <c r="H23" s="90">
        <f>'[15]Page 3.6'!$I$16</f>
        <v>-112129.56683175203</v>
      </c>
      <c r="I23" s="91"/>
      <c r="J23" s="30"/>
      <c r="K23" s="91"/>
      <c r="L23" s="31"/>
      <c r="M23" s="92">
        <f>SUM('[8]Page 4.2'!$I$33:$I$40)</f>
        <v>-2511.5814009299925</v>
      </c>
      <c r="N23" s="92"/>
      <c r="O23" s="92"/>
      <c r="P23" s="92"/>
      <c r="Q23" s="93"/>
      <c r="R23" s="30">
        <f>[14]OM!$I$387</f>
        <v>118385.44187176228</v>
      </c>
      <c r="S23" s="90"/>
      <c r="T23" s="90"/>
      <c r="U23" s="90"/>
      <c r="V23" s="90">
        <f>'[9]Page 4.11 - 4.11.1'!$I$29</f>
        <v>-5247.3435211022797</v>
      </c>
      <c r="W23" s="90"/>
      <c r="X23" s="91"/>
      <c r="Y23" s="30"/>
      <c r="Z23" s="90"/>
      <c r="AA23" s="90"/>
      <c r="AB23" s="90"/>
      <c r="AC23" s="91"/>
      <c r="AD23" s="31">
        <f>'[2]Page 5.1'!$I$25</f>
        <v>310072.78129679535</v>
      </c>
      <c r="AE23" s="93"/>
      <c r="AF23" s="31"/>
      <c r="AG23" s="92"/>
      <c r="AH23" s="31"/>
      <c r="AI23" s="92"/>
      <c r="AJ23" s="92"/>
      <c r="AK23" s="93"/>
      <c r="AL23" s="31"/>
      <c r="AM23" s="92"/>
      <c r="AN23" s="92"/>
      <c r="AO23" s="92">
        <f>SUM('[10]Page 6.4'!$I$33:$I$40)</f>
        <v>-4683.855394548289</v>
      </c>
      <c r="AP23" s="92"/>
      <c r="AQ23" s="93"/>
      <c r="AR23" s="92"/>
      <c r="AS23" s="31"/>
      <c r="AT23" s="92"/>
      <c r="AU23" s="92"/>
      <c r="AV23" s="92"/>
      <c r="AW23" s="92"/>
      <c r="AX23" s="92"/>
      <c r="AY23" s="31"/>
      <c r="AZ23" s="92"/>
      <c r="BA23" s="92"/>
      <c r="BB23" s="31"/>
      <c r="BC23" s="90"/>
      <c r="BD23" s="90"/>
      <c r="BE23" s="90"/>
      <c r="BF23" s="30"/>
      <c r="BG23" s="90"/>
      <c r="BH23" s="12"/>
      <c r="BI23" s="90"/>
      <c r="BJ23" s="92"/>
      <c r="BK23" s="92"/>
      <c r="BL23" s="92"/>
      <c r="BM23" s="92"/>
      <c r="BN23" s="31"/>
      <c r="BO23" s="92"/>
      <c r="BP23" s="92"/>
      <c r="BQ23" s="92"/>
      <c r="BR23" s="92"/>
      <c r="BS23" s="92"/>
      <c r="BT23" s="92"/>
      <c r="BU23" s="92"/>
      <c r="BV23" s="299"/>
      <c r="BW23" s="31"/>
      <c r="BX23" s="93"/>
      <c r="BY23" s="15"/>
    </row>
    <row r="24" spans="1:77" x14ac:dyDescent="0.2">
      <c r="A24" s="14" t="s">
        <v>61</v>
      </c>
      <c r="B24" s="100">
        <f t="shared" si="28"/>
        <v>-371809.61799597944</v>
      </c>
      <c r="C24" s="31"/>
      <c r="D24" s="92"/>
      <c r="E24" s="92"/>
      <c r="F24" s="92"/>
      <c r="G24" s="92"/>
      <c r="H24" s="90"/>
      <c r="I24" s="91"/>
      <c r="J24" s="30"/>
      <c r="K24" s="91"/>
      <c r="L24" s="31">
        <f>'[12]Page 4.1'!$I$27</f>
        <v>-124.97292981134815</v>
      </c>
      <c r="M24" s="92">
        <f>SUM('[8]Page 4.2'!$I$41:$I$45)</f>
        <v>-9991.9518611297044</v>
      </c>
      <c r="N24" s="92"/>
      <c r="O24" s="92"/>
      <c r="P24" s="92"/>
      <c r="Q24" s="93"/>
      <c r="R24" s="30">
        <f>[14]OM!$I$388</f>
        <v>-313797.34437002521</v>
      </c>
      <c r="S24" s="90"/>
      <c r="T24" s="90"/>
      <c r="U24" s="90"/>
      <c r="V24" s="90">
        <f>'[9]Page 4.11 - 4.11.1'!$I$32</f>
        <v>-29261.329006115837</v>
      </c>
      <c r="W24" s="90"/>
      <c r="X24" s="91"/>
      <c r="Y24" s="30"/>
      <c r="Z24" s="90"/>
      <c r="AA24" s="90"/>
      <c r="AB24" s="90"/>
      <c r="AC24" s="91"/>
      <c r="AD24" s="31"/>
      <c r="AE24" s="93"/>
      <c r="AF24" s="31"/>
      <c r="AG24" s="92"/>
      <c r="AH24" s="31"/>
      <c r="AI24" s="92"/>
      <c r="AJ24" s="92"/>
      <c r="AK24" s="93"/>
      <c r="AL24" s="31"/>
      <c r="AM24" s="92"/>
      <c r="AN24" s="92"/>
      <c r="AO24" s="92">
        <f>SUM('[10]Page 6.4'!$I$41:$I$44)</f>
        <v>-18634.019828897322</v>
      </c>
      <c r="AP24" s="92"/>
      <c r="AQ24" s="93"/>
      <c r="AR24" s="92"/>
      <c r="AS24" s="31"/>
      <c r="AT24" s="92"/>
      <c r="AU24" s="92"/>
      <c r="AV24" s="92"/>
      <c r="AW24" s="92"/>
      <c r="AX24" s="92"/>
      <c r="AY24" s="31"/>
      <c r="AZ24" s="92"/>
      <c r="BA24" s="92"/>
      <c r="BB24" s="31"/>
      <c r="BC24" s="90"/>
      <c r="BD24" s="90"/>
      <c r="BE24" s="90"/>
      <c r="BF24" s="30"/>
      <c r="BG24" s="90"/>
      <c r="BH24" s="12"/>
      <c r="BI24" s="90"/>
      <c r="BJ24" s="92"/>
      <c r="BK24" s="92"/>
      <c r="BL24" s="92"/>
      <c r="BM24" s="92"/>
      <c r="BN24" s="31"/>
      <c r="BO24" s="92"/>
      <c r="BP24" s="92"/>
      <c r="BQ24" s="92"/>
      <c r="BR24" s="92"/>
      <c r="BS24" s="92"/>
      <c r="BT24" s="92"/>
      <c r="BU24" s="92"/>
      <c r="BV24" s="299"/>
      <c r="BW24" s="31"/>
      <c r="BX24" s="93"/>
      <c r="BY24" s="15"/>
    </row>
    <row r="25" spans="1:77" x14ac:dyDescent="0.2">
      <c r="A25" s="14" t="s">
        <v>62</v>
      </c>
      <c r="B25" s="100">
        <f t="shared" si="28"/>
        <v>402258.48389767006</v>
      </c>
      <c r="C25" s="31"/>
      <c r="D25" s="92"/>
      <c r="E25" s="92"/>
      <c r="F25" s="92"/>
      <c r="G25" s="92"/>
      <c r="H25" s="90"/>
      <c r="I25" s="91"/>
      <c r="J25" s="30"/>
      <c r="K25" s="91"/>
      <c r="L25" s="31">
        <f>'[12]Page 4.1'!$I$32</f>
        <v>-1703.490610626937</v>
      </c>
      <c r="M25" s="92">
        <f>SUM('[8]Page 4.2'!$I$46:$I$47)</f>
        <v>-5409.3940757339369</v>
      </c>
      <c r="N25" s="92"/>
      <c r="O25" s="92"/>
      <c r="P25" s="92"/>
      <c r="Q25" s="93"/>
      <c r="R25" s="30"/>
      <c r="S25" s="90"/>
      <c r="T25" s="90"/>
      <c r="U25" s="90">
        <f>'[16]Page 4.10'!$I$10</f>
        <v>422425.00651124539</v>
      </c>
      <c r="V25" s="90">
        <f>'[9]Page 4.11 - 4.11.1'!$I$36</f>
        <v>-2949.2486031032072</v>
      </c>
      <c r="W25" s="90"/>
      <c r="X25" s="91"/>
      <c r="Y25" s="30"/>
      <c r="Z25" s="90"/>
      <c r="AA25" s="90"/>
      <c r="AB25" s="90"/>
      <c r="AC25" s="91"/>
      <c r="AD25" s="31"/>
      <c r="AE25" s="93"/>
      <c r="AF25" s="31"/>
      <c r="AG25" s="92"/>
      <c r="AH25" s="31"/>
      <c r="AI25" s="92"/>
      <c r="AJ25" s="92"/>
      <c r="AK25" s="93"/>
      <c r="AL25" s="31"/>
      <c r="AM25" s="92"/>
      <c r="AN25" s="92"/>
      <c r="AO25" s="92">
        <f>SUM('[10]Page 6.4'!$I$45:$I$46)</f>
        <v>-10087.994605105056</v>
      </c>
      <c r="AP25" s="92">
        <f>'[10]Page 6.4.1'!$I$10</f>
        <v>-16.394719006165481</v>
      </c>
      <c r="AQ25" s="93"/>
      <c r="AR25" s="92"/>
      <c r="AS25" s="31"/>
      <c r="AT25" s="92"/>
      <c r="AU25" s="92"/>
      <c r="AV25" s="92"/>
      <c r="AW25" s="92"/>
      <c r="AX25" s="92"/>
      <c r="AY25" s="31"/>
      <c r="AZ25" s="92"/>
      <c r="BA25" s="92"/>
      <c r="BB25" s="31"/>
      <c r="BC25" s="90"/>
      <c r="BD25" s="90"/>
      <c r="BE25" s="90"/>
      <c r="BF25" s="30"/>
      <c r="BG25" s="90"/>
      <c r="BH25" s="12"/>
      <c r="BI25" s="90"/>
      <c r="BJ25" s="92"/>
      <c r="BK25" s="92"/>
      <c r="BL25" s="92"/>
      <c r="BM25" s="92"/>
      <c r="BN25" s="31"/>
      <c r="BO25" s="92"/>
      <c r="BP25" s="92"/>
      <c r="BQ25" s="92"/>
      <c r="BR25" s="92"/>
      <c r="BS25" s="92"/>
      <c r="BT25" s="92"/>
      <c r="BU25" s="92"/>
      <c r="BV25" s="299"/>
      <c r="BW25" s="31"/>
      <c r="BX25" s="93"/>
      <c r="BY25" s="15"/>
    </row>
    <row r="26" spans="1:77" x14ac:dyDescent="0.2">
      <c r="A26" s="14" t="s">
        <v>63</v>
      </c>
      <c r="B26" s="100">
        <f t="shared" si="28"/>
        <v>-10683512.888207437</v>
      </c>
      <c r="C26" s="31"/>
      <c r="D26" s="92"/>
      <c r="E26" s="92"/>
      <c r="F26" s="92"/>
      <c r="G26" s="92"/>
      <c r="H26" s="90"/>
      <c r="I26" s="91"/>
      <c r="J26" s="30"/>
      <c r="K26" s="91"/>
      <c r="L26" s="31">
        <f>SUM('[12]Page 4.1'!$I$28:$I$31)</f>
        <v>-2911.3712282595043</v>
      </c>
      <c r="M26" s="92">
        <f>SUM('[8]Page 4.2'!$I$48:$I$50)</f>
        <v>-830.05033790862353</v>
      </c>
      <c r="N26" s="92"/>
      <c r="O26" s="92">
        <f>'[13]Page 4.4'!$I$12</f>
        <v>-329.60724603979043</v>
      </c>
      <c r="P26" s="92"/>
      <c r="Q26" s="93">
        <f>'[17]Page 4.6'!$I$18</f>
        <v>-10677588.59</v>
      </c>
      <c r="R26" s="30"/>
      <c r="S26" s="90">
        <f>'[18]Page 4.8'!$I$19-'[18]Page 4.8'!$I$11</f>
        <v>-305.30612733818703</v>
      </c>
      <c r="T26" s="90"/>
      <c r="U26" s="90"/>
      <c r="V26" s="90"/>
      <c r="W26" s="90"/>
      <c r="X26" s="91">
        <v>0</v>
      </c>
      <c r="Y26" s="30"/>
      <c r="Z26" s="90"/>
      <c r="AA26" s="90"/>
      <c r="AB26" s="90"/>
      <c r="AC26" s="91"/>
      <c r="AD26" s="31"/>
      <c r="AE26" s="93"/>
      <c r="AF26" s="31"/>
      <c r="AG26" s="92"/>
      <c r="AH26" s="31"/>
      <c r="AI26" s="92"/>
      <c r="AJ26" s="92"/>
      <c r="AK26" s="93"/>
      <c r="AL26" s="31"/>
      <c r="AM26" s="92"/>
      <c r="AN26" s="92"/>
      <c r="AO26" s="92">
        <f>SUM('[10]Page 6.4'!$I$47:$I$48)</f>
        <v>-1547.9632678918319</v>
      </c>
      <c r="AP26" s="92"/>
      <c r="AQ26" s="93"/>
      <c r="AR26" s="92"/>
      <c r="AS26" s="31"/>
      <c r="AT26" s="92"/>
      <c r="AU26" s="92"/>
      <c r="AV26" s="92"/>
      <c r="AW26" s="92"/>
      <c r="AX26" s="92"/>
      <c r="AY26" s="31"/>
      <c r="AZ26" s="92"/>
      <c r="BA26" s="92"/>
      <c r="BB26" s="31"/>
      <c r="BC26" s="90"/>
      <c r="BD26" s="90"/>
      <c r="BE26" s="90"/>
      <c r="BF26" s="30"/>
      <c r="BG26" s="90"/>
      <c r="BH26" s="12"/>
      <c r="BI26" s="90"/>
      <c r="BJ26" s="92"/>
      <c r="BK26" s="92"/>
      <c r="BL26" s="92"/>
      <c r="BM26" s="92"/>
      <c r="BN26" s="31"/>
      <c r="BO26" s="92"/>
      <c r="BP26" s="92"/>
      <c r="BQ26" s="92"/>
      <c r="BR26" s="92"/>
      <c r="BS26" s="92"/>
      <c r="BT26" s="92"/>
      <c r="BU26" s="92"/>
      <c r="BV26" s="299"/>
      <c r="BW26" s="31"/>
      <c r="BX26" s="93"/>
      <c r="BY26" s="15"/>
    </row>
    <row r="27" spans="1:77" x14ac:dyDescent="0.2">
      <c r="A27" s="14" t="s">
        <v>64</v>
      </c>
      <c r="B27" s="100">
        <f t="shared" si="28"/>
        <v>0</v>
      </c>
      <c r="C27" s="31"/>
      <c r="D27" s="92"/>
      <c r="E27" s="92"/>
      <c r="F27" s="92"/>
      <c r="G27" s="92"/>
      <c r="H27" s="90"/>
      <c r="I27" s="91"/>
      <c r="J27" s="30"/>
      <c r="K27" s="91"/>
      <c r="L27" s="31"/>
      <c r="M27" s="92"/>
      <c r="N27" s="92"/>
      <c r="O27" s="92"/>
      <c r="P27" s="92"/>
      <c r="Q27" s="93"/>
      <c r="R27" s="30"/>
      <c r="S27" s="90"/>
      <c r="T27" s="90"/>
      <c r="U27" s="90"/>
      <c r="V27" s="90"/>
      <c r="W27" s="90"/>
      <c r="X27" s="91"/>
      <c r="Y27" s="30"/>
      <c r="Z27" s="90"/>
      <c r="AA27" s="90"/>
      <c r="AB27" s="90"/>
      <c r="AC27" s="91"/>
      <c r="AD27" s="31"/>
      <c r="AE27" s="93"/>
      <c r="AF27" s="31"/>
      <c r="AG27" s="92"/>
      <c r="AH27" s="31"/>
      <c r="AI27" s="92"/>
      <c r="AJ27" s="92"/>
      <c r="AK27" s="93"/>
      <c r="AL27" s="31"/>
      <c r="AM27" s="92"/>
      <c r="AN27" s="92"/>
      <c r="AO27" s="92"/>
      <c r="AP27" s="92"/>
      <c r="AQ27" s="93"/>
      <c r="AR27" s="92"/>
      <c r="AS27" s="31"/>
      <c r="AT27" s="92"/>
      <c r="AU27" s="92"/>
      <c r="AV27" s="92"/>
      <c r="AW27" s="92"/>
      <c r="AX27" s="92"/>
      <c r="AY27" s="31"/>
      <c r="AZ27" s="92"/>
      <c r="BA27" s="92"/>
      <c r="BB27" s="31"/>
      <c r="BC27" s="90"/>
      <c r="BD27" s="90"/>
      <c r="BE27" s="90"/>
      <c r="BF27" s="30"/>
      <c r="BG27" s="90"/>
      <c r="BH27" s="12"/>
      <c r="BI27" s="90"/>
      <c r="BJ27" s="92"/>
      <c r="BK27" s="92"/>
      <c r="BL27" s="92"/>
      <c r="BM27" s="92"/>
      <c r="BN27" s="31"/>
      <c r="BO27" s="92"/>
      <c r="BP27" s="92"/>
      <c r="BQ27" s="92"/>
      <c r="BR27" s="92"/>
      <c r="BS27" s="92"/>
      <c r="BT27" s="92"/>
      <c r="BU27" s="92"/>
      <c r="BV27" s="299"/>
      <c r="BW27" s="31"/>
      <c r="BX27" s="93"/>
      <c r="BY27" s="15"/>
    </row>
    <row r="28" spans="1:77" x14ac:dyDescent="0.2">
      <c r="A28" s="14" t="s">
        <v>65</v>
      </c>
      <c r="B28" s="100">
        <f t="shared" si="28"/>
        <v>-1473130.0604530582</v>
      </c>
      <c r="C28" s="33"/>
      <c r="D28" s="96"/>
      <c r="E28" s="96"/>
      <c r="F28" s="96"/>
      <c r="G28" s="96"/>
      <c r="H28" s="97"/>
      <c r="I28" s="109"/>
      <c r="J28" s="108"/>
      <c r="K28" s="109"/>
      <c r="L28" s="33">
        <f>'[12]Page 4.1'!$I$25+SUM('[12]Page 4.1'!$I$34:$I$41)</f>
        <v>-9143.5708246865033</v>
      </c>
      <c r="M28" s="96">
        <f>SUM('[8]Page 4.2'!$I$51:$I$54)</f>
        <v>-11242.511462546512</v>
      </c>
      <c r="N28" s="96"/>
      <c r="O28" s="96"/>
      <c r="P28" s="96"/>
      <c r="Q28" s="98"/>
      <c r="R28" s="33">
        <f>[14]OM!$I$384</f>
        <v>-1786546.4551077932</v>
      </c>
      <c r="S28" s="96">
        <f>'[18]Page 4.8'!$I$11</f>
        <v>-96.640490930986942</v>
      </c>
      <c r="T28" s="96">
        <f>'[19]Page 4.9'!$I$25</f>
        <v>1496.5274180481501</v>
      </c>
      <c r="U28" s="96"/>
      <c r="V28" s="96">
        <f>SUM('[9]Page 4.11 - 4.11.1'!$I$40:$I$51)</f>
        <v>825129.88550292887</v>
      </c>
      <c r="W28" s="96">
        <f>SUM('[9]Page 4.11 - 4.11.1'!$I$73:$I$80,'[9]Page 4.11 - 4.11.1'!$I$89)</f>
        <v>-640526.89575698704</v>
      </c>
      <c r="X28" s="98"/>
      <c r="Y28" s="33"/>
      <c r="Z28" s="96"/>
      <c r="AA28" s="96"/>
      <c r="AB28" s="96"/>
      <c r="AC28" s="98"/>
      <c r="AD28" s="33"/>
      <c r="AE28" s="98"/>
      <c r="AF28" s="33"/>
      <c r="AG28" s="96"/>
      <c r="AH28" s="33"/>
      <c r="AI28" s="96"/>
      <c r="AJ28" s="96"/>
      <c r="AK28" s="98"/>
      <c r="AL28" s="33"/>
      <c r="AM28" s="96"/>
      <c r="AN28" s="96"/>
      <c r="AO28" s="96">
        <f>SUM('[10]Page 6.4'!$I$49:$I$52)</f>
        <v>-20966.275033748134</v>
      </c>
      <c r="AP28" s="96"/>
      <c r="AQ28" s="98"/>
      <c r="AR28" s="96"/>
      <c r="AS28" s="33"/>
      <c r="AT28" s="96"/>
      <c r="AU28" s="96"/>
      <c r="AV28" s="96"/>
      <c r="AW28" s="96"/>
      <c r="AX28" s="96"/>
      <c r="AY28" s="33"/>
      <c r="AZ28" s="96"/>
      <c r="BA28" s="96"/>
      <c r="BB28" s="33"/>
      <c r="BC28" s="96">
        <f>'[20]Page 8.2'!$I$15</f>
        <v>168765.87530265757</v>
      </c>
      <c r="BD28" s="96"/>
      <c r="BE28" s="96"/>
      <c r="BF28" s="33"/>
      <c r="BG28" s="96"/>
      <c r="BH28" s="99"/>
      <c r="BI28" s="97"/>
      <c r="BJ28" s="96"/>
      <c r="BK28" s="96"/>
      <c r="BL28" s="96"/>
      <c r="BM28" s="96"/>
      <c r="BN28" s="33"/>
      <c r="BO28" s="96"/>
      <c r="BP28" s="96"/>
      <c r="BQ28" s="96"/>
      <c r="BR28" s="96"/>
      <c r="BS28" s="96"/>
      <c r="BT28" s="96"/>
      <c r="BU28" s="96"/>
      <c r="BV28" s="300"/>
      <c r="BW28" s="33"/>
      <c r="BX28" s="98"/>
      <c r="BY28" s="15"/>
    </row>
    <row r="29" spans="1:77" x14ac:dyDescent="0.2">
      <c r="A29" s="14" t="s">
        <v>66</v>
      </c>
      <c r="B29" s="187">
        <f t="shared" si="28"/>
        <v>25266899.567060795</v>
      </c>
      <c r="C29" s="29">
        <f>SUM(C19:C28)</f>
        <v>0</v>
      </c>
      <c r="D29" s="12">
        <f t="shared" ref="D29:BL29" si="29">SUM(D19:D28)</f>
        <v>0</v>
      </c>
      <c r="E29" s="12">
        <f t="shared" ref="E29" si="30">SUM(E19:E28)</f>
        <v>0</v>
      </c>
      <c r="F29" s="12">
        <f t="shared" si="29"/>
        <v>0</v>
      </c>
      <c r="G29" s="12">
        <f t="shared" si="29"/>
        <v>0</v>
      </c>
      <c r="H29" s="12">
        <f t="shared" si="29"/>
        <v>-112129.56683175203</v>
      </c>
      <c r="I29" s="86">
        <f t="shared" ref="I29:J29" si="31">SUM(I19:I28)</f>
        <v>0</v>
      </c>
      <c r="J29" s="29">
        <f t="shared" si="31"/>
        <v>0</v>
      </c>
      <c r="K29" s="86">
        <f t="shared" ref="K29" si="32">SUM(K19:K28)</f>
        <v>0</v>
      </c>
      <c r="L29" s="29">
        <f>SUM(L19:L28)</f>
        <v>-14454.436280166108</v>
      </c>
      <c r="M29" s="12">
        <f t="shared" si="29"/>
        <v>-47588.981132557921</v>
      </c>
      <c r="N29" s="12">
        <f t="shared" ref="N29:O29" si="33">SUM(N19:N28)</f>
        <v>0</v>
      </c>
      <c r="O29" s="12">
        <f t="shared" si="33"/>
        <v>-5340.7537227038374</v>
      </c>
      <c r="P29" s="12">
        <f t="shared" si="29"/>
        <v>-2677.954313646268</v>
      </c>
      <c r="Q29" s="86">
        <f t="shared" si="29"/>
        <v>-10677588.59</v>
      </c>
      <c r="R29" s="29">
        <f t="shared" ref="R29:U29" si="34">SUM(R19:R28)</f>
        <v>-2021277.8356731343</v>
      </c>
      <c r="S29" s="12">
        <f t="shared" si="34"/>
        <v>-401.946618269174</v>
      </c>
      <c r="T29" s="12">
        <f t="shared" si="34"/>
        <v>1496.5274180481501</v>
      </c>
      <c r="U29" s="12">
        <f t="shared" si="34"/>
        <v>422425.00651124539</v>
      </c>
      <c r="V29" s="12">
        <f>SUM(V19:V28)</f>
        <v>734346.64790187846</v>
      </c>
      <c r="W29" s="12">
        <f t="shared" ref="W29" si="35">SUM(W19:W28)</f>
        <v>-640526.89575698704</v>
      </c>
      <c r="X29" s="86">
        <f t="shared" ref="X29:AC29" si="36">SUM(X19:X28)</f>
        <v>0</v>
      </c>
      <c r="Y29" s="29"/>
      <c r="Z29" s="12"/>
      <c r="AA29" s="12"/>
      <c r="AB29" s="12"/>
      <c r="AC29" s="86">
        <f t="shared" si="36"/>
        <v>0</v>
      </c>
      <c r="AD29" s="29">
        <f t="shared" ref="AD29:AK29" si="37">SUM(AD19:AD28)</f>
        <v>37600994.60665264</v>
      </c>
      <c r="AE29" s="86">
        <f t="shared" ref="AE29:AF29" si="38">SUM(AE19:AE28)</f>
        <v>0</v>
      </c>
      <c r="AF29" s="29">
        <f t="shared" si="38"/>
        <v>0</v>
      </c>
      <c r="AG29" s="12">
        <f>SUM(AG19:AG28)</f>
        <v>0</v>
      </c>
      <c r="AH29" s="29">
        <f t="shared" ref="AH29:AI29" si="39">SUM(AH19:AH28)</f>
        <v>0</v>
      </c>
      <c r="AI29" s="12">
        <f t="shared" si="39"/>
        <v>0</v>
      </c>
      <c r="AJ29" s="12">
        <f t="shared" ref="AJ29" si="40">SUM(AJ19:AJ28)</f>
        <v>0</v>
      </c>
      <c r="AK29" s="86">
        <f t="shared" si="37"/>
        <v>0</v>
      </c>
      <c r="AL29" s="29">
        <f t="shared" si="29"/>
        <v>0</v>
      </c>
      <c r="AM29" s="12">
        <f t="shared" ref="AM29:AQ29" si="41">SUM(AM19:AM28)</f>
        <v>0</v>
      </c>
      <c r="AN29" s="12">
        <f t="shared" ref="AN29:AP29" si="42">SUM(AN19:AN28)</f>
        <v>0</v>
      </c>
      <c r="AO29" s="12">
        <f t="shared" si="42"/>
        <v>-88748.911094690207</v>
      </c>
      <c r="AP29" s="12">
        <f t="shared" si="42"/>
        <v>-43408.994722799682</v>
      </c>
      <c r="AQ29" s="86">
        <f t="shared" si="41"/>
        <v>0</v>
      </c>
      <c r="AR29" s="12">
        <f t="shared" ref="AR29" si="43">SUM(AR19:AR28)</f>
        <v>0</v>
      </c>
      <c r="AS29" s="29">
        <f t="shared" si="29"/>
        <v>0</v>
      </c>
      <c r="AT29" s="12">
        <f t="shared" ref="AT29" si="44">SUM(AT19:AT28)</f>
        <v>0</v>
      </c>
      <c r="AU29" s="12">
        <f t="shared" si="29"/>
        <v>0</v>
      </c>
      <c r="AV29" s="12">
        <f t="shared" ref="AV29" si="45">SUM(AV19:AV28)</f>
        <v>0</v>
      </c>
      <c r="AW29" s="12">
        <f t="shared" si="29"/>
        <v>0</v>
      </c>
      <c r="AX29" s="12">
        <f t="shared" si="29"/>
        <v>0</v>
      </c>
      <c r="AY29" s="29">
        <f t="shared" ref="AY29" si="46">SUM(AY19:AY28)</f>
        <v>0</v>
      </c>
      <c r="AZ29" s="12">
        <f t="shared" ref="AZ29" si="47">SUM(AZ19:AZ28)</f>
        <v>0</v>
      </c>
      <c r="BA29" s="12">
        <f t="shared" ref="BA29" si="48">SUM(BA19:BA28)</f>
        <v>0</v>
      </c>
      <c r="BB29" s="29">
        <f t="shared" si="29"/>
        <v>0</v>
      </c>
      <c r="BC29" s="12">
        <f t="shared" si="29"/>
        <v>168765.87530265757</v>
      </c>
      <c r="BD29" s="12">
        <f t="shared" si="29"/>
        <v>0</v>
      </c>
      <c r="BE29" s="12">
        <f t="shared" si="29"/>
        <v>0</v>
      </c>
      <c r="BF29" s="29">
        <f t="shared" ref="BF29" si="49">SUM(BF19:BF28)</f>
        <v>0</v>
      </c>
      <c r="BG29" s="12">
        <f t="shared" ref="BG29" si="50">SUM(BG19:BG28)</f>
        <v>0</v>
      </c>
      <c r="BH29" s="12">
        <f t="shared" si="29"/>
        <v>0</v>
      </c>
      <c r="BI29" s="12">
        <f t="shared" si="29"/>
        <v>0</v>
      </c>
      <c r="BJ29" s="12">
        <f t="shared" si="29"/>
        <v>0</v>
      </c>
      <c r="BK29" s="12">
        <f t="shared" ref="BK29" si="51">SUM(BK19:BK28)</f>
        <v>0</v>
      </c>
      <c r="BL29" s="12">
        <f t="shared" si="29"/>
        <v>0</v>
      </c>
      <c r="BM29" s="12">
        <f t="shared" ref="BM29:BS29" si="52">SUM(BM19:BM28)</f>
        <v>0</v>
      </c>
      <c r="BN29" s="29">
        <f t="shared" si="52"/>
        <v>-6984.2305789677403</v>
      </c>
      <c r="BO29" s="12">
        <f t="shared" si="52"/>
        <v>0</v>
      </c>
      <c r="BP29" s="12">
        <f t="shared" si="52"/>
        <v>0</v>
      </c>
      <c r="BQ29" s="12">
        <f t="shared" ref="BQ29:BR29" si="53">SUM(BQ19:BQ28)</f>
        <v>0</v>
      </c>
      <c r="BR29" s="12">
        <f t="shared" si="53"/>
        <v>0</v>
      </c>
      <c r="BS29" s="12">
        <f t="shared" si="52"/>
        <v>0</v>
      </c>
      <c r="BT29" s="12">
        <f t="shared" ref="BT29:BU29" si="54">SUM(BT19:BT28)</f>
        <v>0</v>
      </c>
      <c r="BU29" s="12">
        <f t="shared" si="54"/>
        <v>0</v>
      </c>
      <c r="BV29" s="88">
        <f t="shared" ref="BV29" si="55">SUM(BV19:BV28)</f>
        <v>0</v>
      </c>
      <c r="BW29" s="29">
        <f t="shared" ref="BW29" si="56">SUM(BW19:BW28)</f>
        <v>0</v>
      </c>
      <c r="BX29" s="86">
        <f t="shared" ref="BX29" si="57">SUM(BX19:BX28)</f>
        <v>0</v>
      </c>
      <c r="BY29" s="15"/>
    </row>
    <row r="30" spans="1:77" x14ac:dyDescent="0.2">
      <c r="A30" s="14" t="s">
        <v>67</v>
      </c>
      <c r="B30" s="100">
        <f t="shared" si="28"/>
        <v>982571.90635064198</v>
      </c>
      <c r="C30" s="31"/>
      <c r="D30" s="92"/>
      <c r="E30" s="92"/>
      <c r="F30" s="92"/>
      <c r="G30" s="92"/>
      <c r="H30" s="90"/>
      <c r="I30" s="91"/>
      <c r="J30" s="30"/>
      <c r="K30" s="91"/>
      <c r="L30" s="31"/>
      <c r="M30" s="92"/>
      <c r="N30" s="92"/>
      <c r="O30" s="92"/>
      <c r="P30" s="92"/>
      <c r="Q30" s="93"/>
      <c r="R30" s="30"/>
      <c r="S30" s="90"/>
      <c r="T30" s="90"/>
      <c r="U30" s="90"/>
      <c r="V30" s="90"/>
      <c r="W30" s="90"/>
      <c r="X30" s="91"/>
      <c r="Y30" s="30"/>
      <c r="Z30" s="90"/>
      <c r="AA30" s="90"/>
      <c r="AB30" s="90"/>
      <c r="AC30" s="91"/>
      <c r="AD30" s="31"/>
      <c r="AE30" s="93"/>
      <c r="AF30" s="31"/>
      <c r="AG30" s="92">
        <f>'[21]Page 5.3'!$I$9+'[21]Page 5.3'!$I$10</f>
        <v>-428046.01728697837</v>
      </c>
      <c r="AH30" s="29"/>
      <c r="AI30" s="12"/>
      <c r="AJ30" s="12"/>
      <c r="AK30" s="86"/>
      <c r="AL30" s="29">
        <f>'[22]Page 6.3'!$I$42</f>
        <v>1428608.4764376204</v>
      </c>
      <c r="AM30" s="12"/>
      <c r="AN30" s="12"/>
      <c r="AO30" s="12"/>
      <c r="AP30" s="12"/>
      <c r="AQ30" s="86"/>
      <c r="AR30" s="12"/>
      <c r="AS30" s="31"/>
      <c r="AT30" s="92"/>
      <c r="AU30" s="92"/>
      <c r="AV30" s="92"/>
      <c r="AW30" s="92"/>
      <c r="AX30" s="92"/>
      <c r="AY30" s="31"/>
      <c r="AZ30" s="92"/>
      <c r="BA30" s="92"/>
      <c r="BB30" s="31"/>
      <c r="BC30" s="90"/>
      <c r="BD30" s="90"/>
      <c r="BE30" s="90"/>
      <c r="BF30" s="30"/>
      <c r="BG30" s="90"/>
      <c r="BH30" s="12"/>
      <c r="BI30" s="90"/>
      <c r="BJ30" s="92">
        <f>'[23]Page 8.7'!$I$9</f>
        <v>-17990.552800000001</v>
      </c>
      <c r="BK30" s="92"/>
      <c r="BL30" s="92"/>
      <c r="BM30" s="92"/>
      <c r="BN30" s="31"/>
      <c r="BO30" s="92"/>
      <c r="BP30" s="92"/>
      <c r="BQ30" s="92"/>
      <c r="BR30" s="92"/>
      <c r="BS30" s="92"/>
      <c r="BT30" s="92"/>
      <c r="BU30" s="92"/>
      <c r="BV30" s="299"/>
      <c r="BW30" s="31"/>
      <c r="BX30" s="93"/>
      <c r="BY30" s="15"/>
    </row>
    <row r="31" spans="1:77" x14ac:dyDescent="0.2">
      <c r="A31" s="14" t="s">
        <v>68</v>
      </c>
      <c r="B31" s="100">
        <f t="shared" si="28"/>
        <v>0</v>
      </c>
      <c r="C31" s="31"/>
      <c r="D31" s="92"/>
      <c r="E31" s="92"/>
      <c r="F31" s="92"/>
      <c r="G31" s="92"/>
      <c r="H31" s="90"/>
      <c r="I31" s="91"/>
      <c r="J31" s="30"/>
      <c r="K31" s="91"/>
      <c r="L31" s="31"/>
      <c r="M31" s="92"/>
      <c r="N31" s="92"/>
      <c r="O31" s="92"/>
      <c r="P31" s="92"/>
      <c r="Q31" s="93"/>
      <c r="R31" s="30"/>
      <c r="S31" s="90"/>
      <c r="T31" s="90"/>
      <c r="U31" s="90"/>
      <c r="V31" s="90"/>
      <c r="W31" s="90"/>
      <c r="X31" s="91"/>
      <c r="Y31" s="30"/>
      <c r="Z31" s="90"/>
      <c r="AA31" s="90"/>
      <c r="AB31" s="90"/>
      <c r="AC31" s="91"/>
      <c r="AD31" s="31"/>
      <c r="AE31" s="93"/>
      <c r="AF31" s="31"/>
      <c r="AG31" s="92"/>
      <c r="AH31" s="29"/>
      <c r="AI31" s="12"/>
      <c r="AJ31" s="12"/>
      <c r="AK31" s="86"/>
      <c r="AL31" s="29"/>
      <c r="AM31" s="12"/>
      <c r="AN31" s="12"/>
      <c r="AO31" s="12"/>
      <c r="AP31" s="12"/>
      <c r="AQ31" s="86"/>
      <c r="AR31" s="12"/>
      <c r="AS31" s="31"/>
      <c r="AT31" s="92"/>
      <c r="AU31" s="92"/>
      <c r="AV31" s="92"/>
      <c r="AW31" s="92"/>
      <c r="AX31" s="92"/>
      <c r="AY31" s="31"/>
      <c r="AZ31" s="92"/>
      <c r="BA31" s="92"/>
      <c r="BB31" s="31"/>
      <c r="BC31" s="90"/>
      <c r="BD31" s="90"/>
      <c r="BE31" s="90"/>
      <c r="BF31" s="30"/>
      <c r="BG31" s="90"/>
      <c r="BH31" s="12"/>
      <c r="BI31" s="90"/>
      <c r="BJ31" s="92"/>
      <c r="BK31" s="92"/>
      <c r="BL31" s="92"/>
      <c r="BM31" s="92"/>
      <c r="BN31" s="31"/>
      <c r="BO31" s="92"/>
      <c r="BP31" s="92"/>
      <c r="BQ31" s="92"/>
      <c r="BR31" s="92"/>
      <c r="BS31" s="92"/>
      <c r="BT31" s="92"/>
      <c r="BU31" s="92"/>
      <c r="BV31" s="299"/>
      <c r="BW31" s="31"/>
      <c r="BX31" s="93"/>
      <c r="BY31" s="15"/>
    </row>
    <row r="32" spans="1:77" x14ac:dyDescent="0.2">
      <c r="A32" s="14" t="s">
        <v>69</v>
      </c>
      <c r="B32" s="100">
        <f t="shared" si="28"/>
        <v>-41073.316515808037</v>
      </c>
      <c r="C32" s="31"/>
      <c r="D32" s="92"/>
      <c r="E32" s="92"/>
      <c r="F32" s="92"/>
      <c r="G32" s="92"/>
      <c r="H32" s="90"/>
      <c r="I32" s="91"/>
      <c r="J32" s="30"/>
      <c r="K32" s="91"/>
      <c r="L32" s="31"/>
      <c r="M32" s="92"/>
      <c r="N32" s="92"/>
      <c r="O32" s="92"/>
      <c r="P32" s="92"/>
      <c r="Q32" s="93"/>
      <c r="R32" s="30"/>
      <c r="S32" s="90"/>
      <c r="T32" s="90"/>
      <c r="U32" s="90"/>
      <c r="V32" s="90"/>
      <c r="W32" s="90"/>
      <c r="X32" s="91"/>
      <c r="Y32" s="30"/>
      <c r="Z32" s="90"/>
      <c r="AA32" s="90"/>
      <c r="AB32" s="90"/>
      <c r="AC32" s="91"/>
      <c r="AD32" s="31"/>
      <c r="AE32" s="93"/>
      <c r="AF32" s="31"/>
      <c r="AG32" s="92">
        <f>'[21]Page 5.3'!$I$11</f>
        <v>-41073.316515808037</v>
      </c>
      <c r="AH32" s="29"/>
      <c r="AI32" s="12"/>
      <c r="AJ32" s="12"/>
      <c r="AK32" s="86"/>
      <c r="AL32" s="29"/>
      <c r="AM32" s="12"/>
      <c r="AN32" s="12"/>
      <c r="AO32" s="12"/>
      <c r="AP32" s="12"/>
      <c r="AQ32" s="86"/>
      <c r="AR32" s="12"/>
      <c r="AS32" s="31"/>
      <c r="AT32" s="92"/>
      <c r="AU32" s="92"/>
      <c r="AV32" s="92"/>
      <c r="AW32" s="92"/>
      <c r="AX32" s="92"/>
      <c r="AY32" s="31"/>
      <c r="AZ32" s="92"/>
      <c r="BA32" s="92"/>
      <c r="BB32" s="31"/>
      <c r="BC32" s="90"/>
      <c r="BD32" s="90"/>
      <c r="BE32" s="90"/>
      <c r="BF32" s="30"/>
      <c r="BG32" s="90"/>
      <c r="BH32" s="12"/>
      <c r="BI32" s="90"/>
      <c r="BJ32" s="92"/>
      <c r="BK32" s="92"/>
      <c r="BL32" s="92"/>
      <c r="BM32" s="92"/>
      <c r="BN32" s="31"/>
      <c r="BO32" s="92"/>
      <c r="BP32" s="92"/>
      <c r="BQ32" s="92"/>
      <c r="BR32" s="92"/>
      <c r="BS32" s="92"/>
      <c r="BT32" s="92"/>
      <c r="BU32" s="92"/>
      <c r="BV32" s="299"/>
      <c r="BW32" s="31"/>
      <c r="BX32" s="93"/>
      <c r="BY32" s="15"/>
    </row>
    <row r="33" spans="1:77" x14ac:dyDescent="0.2">
      <c r="A33" s="14" t="s">
        <v>70</v>
      </c>
      <c r="B33" s="100">
        <f t="shared" si="28"/>
        <v>7614453.0733685251</v>
      </c>
      <c r="C33" s="31">
        <f>C87</f>
        <v>-1992466.4444999998</v>
      </c>
      <c r="D33" s="92">
        <f t="shared" ref="D33:BL33" si="58">D87</f>
        <v>-2599654.5509476503</v>
      </c>
      <c r="E33" s="92">
        <f t="shared" ref="E33" si="59">E87</f>
        <v>5959038.6872807294</v>
      </c>
      <c r="F33" s="92">
        <f t="shared" si="58"/>
        <v>0</v>
      </c>
      <c r="G33" s="92">
        <f t="shared" si="58"/>
        <v>-788668.69587537274</v>
      </c>
      <c r="H33" s="90">
        <f t="shared" si="58"/>
        <v>-35627.768368419842</v>
      </c>
      <c r="I33" s="91">
        <f t="shared" ref="I33:J33" si="60">I87</f>
        <v>0</v>
      </c>
      <c r="J33" s="30">
        <f t="shared" si="60"/>
        <v>0</v>
      </c>
      <c r="K33" s="91">
        <f t="shared" ref="K33" si="61">K87</f>
        <v>-4000.6079851816894</v>
      </c>
      <c r="L33" s="31">
        <f t="shared" si="58"/>
        <v>7739.8993264450692</v>
      </c>
      <c r="M33" s="92">
        <f t="shared" si="58"/>
        <v>16656.143396395273</v>
      </c>
      <c r="N33" s="92">
        <f t="shared" ref="N33:O33" si="62">N87</f>
        <v>0</v>
      </c>
      <c r="O33" s="92">
        <f t="shared" si="62"/>
        <v>1869.263802946343</v>
      </c>
      <c r="P33" s="92">
        <f t="shared" si="58"/>
        <v>-54402.80746845586</v>
      </c>
      <c r="Q33" s="93">
        <f t="shared" si="58"/>
        <v>3753899.4513292802</v>
      </c>
      <c r="R33" s="30">
        <f t="shared" si="58"/>
        <v>268014.85285938077</v>
      </c>
      <c r="S33" s="90">
        <f t="shared" si="58"/>
        <v>140.68131639421088</v>
      </c>
      <c r="T33" s="90">
        <f t="shared" si="58"/>
        <v>-523.78459631685257</v>
      </c>
      <c r="U33" s="90">
        <f t="shared" si="58"/>
        <v>-147848.75227893586</v>
      </c>
      <c r="V33" s="90">
        <f t="shared" si="58"/>
        <v>-257021.32676565743</v>
      </c>
      <c r="W33" s="90">
        <f t="shared" ref="W33" si="63">W87</f>
        <v>224184.41351494545</v>
      </c>
      <c r="X33" s="91">
        <f t="shared" ref="X33:AC33" si="64">X87</f>
        <v>0</v>
      </c>
      <c r="Y33" s="30"/>
      <c r="Z33" s="90"/>
      <c r="AA33" s="90"/>
      <c r="AB33" s="90"/>
      <c r="AC33" s="91">
        <f t="shared" si="64"/>
        <v>0</v>
      </c>
      <c r="AD33" s="31">
        <f t="shared" si="58"/>
        <v>4030151.8861333248</v>
      </c>
      <c r="AE33" s="93">
        <f t="shared" ref="AE33:AF33" si="65">AE87</f>
        <v>0</v>
      </c>
      <c r="AF33" s="31">
        <f t="shared" si="65"/>
        <v>0</v>
      </c>
      <c r="AG33" s="92">
        <f>AG87</f>
        <v>41615.709191224734</v>
      </c>
      <c r="AH33" s="29">
        <f t="shared" ref="AH33:AK33" si="66">AH87</f>
        <v>0</v>
      </c>
      <c r="AI33" s="12">
        <f t="shared" ref="AI33:AJ33" si="67">AI87</f>
        <v>0</v>
      </c>
      <c r="AJ33" s="12">
        <f t="shared" si="67"/>
        <v>0</v>
      </c>
      <c r="AK33" s="86">
        <f t="shared" si="66"/>
        <v>0</v>
      </c>
      <c r="AL33" s="29">
        <f t="shared" si="58"/>
        <v>-500012.9667531671</v>
      </c>
      <c r="AM33" s="12">
        <f t="shared" ref="AM33:AQ33" si="68">AM87</f>
        <v>0</v>
      </c>
      <c r="AN33" s="12">
        <f t="shared" ref="AN33:AP33" si="69">AN87</f>
        <v>500012.96675316693</v>
      </c>
      <c r="AO33" s="12">
        <f t="shared" si="69"/>
        <v>31062.118883141571</v>
      </c>
      <c r="AP33" s="12">
        <f t="shared" si="69"/>
        <v>15193.148152979888</v>
      </c>
      <c r="AQ33" s="86">
        <f t="shared" si="68"/>
        <v>-132584.93622765399</v>
      </c>
      <c r="AR33" s="12">
        <f t="shared" ref="AR33" si="70">AR87</f>
        <v>0</v>
      </c>
      <c r="AS33" s="31">
        <f t="shared" si="58"/>
        <v>138020.18687424995</v>
      </c>
      <c r="AT33" s="92">
        <f t="shared" ref="AT33" si="71">AT87</f>
        <v>0</v>
      </c>
      <c r="AU33" s="92">
        <f t="shared" si="58"/>
        <v>0</v>
      </c>
      <c r="AV33" s="92">
        <f t="shared" ref="AV33" si="72">AV87</f>
        <v>0</v>
      </c>
      <c r="AW33" s="92">
        <f t="shared" si="58"/>
        <v>0</v>
      </c>
      <c r="AX33" s="92">
        <f t="shared" si="58"/>
        <v>0</v>
      </c>
      <c r="AY33" s="31">
        <f t="shared" si="58"/>
        <v>0</v>
      </c>
      <c r="AZ33" s="92">
        <f t="shared" ref="AZ33" si="73">AZ87</f>
        <v>0</v>
      </c>
      <c r="BA33" s="92">
        <f t="shared" ref="BA33" si="74">BA87</f>
        <v>0</v>
      </c>
      <c r="BB33" s="31">
        <f t="shared" si="58"/>
        <v>138614.57201924626</v>
      </c>
      <c r="BC33" s="90">
        <f t="shared" si="58"/>
        <v>-49695.367855697426</v>
      </c>
      <c r="BD33" s="90">
        <f t="shared" si="58"/>
        <v>0</v>
      </c>
      <c r="BE33" s="90">
        <f t="shared" si="58"/>
        <v>0</v>
      </c>
      <c r="BF33" s="30">
        <f t="shared" ref="BF33" si="75">BF87</f>
        <v>0</v>
      </c>
      <c r="BG33" s="90"/>
      <c r="BH33" s="12">
        <f t="shared" si="58"/>
        <v>0</v>
      </c>
      <c r="BI33" s="90"/>
      <c r="BJ33" s="92">
        <f t="shared" si="58"/>
        <v>0</v>
      </c>
      <c r="BK33" s="92">
        <f t="shared" ref="BK33" si="76">BK87</f>
        <v>99761.9</v>
      </c>
      <c r="BL33" s="92">
        <f t="shared" si="58"/>
        <v>-1459.2785454545456</v>
      </c>
      <c r="BM33" s="92">
        <f t="shared" ref="BM33:BS33" si="77">BM87</f>
        <v>-1050000</v>
      </c>
      <c r="BN33" s="31">
        <f t="shared" si="77"/>
        <v>2444.4807026387089</v>
      </c>
      <c r="BO33" s="92">
        <f t="shared" si="77"/>
        <v>0</v>
      </c>
      <c r="BP33" s="92">
        <f t="shared" si="77"/>
        <v>0</v>
      </c>
      <c r="BQ33" s="92">
        <f t="shared" ref="BQ33:BR33" si="78">BQ87</f>
        <v>0</v>
      </c>
      <c r="BR33" s="92">
        <f t="shared" si="78"/>
        <v>0</v>
      </c>
      <c r="BS33" s="92">
        <f t="shared" si="77"/>
        <v>0</v>
      </c>
      <c r="BT33" s="92">
        <f t="shared" ref="BT33:BU33" si="79">BT87</f>
        <v>0</v>
      </c>
      <c r="BU33" s="92">
        <f t="shared" si="79"/>
        <v>0</v>
      </c>
      <c r="BV33" s="299">
        <f t="shared" ref="BV33" si="80">BV87</f>
        <v>0</v>
      </c>
      <c r="BW33" s="31">
        <f t="shared" ref="BW33" si="81">BW87</f>
        <v>0</v>
      </c>
      <c r="BX33" s="93">
        <f t="shared" ref="BX33" si="82">BX87</f>
        <v>0</v>
      </c>
      <c r="BY33" s="15"/>
    </row>
    <row r="34" spans="1:77" x14ac:dyDescent="0.2">
      <c r="A34" s="14" t="s">
        <v>71</v>
      </c>
      <c r="B34" s="100">
        <f t="shared" si="28"/>
        <v>0</v>
      </c>
      <c r="C34" s="3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1">
        <v>0</v>
      </c>
      <c r="J34" s="30">
        <v>0</v>
      </c>
      <c r="K34" s="91">
        <v>0</v>
      </c>
      <c r="L34" s="30">
        <v>0</v>
      </c>
      <c r="M34" s="90">
        <v>0</v>
      </c>
      <c r="N34" s="90">
        <v>0</v>
      </c>
      <c r="O34" s="90">
        <v>0</v>
      </c>
      <c r="P34" s="90">
        <v>0</v>
      </c>
      <c r="Q34" s="91">
        <v>0</v>
      </c>
      <c r="R34" s="3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1">
        <v>0</v>
      </c>
      <c r="Y34" s="30"/>
      <c r="Z34" s="90"/>
      <c r="AA34" s="90"/>
      <c r="AB34" s="90"/>
      <c r="AC34" s="91">
        <v>0</v>
      </c>
      <c r="AD34" s="30">
        <v>0</v>
      </c>
      <c r="AE34" s="91">
        <v>0</v>
      </c>
      <c r="AF34" s="30">
        <v>0</v>
      </c>
      <c r="AG34" s="90">
        <v>0</v>
      </c>
      <c r="AH34" s="30">
        <v>0</v>
      </c>
      <c r="AI34" s="90">
        <v>0</v>
      </c>
      <c r="AJ34" s="90">
        <v>0</v>
      </c>
      <c r="AK34" s="91">
        <v>0</v>
      </c>
      <c r="AL34" s="30">
        <v>0</v>
      </c>
      <c r="AM34" s="90">
        <v>0</v>
      </c>
      <c r="AN34" s="90">
        <v>0</v>
      </c>
      <c r="AO34" s="90">
        <v>0</v>
      </c>
      <c r="AP34" s="90">
        <v>0</v>
      </c>
      <c r="AQ34" s="91">
        <v>0</v>
      </c>
      <c r="AR34" s="90">
        <v>0</v>
      </c>
      <c r="AS34" s="30">
        <v>0</v>
      </c>
      <c r="AT34" s="90">
        <v>0</v>
      </c>
      <c r="AU34" s="90">
        <v>0</v>
      </c>
      <c r="AV34" s="90">
        <v>0</v>
      </c>
      <c r="AW34" s="90">
        <v>0</v>
      </c>
      <c r="AX34" s="90">
        <v>0</v>
      </c>
      <c r="AY34" s="30">
        <v>0</v>
      </c>
      <c r="AZ34" s="90">
        <v>0</v>
      </c>
      <c r="BA34" s="90">
        <v>0</v>
      </c>
      <c r="BB34" s="30">
        <v>0</v>
      </c>
      <c r="BC34" s="90">
        <v>0</v>
      </c>
      <c r="BD34" s="90">
        <v>0</v>
      </c>
      <c r="BE34" s="90">
        <v>0</v>
      </c>
      <c r="BF34" s="30">
        <v>0</v>
      </c>
      <c r="BG34" s="90">
        <v>0</v>
      </c>
      <c r="BH34" s="12">
        <v>0</v>
      </c>
      <c r="BI34" s="90">
        <v>0</v>
      </c>
      <c r="BJ34" s="90">
        <v>0</v>
      </c>
      <c r="BK34" s="90">
        <v>0</v>
      </c>
      <c r="BL34" s="90">
        <v>0</v>
      </c>
      <c r="BM34" s="90">
        <v>0</v>
      </c>
      <c r="BN34" s="30">
        <v>0</v>
      </c>
      <c r="BO34" s="90">
        <v>0</v>
      </c>
      <c r="BP34" s="90">
        <v>0</v>
      </c>
      <c r="BQ34" s="90">
        <v>0</v>
      </c>
      <c r="BR34" s="90">
        <v>0</v>
      </c>
      <c r="BS34" s="90">
        <v>0</v>
      </c>
      <c r="BT34" s="90">
        <v>0</v>
      </c>
      <c r="BU34" s="90">
        <v>0</v>
      </c>
      <c r="BV34" s="100">
        <v>0</v>
      </c>
      <c r="BW34" s="30">
        <v>0</v>
      </c>
      <c r="BX34" s="91">
        <v>0</v>
      </c>
      <c r="BY34" s="15"/>
    </row>
    <row r="35" spans="1:77" x14ac:dyDescent="0.2">
      <c r="A35" s="14" t="s">
        <v>72</v>
      </c>
      <c r="B35" s="100">
        <f t="shared" si="28"/>
        <v>-1131640.190756897</v>
      </c>
      <c r="C35" s="31"/>
      <c r="D35" s="92"/>
      <c r="E35" s="92"/>
      <c r="F35" s="92"/>
      <c r="G35" s="92"/>
      <c r="H35" s="90"/>
      <c r="I35" s="91"/>
      <c r="J35" s="30"/>
      <c r="K35" s="91"/>
      <c r="L35" s="31"/>
      <c r="M35" s="92"/>
      <c r="N35" s="92"/>
      <c r="O35" s="92"/>
      <c r="P35" s="92"/>
      <c r="Q35" s="93"/>
      <c r="R35" s="30"/>
      <c r="S35" s="90"/>
      <c r="T35" s="90"/>
      <c r="U35" s="90"/>
      <c r="V35" s="90"/>
      <c r="W35" s="90"/>
      <c r="X35" s="91"/>
      <c r="Y35" s="30"/>
      <c r="Z35" s="90"/>
      <c r="AA35" s="90"/>
      <c r="AB35" s="90"/>
      <c r="AC35" s="91"/>
      <c r="AD35" s="31"/>
      <c r="AE35" s="93"/>
      <c r="AF35" s="31"/>
      <c r="AG35" s="92">
        <f>'[21]Page 5.3'!$I$15</f>
        <v>113105.10250531929</v>
      </c>
      <c r="AH35" s="31"/>
      <c r="AI35" s="92"/>
      <c r="AJ35" s="92"/>
      <c r="AK35" s="93"/>
      <c r="AL35" s="31"/>
      <c r="AM35" s="92"/>
      <c r="AN35" s="92">
        <f>'[22]Page 6.3.2'!$I$40</f>
        <v>-542171.20289284119</v>
      </c>
      <c r="AO35" s="92"/>
      <c r="AP35" s="92"/>
      <c r="AQ35" s="93">
        <f>'[24]Page 6.4.2'!$I$39</f>
        <v>143763.74042216278</v>
      </c>
      <c r="AR35" s="92"/>
      <c r="AS35" s="31"/>
      <c r="AT35" s="92"/>
      <c r="AU35" s="92"/>
      <c r="AV35" s="92"/>
      <c r="AW35" s="92"/>
      <c r="AX35" s="92"/>
      <c r="AY35" s="31">
        <f>'[25]Page 7.6 - 7.6.1'!$I$107</f>
        <v>-407648.85953784268</v>
      </c>
      <c r="AZ35" s="92">
        <f>[14]TAX!$I$445</f>
        <v>-491135</v>
      </c>
      <c r="BA35" s="92"/>
      <c r="BB35" s="31"/>
      <c r="BC35" s="90">
        <f>'[20]Page 8.2'!$I$28+'[20]Page 8.2'!$I$32</f>
        <v>52446.028746304786</v>
      </c>
      <c r="BD35" s="90"/>
      <c r="BE35" s="90"/>
      <c r="BF35" s="30"/>
      <c r="BG35" s="90"/>
      <c r="BH35" s="12"/>
      <c r="BI35" s="90"/>
      <c r="BJ35" s="92"/>
      <c r="BK35" s="92"/>
      <c r="BL35" s="92"/>
      <c r="BM35" s="92"/>
      <c r="BN35" s="31"/>
      <c r="BO35" s="92"/>
      <c r="BP35" s="92"/>
      <c r="BQ35" s="92"/>
      <c r="BR35" s="92"/>
      <c r="BS35" s="92"/>
      <c r="BT35" s="92"/>
      <c r="BU35" s="92"/>
      <c r="BV35" s="299"/>
      <c r="BW35" s="31"/>
      <c r="BX35" s="93"/>
      <c r="BY35" s="15"/>
    </row>
    <row r="36" spans="1:77" x14ac:dyDescent="0.2">
      <c r="A36" s="14" t="s">
        <v>73</v>
      </c>
      <c r="B36" s="100">
        <f t="shared" si="28"/>
        <v>0</v>
      </c>
      <c r="C36" s="31"/>
      <c r="D36" s="92"/>
      <c r="E36" s="92"/>
      <c r="F36" s="92"/>
      <c r="G36" s="92"/>
      <c r="H36" s="90"/>
      <c r="I36" s="91"/>
      <c r="J36" s="30"/>
      <c r="K36" s="91"/>
      <c r="L36" s="31"/>
      <c r="M36" s="92"/>
      <c r="N36" s="92"/>
      <c r="O36" s="92"/>
      <c r="P36" s="92"/>
      <c r="Q36" s="93"/>
      <c r="R36" s="30"/>
      <c r="S36" s="90"/>
      <c r="T36" s="90"/>
      <c r="U36" s="90"/>
      <c r="V36" s="90"/>
      <c r="W36" s="90"/>
      <c r="X36" s="91"/>
      <c r="Y36" s="30"/>
      <c r="Z36" s="90"/>
      <c r="AA36" s="90"/>
      <c r="AB36" s="90"/>
      <c r="AC36" s="91"/>
      <c r="AD36" s="31"/>
      <c r="AE36" s="93"/>
      <c r="AF36" s="31"/>
      <c r="AG36" s="92"/>
      <c r="AH36" s="31"/>
      <c r="AI36" s="92"/>
      <c r="AJ36" s="92"/>
      <c r="AK36" s="93"/>
      <c r="AL36" s="31"/>
      <c r="AM36" s="92"/>
      <c r="AN36" s="92"/>
      <c r="AO36" s="92"/>
      <c r="AP36" s="92"/>
      <c r="AQ36" s="93"/>
      <c r="AR36" s="92"/>
      <c r="AS36" s="31"/>
      <c r="AT36" s="92"/>
      <c r="AU36" s="92"/>
      <c r="AV36" s="92"/>
      <c r="AW36" s="92"/>
      <c r="AX36" s="92"/>
      <c r="AY36" s="31"/>
      <c r="AZ36" s="92"/>
      <c r="BA36" s="92"/>
      <c r="BB36" s="31"/>
      <c r="BC36" s="90"/>
      <c r="BD36" s="90"/>
      <c r="BE36" s="90"/>
      <c r="BF36" s="30"/>
      <c r="BG36" s="90"/>
      <c r="BH36" s="12"/>
      <c r="BI36" s="90"/>
      <c r="BJ36" s="92"/>
      <c r="BK36" s="92"/>
      <c r="BL36" s="92"/>
      <c r="BM36" s="92"/>
      <c r="BN36" s="31"/>
      <c r="BO36" s="92"/>
      <c r="BP36" s="92"/>
      <c r="BQ36" s="92"/>
      <c r="BR36" s="92"/>
      <c r="BS36" s="92"/>
      <c r="BT36" s="92"/>
      <c r="BU36" s="92"/>
      <c r="BV36" s="299"/>
      <c r="BW36" s="31"/>
      <c r="BX36" s="93"/>
      <c r="BY36" s="15"/>
    </row>
    <row r="37" spans="1:77" x14ac:dyDescent="0.2">
      <c r="A37" s="14" t="s">
        <v>74</v>
      </c>
      <c r="B37" s="100">
        <f t="shared" si="28"/>
        <v>-3490.1945226639618</v>
      </c>
      <c r="C37" s="31"/>
      <c r="D37" s="92"/>
      <c r="E37" s="92"/>
      <c r="F37" s="92"/>
      <c r="G37" s="92"/>
      <c r="H37" s="90"/>
      <c r="I37" s="91"/>
      <c r="J37" s="30"/>
      <c r="K37" s="91"/>
      <c r="L37" s="31">
        <f>'[12]Page 4.1'!$I$15+'[12]Page 4.1'!$I$22</f>
        <v>-7659.5617953912351</v>
      </c>
      <c r="M37" s="92"/>
      <c r="N37" s="92"/>
      <c r="O37" s="92"/>
      <c r="P37" s="92"/>
      <c r="Q37" s="93"/>
      <c r="R37" s="31"/>
      <c r="S37" s="92"/>
      <c r="T37" s="92"/>
      <c r="U37" s="92"/>
      <c r="V37" s="92"/>
      <c r="W37" s="92"/>
      <c r="X37" s="93"/>
      <c r="Y37" s="31"/>
      <c r="Z37" s="92"/>
      <c r="AA37" s="92"/>
      <c r="AB37" s="92"/>
      <c r="AC37" s="93"/>
      <c r="AD37" s="31"/>
      <c r="AE37" s="93"/>
      <c r="AF37" s="31"/>
      <c r="AG37" s="92"/>
      <c r="AH37" s="31"/>
      <c r="AI37" s="92"/>
      <c r="AJ37" s="92"/>
      <c r="AK37" s="93"/>
      <c r="AL37" s="31"/>
      <c r="AM37" s="92"/>
      <c r="AN37" s="92"/>
      <c r="AO37" s="92"/>
      <c r="AP37" s="92"/>
      <c r="AQ37" s="93"/>
      <c r="AR37" s="92"/>
      <c r="AS37" s="31"/>
      <c r="AT37" s="92"/>
      <c r="AU37" s="92"/>
      <c r="AV37" s="92"/>
      <c r="AW37" s="92"/>
      <c r="AX37" s="92"/>
      <c r="AY37" s="31"/>
      <c r="AZ37" s="92"/>
      <c r="BA37" s="92"/>
      <c r="BB37" s="31"/>
      <c r="BC37" s="90"/>
      <c r="BD37" s="90"/>
      <c r="BE37" s="90"/>
      <c r="BF37" s="30"/>
      <c r="BG37" s="90"/>
      <c r="BH37" s="12"/>
      <c r="BI37" s="90"/>
      <c r="BJ37" s="92"/>
      <c r="BK37" s="92"/>
      <c r="BL37" s="92">
        <f>'[26]Page 8.9'!$I$10</f>
        <v>4169.3672727272733</v>
      </c>
      <c r="BM37" s="92"/>
      <c r="BN37" s="31"/>
      <c r="BO37" s="92"/>
      <c r="BP37" s="92"/>
      <c r="BQ37" s="92"/>
      <c r="BR37" s="92"/>
      <c r="BS37" s="92"/>
      <c r="BT37" s="92"/>
      <c r="BU37" s="92"/>
      <c r="BV37" s="299"/>
      <c r="BW37" s="31"/>
      <c r="BX37" s="93"/>
      <c r="BY37" s="15"/>
    </row>
    <row r="38" spans="1:77" x14ac:dyDescent="0.2">
      <c r="A38" s="14" t="s">
        <v>75</v>
      </c>
      <c r="B38" s="186">
        <f t="shared" si="28"/>
        <v>32687720.844984598</v>
      </c>
      <c r="C38" s="32">
        <f>SUM(C29:C37)</f>
        <v>-1992466.4444999998</v>
      </c>
      <c r="D38" s="94">
        <f t="shared" ref="D38:BL38" si="83">SUM(D29:D37)</f>
        <v>-2599654.5509476503</v>
      </c>
      <c r="E38" s="94">
        <f t="shared" ref="E38" si="84">SUM(E29:E37)</f>
        <v>5959038.6872807294</v>
      </c>
      <c r="F38" s="94">
        <f t="shared" si="83"/>
        <v>0</v>
      </c>
      <c r="G38" s="94">
        <f t="shared" si="83"/>
        <v>-788668.69587537274</v>
      </c>
      <c r="H38" s="94">
        <f t="shared" si="83"/>
        <v>-147757.33520017186</v>
      </c>
      <c r="I38" s="95">
        <f t="shared" ref="I38:J38" si="85">SUM(I29:I37)</f>
        <v>0</v>
      </c>
      <c r="J38" s="32">
        <f t="shared" si="85"/>
        <v>0</v>
      </c>
      <c r="K38" s="95">
        <f t="shared" ref="K38" si="86">SUM(K29:K37)</f>
        <v>-4000.6079851816894</v>
      </c>
      <c r="L38" s="32">
        <f t="shared" si="83"/>
        <v>-14374.098749112274</v>
      </c>
      <c r="M38" s="94">
        <f t="shared" si="83"/>
        <v>-30932.837736162648</v>
      </c>
      <c r="N38" s="94">
        <f t="shared" ref="N38:O38" si="87">SUM(N29:N37)</f>
        <v>0</v>
      </c>
      <c r="O38" s="94">
        <f t="shared" si="87"/>
        <v>-3471.4899197574941</v>
      </c>
      <c r="P38" s="94">
        <f t="shared" si="83"/>
        <v>-57080.761782102127</v>
      </c>
      <c r="Q38" s="95">
        <f t="shared" si="83"/>
        <v>-6923689.1386707202</v>
      </c>
      <c r="R38" s="32">
        <f t="shared" ref="R38:U38" si="88">SUM(R29:R37)</f>
        <v>-1753262.9828137537</v>
      </c>
      <c r="S38" s="94">
        <f t="shared" si="88"/>
        <v>-261.26530187496314</v>
      </c>
      <c r="T38" s="94">
        <f t="shared" si="88"/>
        <v>972.74282173129757</v>
      </c>
      <c r="U38" s="94">
        <f t="shared" si="88"/>
        <v>274576.25423230953</v>
      </c>
      <c r="V38" s="94">
        <f>SUM(V29:V37)</f>
        <v>477325.32113622106</v>
      </c>
      <c r="W38" s="94">
        <f t="shared" ref="W38" si="89">SUM(W29:W37)</f>
        <v>-416342.48224204162</v>
      </c>
      <c r="X38" s="95">
        <f t="shared" ref="X38:AC38" si="90">SUM(X29:X37)</f>
        <v>0</v>
      </c>
      <c r="Y38" s="32"/>
      <c r="Z38" s="94"/>
      <c r="AA38" s="94"/>
      <c r="AB38" s="94"/>
      <c r="AC38" s="95">
        <f t="shared" si="90"/>
        <v>0</v>
      </c>
      <c r="AD38" s="32">
        <f t="shared" ref="AD38:AK38" si="91">SUM(AD29:AD37)</f>
        <v>41631146.492785968</v>
      </c>
      <c r="AE38" s="95">
        <f t="shared" ref="AE38:AF38" si="92">SUM(AE29:AE37)</f>
        <v>0</v>
      </c>
      <c r="AF38" s="32">
        <f t="shared" si="92"/>
        <v>0</v>
      </c>
      <c r="AG38" s="94">
        <f>SUM(AG29:AG37)</f>
        <v>-314398.52210624242</v>
      </c>
      <c r="AH38" s="32">
        <f t="shared" ref="AH38:AI38" si="93">SUM(AH29:AH37)</f>
        <v>0</v>
      </c>
      <c r="AI38" s="94">
        <f t="shared" si="93"/>
        <v>0</v>
      </c>
      <c r="AJ38" s="94">
        <f t="shared" ref="AJ38" si="94">SUM(AJ29:AJ37)</f>
        <v>0</v>
      </c>
      <c r="AK38" s="95">
        <f t="shared" si="91"/>
        <v>0</v>
      </c>
      <c r="AL38" s="32">
        <f t="shared" si="83"/>
        <v>928595.50968445325</v>
      </c>
      <c r="AM38" s="94">
        <f t="shared" ref="AM38:AQ38" si="95">SUM(AM29:AM37)</f>
        <v>0</v>
      </c>
      <c r="AN38" s="94">
        <f t="shared" ref="AN38:AP38" si="96">SUM(AN29:AN37)</f>
        <v>-42158.236139674264</v>
      </c>
      <c r="AO38" s="94">
        <f t="shared" si="96"/>
        <v>-57686.792211548636</v>
      </c>
      <c r="AP38" s="94">
        <f t="shared" si="96"/>
        <v>-28215.846569819794</v>
      </c>
      <c r="AQ38" s="95">
        <f t="shared" si="95"/>
        <v>11178.80419450879</v>
      </c>
      <c r="AR38" s="94">
        <f t="shared" ref="AR38" si="97">SUM(AR29:AR37)</f>
        <v>0</v>
      </c>
      <c r="AS38" s="32">
        <f t="shared" si="83"/>
        <v>138020.18687424995</v>
      </c>
      <c r="AT38" s="94">
        <f t="shared" ref="AT38" si="98">SUM(AT29:AT37)</f>
        <v>0</v>
      </c>
      <c r="AU38" s="94">
        <f t="shared" si="83"/>
        <v>0</v>
      </c>
      <c r="AV38" s="94">
        <f t="shared" ref="AV38" si="99">SUM(AV29:AV37)</f>
        <v>0</v>
      </c>
      <c r="AW38" s="94">
        <f t="shared" si="83"/>
        <v>0</v>
      </c>
      <c r="AX38" s="94">
        <f t="shared" si="83"/>
        <v>0</v>
      </c>
      <c r="AY38" s="32">
        <f t="shared" ref="AY38" si="100">SUM(AY29:AY37)</f>
        <v>-407648.85953784268</v>
      </c>
      <c r="AZ38" s="94">
        <f t="shared" ref="AZ38" si="101">SUM(AZ29:AZ37)</f>
        <v>-491135</v>
      </c>
      <c r="BA38" s="94">
        <f t="shared" ref="BA38" si="102">SUM(BA29:BA37)</f>
        <v>0</v>
      </c>
      <c r="BB38" s="32">
        <f t="shared" si="83"/>
        <v>138614.57201924626</v>
      </c>
      <c r="BC38" s="94">
        <f t="shared" si="83"/>
        <v>171516.53619326494</v>
      </c>
      <c r="BD38" s="94">
        <f t="shared" si="83"/>
        <v>0</v>
      </c>
      <c r="BE38" s="94">
        <f t="shared" si="83"/>
        <v>0</v>
      </c>
      <c r="BF38" s="32">
        <f t="shared" ref="BF38" si="103">SUM(BF29:BF37)</f>
        <v>0</v>
      </c>
      <c r="BG38" s="94">
        <f t="shared" ref="BG38" si="104">SUM(BG29:BG37)</f>
        <v>0</v>
      </c>
      <c r="BH38" s="94">
        <f t="shared" si="83"/>
        <v>0</v>
      </c>
      <c r="BI38" s="94">
        <f t="shared" si="83"/>
        <v>0</v>
      </c>
      <c r="BJ38" s="94">
        <f t="shared" si="83"/>
        <v>-17990.552800000001</v>
      </c>
      <c r="BK38" s="94">
        <f t="shared" ref="BK38" si="105">SUM(BK29:BK37)</f>
        <v>99761.9</v>
      </c>
      <c r="BL38" s="94">
        <f t="shared" si="83"/>
        <v>2710.0887272727277</v>
      </c>
      <c r="BM38" s="94">
        <f t="shared" ref="BM38:BS38" si="106">SUM(BM29:BM37)</f>
        <v>-1050000</v>
      </c>
      <c r="BN38" s="32">
        <f t="shared" si="106"/>
        <v>-4539.7498763290314</v>
      </c>
      <c r="BO38" s="94">
        <f t="shared" si="106"/>
        <v>0</v>
      </c>
      <c r="BP38" s="94">
        <f t="shared" si="106"/>
        <v>0</v>
      </c>
      <c r="BQ38" s="94">
        <f t="shared" ref="BQ38:BR38" si="107">SUM(BQ29:BQ37)</f>
        <v>0</v>
      </c>
      <c r="BR38" s="94">
        <f t="shared" si="107"/>
        <v>0</v>
      </c>
      <c r="BS38" s="94">
        <f t="shared" si="106"/>
        <v>0</v>
      </c>
      <c r="BT38" s="94">
        <f t="shared" ref="BT38:BU38" si="108">SUM(BT29:BT37)</f>
        <v>0</v>
      </c>
      <c r="BU38" s="94">
        <f t="shared" si="108"/>
        <v>0</v>
      </c>
      <c r="BV38" s="186">
        <f t="shared" ref="BV38" si="109">SUM(BV29:BV37)</f>
        <v>0</v>
      </c>
      <c r="BW38" s="32">
        <f t="shared" ref="BW38" si="110">SUM(BW29:BW37)</f>
        <v>0</v>
      </c>
      <c r="BX38" s="95">
        <f t="shared" ref="BX38" si="111">SUM(BX29:BX37)</f>
        <v>0</v>
      </c>
      <c r="BY38" s="15"/>
    </row>
    <row r="39" spans="1:77" x14ac:dyDescent="0.2">
      <c r="A39" s="14"/>
      <c r="B39" s="88">
        <f>SUM(C39:BW39)</f>
        <v>0</v>
      </c>
      <c r="C39" s="29"/>
      <c r="D39" s="12"/>
      <c r="E39" s="12"/>
      <c r="F39" s="12"/>
      <c r="G39" s="12"/>
      <c r="H39" s="12"/>
      <c r="I39" s="86"/>
      <c r="J39" s="29"/>
      <c r="K39" s="86"/>
      <c r="L39" s="29"/>
      <c r="M39" s="12"/>
      <c r="N39" s="12"/>
      <c r="O39" s="12"/>
      <c r="P39" s="12"/>
      <c r="Q39" s="86"/>
      <c r="R39" s="29"/>
      <c r="S39" s="12"/>
      <c r="T39" s="12"/>
      <c r="U39" s="12"/>
      <c r="V39" s="12"/>
      <c r="W39" s="12"/>
      <c r="X39" s="86"/>
      <c r="Y39" s="29"/>
      <c r="Z39" s="12"/>
      <c r="AA39" s="12"/>
      <c r="AB39" s="12"/>
      <c r="AC39" s="86"/>
      <c r="AD39" s="29"/>
      <c r="AE39" s="86"/>
      <c r="AF39" s="29"/>
      <c r="AG39" s="12"/>
      <c r="AH39" s="29"/>
      <c r="AI39" s="12"/>
      <c r="AJ39" s="12"/>
      <c r="AK39" s="86"/>
      <c r="AL39" s="29"/>
      <c r="AM39" s="12"/>
      <c r="AN39" s="12"/>
      <c r="AO39" s="12"/>
      <c r="AP39" s="12"/>
      <c r="AQ39" s="86"/>
      <c r="AR39" s="12"/>
      <c r="AS39" s="29"/>
      <c r="AT39" s="12"/>
      <c r="AU39" s="12"/>
      <c r="AV39" s="12"/>
      <c r="AW39" s="12"/>
      <c r="AX39" s="12"/>
      <c r="AY39" s="29"/>
      <c r="AZ39" s="12"/>
      <c r="BA39" s="12"/>
      <c r="BB39" s="29"/>
      <c r="BC39" s="12"/>
      <c r="BD39" s="12"/>
      <c r="BE39" s="12"/>
      <c r="BF39" s="29"/>
      <c r="BG39" s="12"/>
      <c r="BH39" s="12"/>
      <c r="BI39" s="12"/>
      <c r="BJ39" s="12"/>
      <c r="BK39" s="12"/>
      <c r="BL39" s="12"/>
      <c r="BM39" s="12"/>
      <c r="BN39" s="29"/>
      <c r="BO39" s="12"/>
      <c r="BP39" s="12"/>
      <c r="BQ39" s="12"/>
      <c r="BR39" s="12"/>
      <c r="BS39" s="12"/>
      <c r="BT39" s="12"/>
      <c r="BU39" s="12"/>
      <c r="BV39" s="88"/>
      <c r="BW39" s="29"/>
      <c r="BX39" s="86"/>
      <c r="BY39" s="15"/>
    </row>
    <row r="40" spans="1:77" ht="13.5" thickBot="1" x14ac:dyDescent="0.25">
      <c r="A40" s="14" t="s">
        <v>76</v>
      </c>
      <c r="B40" s="188">
        <f>SUM(C40:BX40)</f>
        <v>14696665.378434001</v>
      </c>
      <c r="C40" s="34">
        <f t="shared" ref="C40:BL40" si="112">C16-C38</f>
        <v>-3700294.8254999998</v>
      </c>
      <c r="D40" s="101">
        <f t="shared" si="112"/>
        <v>-4827929.8803313505</v>
      </c>
      <c r="E40" s="101">
        <f t="shared" ref="E40" si="113">E16-E38</f>
        <v>11066786.133521356</v>
      </c>
      <c r="F40" s="101">
        <f t="shared" si="112"/>
        <v>0</v>
      </c>
      <c r="G40" s="101">
        <f t="shared" si="112"/>
        <v>-1464670.435197121</v>
      </c>
      <c r="H40" s="101">
        <f t="shared" si="112"/>
        <v>-66165.855541351164</v>
      </c>
      <c r="I40" s="102">
        <f t="shared" ref="I40:J40" si="114">I16-I38</f>
        <v>0</v>
      </c>
      <c r="J40" s="34">
        <f t="shared" si="114"/>
        <v>0</v>
      </c>
      <c r="K40" s="102">
        <f t="shared" ref="K40" si="115">K16-K38</f>
        <v>-7429.7005439088525</v>
      </c>
      <c r="L40" s="34">
        <f t="shared" si="112"/>
        <v>14374.098749112274</v>
      </c>
      <c r="M40" s="101">
        <f t="shared" si="112"/>
        <v>30932.837736162648</v>
      </c>
      <c r="N40" s="101">
        <f t="shared" ref="N40:O40" si="116">N16-N38</f>
        <v>0</v>
      </c>
      <c r="O40" s="101">
        <f t="shared" si="116"/>
        <v>3471.4899197574941</v>
      </c>
      <c r="P40" s="101">
        <f t="shared" si="112"/>
        <v>-101033.78529856091</v>
      </c>
      <c r="Q40" s="102">
        <f t="shared" si="112"/>
        <v>6923689.1386707202</v>
      </c>
      <c r="R40" s="34">
        <f t="shared" ref="R40:V40" si="117">R16-R38</f>
        <v>1753262.9828137537</v>
      </c>
      <c r="S40" s="101">
        <f t="shared" si="117"/>
        <v>261.26530187496314</v>
      </c>
      <c r="T40" s="101">
        <f t="shared" si="117"/>
        <v>-972.74282173129757</v>
      </c>
      <c r="U40" s="101">
        <f t="shared" si="117"/>
        <v>-274576.25423230953</v>
      </c>
      <c r="V40" s="101">
        <f t="shared" si="117"/>
        <v>-477325.32113622106</v>
      </c>
      <c r="W40" s="101">
        <f t="shared" ref="W40" si="118">W16-W38</f>
        <v>416342.48224204162</v>
      </c>
      <c r="X40" s="102">
        <f t="shared" ref="X40:AC40" si="119">X16-X38</f>
        <v>0</v>
      </c>
      <c r="Y40" s="34"/>
      <c r="Z40" s="101"/>
      <c r="AA40" s="101"/>
      <c r="AB40" s="101"/>
      <c r="AC40" s="102">
        <f t="shared" si="119"/>
        <v>0</v>
      </c>
      <c r="AD40" s="34">
        <f>AD16-AD38</f>
        <v>7484567.7885333151</v>
      </c>
      <c r="AE40" s="102">
        <f t="shared" ref="AE40:AF40" si="120">AE16-AE38</f>
        <v>0</v>
      </c>
      <c r="AF40" s="34">
        <f t="shared" si="120"/>
        <v>0</v>
      </c>
      <c r="AG40" s="101">
        <f t="shared" ref="AG40:AK40" si="121">AG16-AG38</f>
        <v>314398.52210624242</v>
      </c>
      <c r="AH40" s="34">
        <f t="shared" ref="AH40:AI40" si="122">AH16-AH38</f>
        <v>0</v>
      </c>
      <c r="AI40" s="101">
        <f t="shared" si="122"/>
        <v>0</v>
      </c>
      <c r="AJ40" s="101">
        <f t="shared" ref="AJ40" si="123">AJ16-AJ38</f>
        <v>0</v>
      </c>
      <c r="AK40" s="102">
        <f t="shared" si="121"/>
        <v>0</v>
      </c>
      <c r="AL40" s="34">
        <f t="shared" si="112"/>
        <v>-928595.50968445325</v>
      </c>
      <c r="AM40" s="101">
        <f t="shared" ref="AM40:AQ40" si="124">AM16-AM38</f>
        <v>0</v>
      </c>
      <c r="AN40" s="101">
        <f t="shared" ref="AN40:AP40" si="125">AN16-AN38</f>
        <v>42158.236139674264</v>
      </c>
      <c r="AO40" s="101">
        <f t="shared" si="125"/>
        <v>57686.792211548636</v>
      </c>
      <c r="AP40" s="101">
        <f t="shared" si="125"/>
        <v>28215.846569819794</v>
      </c>
      <c r="AQ40" s="102">
        <f t="shared" si="124"/>
        <v>-11178.80419450879</v>
      </c>
      <c r="AR40" s="101">
        <f t="shared" ref="AR40" si="126">AR16-AR38</f>
        <v>0</v>
      </c>
      <c r="AS40" s="34">
        <f t="shared" si="112"/>
        <v>-138020.18687424995</v>
      </c>
      <c r="AT40" s="101">
        <f t="shared" ref="AT40" si="127">AT16-AT38</f>
        <v>0</v>
      </c>
      <c r="AU40" s="101">
        <f t="shared" si="112"/>
        <v>0</v>
      </c>
      <c r="AV40" s="101">
        <f t="shared" ref="AV40" si="128">AV16-AV38</f>
        <v>0</v>
      </c>
      <c r="AW40" s="101">
        <f t="shared" si="112"/>
        <v>0</v>
      </c>
      <c r="AX40" s="101">
        <f t="shared" si="112"/>
        <v>0</v>
      </c>
      <c r="AY40" s="34">
        <f t="shared" ref="AY40" si="129">AY16-AY38</f>
        <v>407648.85953784268</v>
      </c>
      <c r="AZ40" s="101">
        <f t="shared" ref="AZ40" si="130">AZ16-AZ38</f>
        <v>491135</v>
      </c>
      <c r="BA40" s="101">
        <f t="shared" ref="BA40" si="131">BA16-BA38</f>
        <v>0</v>
      </c>
      <c r="BB40" s="34">
        <f t="shared" si="112"/>
        <v>-138614.57201924626</v>
      </c>
      <c r="BC40" s="101">
        <f t="shared" si="112"/>
        <v>-171516.53619326494</v>
      </c>
      <c r="BD40" s="101">
        <f t="shared" si="112"/>
        <v>0</v>
      </c>
      <c r="BE40" s="101">
        <f t="shared" si="112"/>
        <v>0</v>
      </c>
      <c r="BF40" s="34">
        <f t="shared" ref="BF40" si="132">BF16-BF38</f>
        <v>0</v>
      </c>
      <c r="BG40" s="101">
        <f t="shared" ref="BG40" si="133">BG16-BG38</f>
        <v>0</v>
      </c>
      <c r="BH40" s="101">
        <f t="shared" si="112"/>
        <v>0</v>
      </c>
      <c r="BI40" s="101">
        <f t="shared" si="112"/>
        <v>0</v>
      </c>
      <c r="BJ40" s="101">
        <f t="shared" si="112"/>
        <v>17990.552800000001</v>
      </c>
      <c r="BK40" s="101">
        <f t="shared" ref="BK40" si="134">BK16-BK38</f>
        <v>-99761.9</v>
      </c>
      <c r="BL40" s="101">
        <f t="shared" si="112"/>
        <v>-2710.0887272727277</v>
      </c>
      <c r="BM40" s="101">
        <f t="shared" ref="BM40:BS40" si="135">BM16-BM38</f>
        <v>-1950000</v>
      </c>
      <c r="BN40" s="34">
        <f t="shared" si="135"/>
        <v>4539.7498763290314</v>
      </c>
      <c r="BO40" s="101">
        <f t="shared" si="135"/>
        <v>0</v>
      </c>
      <c r="BP40" s="101">
        <f t="shared" si="135"/>
        <v>0</v>
      </c>
      <c r="BQ40" s="101">
        <f t="shared" ref="BQ40:BR40" si="136">BQ16-BQ38</f>
        <v>0</v>
      </c>
      <c r="BR40" s="101">
        <f t="shared" si="136"/>
        <v>0</v>
      </c>
      <c r="BS40" s="101">
        <f t="shared" si="135"/>
        <v>0</v>
      </c>
      <c r="BT40" s="101">
        <f t="shared" ref="BT40:BU40" si="137">BT16-BT38</f>
        <v>0</v>
      </c>
      <c r="BU40" s="101">
        <f t="shared" si="137"/>
        <v>0</v>
      </c>
      <c r="BV40" s="188">
        <f t="shared" ref="BV40" si="138">BV16-BV38</f>
        <v>0</v>
      </c>
      <c r="BW40" s="34">
        <f t="shared" ref="BW40" si="139">BW16-BW38</f>
        <v>0</v>
      </c>
      <c r="BX40" s="102">
        <f t="shared" ref="BX40" si="140">BX16-BX38</f>
        <v>0</v>
      </c>
      <c r="BY40" s="15"/>
    </row>
    <row r="41" spans="1:77" ht="13.5" thickTop="1" x14ac:dyDescent="0.2">
      <c r="A41" s="14"/>
      <c r="B41" s="88"/>
      <c r="C41" s="29"/>
      <c r="D41" s="12"/>
      <c r="E41" s="12"/>
      <c r="F41" s="12"/>
      <c r="G41" s="12"/>
      <c r="H41" s="12"/>
      <c r="I41" s="86"/>
      <c r="J41" s="29"/>
      <c r="K41" s="86"/>
      <c r="L41" s="29"/>
      <c r="M41" s="12"/>
      <c r="N41" s="12"/>
      <c r="O41" s="12"/>
      <c r="P41" s="12"/>
      <c r="Q41" s="86"/>
      <c r="R41" s="29"/>
      <c r="S41" s="12"/>
      <c r="T41" s="12"/>
      <c r="U41" s="12"/>
      <c r="V41" s="12"/>
      <c r="W41" s="12"/>
      <c r="X41" s="86"/>
      <c r="Y41" s="29"/>
      <c r="Z41" s="12"/>
      <c r="AA41" s="12"/>
      <c r="AB41" s="12"/>
      <c r="AC41" s="86"/>
      <c r="AD41" s="29"/>
      <c r="AE41" s="86"/>
      <c r="AF41" s="29"/>
      <c r="AG41" s="12"/>
      <c r="AH41" s="29"/>
      <c r="AI41" s="12"/>
      <c r="AJ41" s="12"/>
      <c r="AK41" s="86"/>
      <c r="AL41" s="29"/>
      <c r="AM41" s="12"/>
      <c r="AN41" s="12"/>
      <c r="AO41" s="12"/>
      <c r="AP41" s="12"/>
      <c r="AQ41" s="86"/>
      <c r="AR41" s="12"/>
      <c r="AS41" s="29"/>
      <c r="AT41" s="12"/>
      <c r="AU41" s="12"/>
      <c r="AV41" s="12"/>
      <c r="AW41" s="12"/>
      <c r="AX41" s="12"/>
      <c r="AY41" s="29"/>
      <c r="AZ41" s="12"/>
      <c r="BA41" s="12"/>
      <c r="BB41" s="29"/>
      <c r="BC41" s="12"/>
      <c r="BD41" s="12"/>
      <c r="BE41" s="12"/>
      <c r="BF41" s="29"/>
      <c r="BG41" s="12"/>
      <c r="BH41" s="12"/>
      <c r="BI41" s="12"/>
      <c r="BJ41" s="12"/>
      <c r="BK41" s="12"/>
      <c r="BL41" s="12"/>
      <c r="BM41" s="12"/>
      <c r="BN41" s="29"/>
      <c r="BO41" s="12"/>
      <c r="BP41" s="12"/>
      <c r="BQ41" s="12"/>
      <c r="BR41" s="12"/>
      <c r="BS41" s="12"/>
      <c r="BT41" s="12"/>
      <c r="BU41" s="12"/>
      <c r="BV41" s="88"/>
      <c r="BW41" s="29"/>
      <c r="BX41" s="86"/>
      <c r="BY41" s="15"/>
    </row>
    <row r="42" spans="1:77" x14ac:dyDescent="0.2">
      <c r="A42" s="14" t="s">
        <v>77</v>
      </c>
      <c r="B42" s="88"/>
      <c r="C42" s="29"/>
      <c r="D42" s="12"/>
      <c r="E42" s="12"/>
      <c r="F42" s="12"/>
      <c r="G42" s="12"/>
      <c r="H42" s="12"/>
      <c r="I42" s="86"/>
      <c r="J42" s="29"/>
      <c r="K42" s="86"/>
      <c r="L42" s="29"/>
      <c r="M42" s="12"/>
      <c r="N42" s="12"/>
      <c r="O42" s="12"/>
      <c r="P42" s="12"/>
      <c r="Q42" s="86"/>
      <c r="R42" s="29"/>
      <c r="S42" s="12"/>
      <c r="T42" s="12"/>
      <c r="U42" s="12"/>
      <c r="V42" s="12"/>
      <c r="W42" s="12"/>
      <c r="X42" s="86"/>
      <c r="Y42" s="29"/>
      <c r="Z42" s="12"/>
      <c r="AA42" s="12"/>
      <c r="AB42" s="12"/>
      <c r="AC42" s="86"/>
      <c r="AD42" s="29"/>
      <c r="AE42" s="86"/>
      <c r="AF42" s="29"/>
      <c r="AG42" s="12"/>
      <c r="AH42" s="29"/>
      <c r="AI42" s="12"/>
      <c r="AJ42" s="12"/>
      <c r="AK42" s="86"/>
      <c r="AL42" s="29"/>
      <c r="AM42" s="12"/>
      <c r="AN42" s="12"/>
      <c r="AO42" s="12"/>
      <c r="AP42" s="12"/>
      <c r="AQ42" s="86"/>
      <c r="AR42" s="12"/>
      <c r="AS42" s="29"/>
      <c r="AT42" s="12"/>
      <c r="AU42" s="12"/>
      <c r="AV42" s="12"/>
      <c r="AW42" s="12"/>
      <c r="AX42" s="12"/>
      <c r="AY42" s="29"/>
      <c r="AZ42" s="12"/>
      <c r="BA42" s="12"/>
      <c r="BB42" s="29"/>
      <c r="BC42" s="12"/>
      <c r="BD42" s="12"/>
      <c r="BE42" s="12"/>
      <c r="BF42" s="29"/>
      <c r="BG42" s="12"/>
      <c r="BH42" s="12"/>
      <c r="BI42" s="12"/>
      <c r="BJ42" s="12"/>
      <c r="BK42" s="12"/>
      <c r="BL42" s="12"/>
      <c r="BM42" s="12"/>
      <c r="BN42" s="29"/>
      <c r="BO42" s="12"/>
      <c r="BP42" s="12"/>
      <c r="BQ42" s="12"/>
      <c r="BR42" s="12"/>
      <c r="BS42" s="12"/>
      <c r="BT42" s="12"/>
      <c r="BU42" s="12"/>
      <c r="BV42" s="88"/>
      <c r="BW42" s="29"/>
      <c r="BX42" s="86"/>
      <c r="BY42" s="15"/>
    </row>
    <row r="43" spans="1:77" x14ac:dyDescent="0.2">
      <c r="A43" s="14" t="s">
        <v>78</v>
      </c>
      <c r="B43" s="100">
        <f t="shared" ref="B43:B54" si="141">SUM(C43:BX43)</f>
        <v>40813248.065794274</v>
      </c>
      <c r="C43" s="31"/>
      <c r="D43" s="92"/>
      <c r="E43" s="92"/>
      <c r="F43" s="92"/>
      <c r="G43" s="92"/>
      <c r="H43" s="90"/>
      <c r="I43" s="91"/>
      <c r="J43" s="30"/>
      <c r="K43" s="91"/>
      <c r="L43" s="31"/>
      <c r="M43" s="92"/>
      <c r="N43" s="92"/>
      <c r="O43" s="92"/>
      <c r="P43" s="92"/>
      <c r="Q43" s="93"/>
      <c r="R43" s="30"/>
      <c r="S43" s="90"/>
      <c r="T43" s="90"/>
      <c r="U43" s="90"/>
      <c r="V43" s="90"/>
      <c r="W43" s="90"/>
      <c r="X43" s="91"/>
      <c r="Y43" s="30"/>
      <c r="Z43" s="90"/>
      <c r="AA43" s="90"/>
      <c r="AB43" s="90"/>
      <c r="AC43" s="91"/>
      <c r="AD43" s="31"/>
      <c r="AE43" s="93"/>
      <c r="AF43" s="31"/>
      <c r="AG43" s="92">
        <f>'[21]Page 5.3'!$I$18+'[21]Page 5.3'!$I$19</f>
        <v>-28327255.80891481</v>
      </c>
      <c r="AH43" s="31"/>
      <c r="AI43" s="92"/>
      <c r="AJ43" s="92"/>
      <c r="AK43" s="93"/>
      <c r="AL43" s="31"/>
      <c r="AM43" s="92"/>
      <c r="AN43" s="92"/>
      <c r="AO43" s="92"/>
      <c r="AP43" s="92"/>
      <c r="AQ43" s="93"/>
      <c r="AR43" s="92"/>
      <c r="AS43" s="31"/>
      <c r="AT43" s="92"/>
      <c r="AU43" s="92"/>
      <c r="AV43" s="92"/>
      <c r="AW43" s="92"/>
      <c r="AX43" s="92"/>
      <c r="AY43" s="31"/>
      <c r="AZ43" s="92"/>
      <c r="BA43" s="92"/>
      <c r="BB43" s="31">
        <f>'[27]Page 8.1'!$I$13+'[27]Page 8.1'!$I$19</f>
        <v>69500552.513709083</v>
      </c>
      <c r="BC43" s="90"/>
      <c r="BD43" s="90"/>
      <c r="BE43" s="90"/>
      <c r="BF43" s="30"/>
      <c r="BG43" s="90"/>
      <c r="BH43" s="12"/>
      <c r="BI43" s="90"/>
      <c r="BJ43" s="92">
        <f>'[23]Page 8.7'!$I$17</f>
        <v>-360048.63899999904</v>
      </c>
      <c r="BK43" s="92"/>
      <c r="BL43" s="92"/>
      <c r="BM43" s="92"/>
      <c r="BN43" s="31"/>
      <c r="BO43" s="92"/>
      <c r="BP43" s="92"/>
      <c r="BQ43" s="92"/>
      <c r="BR43" s="92"/>
      <c r="BS43" s="92"/>
      <c r="BT43" s="92"/>
      <c r="BU43" s="92"/>
      <c r="BV43" s="299"/>
      <c r="BW43" s="31"/>
      <c r="BX43" s="93"/>
      <c r="BY43" s="15"/>
    </row>
    <row r="44" spans="1:77" x14ac:dyDescent="0.2">
      <c r="A44" s="14" t="s">
        <v>79</v>
      </c>
      <c r="B44" s="100">
        <f t="shared" si="141"/>
        <v>0</v>
      </c>
      <c r="C44" s="31"/>
      <c r="D44" s="92"/>
      <c r="E44" s="92"/>
      <c r="F44" s="92"/>
      <c r="G44" s="92"/>
      <c r="H44" s="90"/>
      <c r="I44" s="91"/>
      <c r="J44" s="30"/>
      <c r="K44" s="91"/>
      <c r="L44" s="31"/>
      <c r="M44" s="92"/>
      <c r="N44" s="92"/>
      <c r="O44" s="92"/>
      <c r="P44" s="92"/>
      <c r="Q44" s="93"/>
      <c r="R44" s="30"/>
      <c r="S44" s="90"/>
      <c r="T44" s="90"/>
      <c r="U44" s="90"/>
      <c r="V44" s="90"/>
      <c r="W44" s="90"/>
      <c r="X44" s="91"/>
      <c r="Y44" s="30"/>
      <c r="Z44" s="90"/>
      <c r="AA44" s="90"/>
      <c r="AB44" s="90"/>
      <c r="AC44" s="91"/>
      <c r="AD44" s="31"/>
      <c r="AE44" s="93"/>
      <c r="AF44" s="31"/>
      <c r="AG44" s="92"/>
      <c r="AH44" s="31"/>
      <c r="AI44" s="92"/>
      <c r="AJ44" s="92"/>
      <c r="AK44" s="93"/>
      <c r="AL44" s="31"/>
      <c r="AM44" s="92"/>
      <c r="AN44" s="92"/>
      <c r="AO44" s="92"/>
      <c r="AP44" s="92"/>
      <c r="AQ44" s="93"/>
      <c r="AR44" s="92"/>
      <c r="AS44" s="31"/>
      <c r="AT44" s="92"/>
      <c r="AU44" s="92"/>
      <c r="AV44" s="92"/>
      <c r="AW44" s="92"/>
      <c r="AX44" s="92"/>
      <c r="AY44" s="31"/>
      <c r="AZ44" s="92"/>
      <c r="BA44" s="92"/>
      <c r="BB44" s="31"/>
      <c r="BC44" s="90"/>
      <c r="BD44" s="90"/>
      <c r="BE44" s="90"/>
      <c r="BF44" s="30"/>
      <c r="BG44" s="90"/>
      <c r="BH44" s="12"/>
      <c r="BI44" s="90"/>
      <c r="BJ44" s="92"/>
      <c r="BK44" s="92"/>
      <c r="BL44" s="92"/>
      <c r="BM44" s="92"/>
      <c r="BN44" s="31"/>
      <c r="BO44" s="92"/>
      <c r="BP44" s="92"/>
      <c r="BQ44" s="92"/>
      <c r="BR44" s="92"/>
      <c r="BS44" s="92"/>
      <c r="BT44" s="92"/>
      <c r="BU44" s="92"/>
      <c r="BV44" s="299"/>
      <c r="BW44" s="31"/>
      <c r="BX44" s="93"/>
      <c r="BY44" s="15"/>
    </row>
    <row r="45" spans="1:77" x14ac:dyDescent="0.2">
      <c r="A45" s="14" t="s">
        <v>80</v>
      </c>
      <c r="B45" s="100">
        <f t="shared" si="141"/>
        <v>-5468734.5442685261</v>
      </c>
      <c r="C45" s="31"/>
      <c r="D45" s="92"/>
      <c r="E45" s="92"/>
      <c r="F45" s="92"/>
      <c r="G45" s="92"/>
      <c r="H45" s="90"/>
      <c r="I45" s="91"/>
      <c r="J45" s="30"/>
      <c r="K45" s="91"/>
      <c r="L45" s="31"/>
      <c r="M45" s="92"/>
      <c r="N45" s="92"/>
      <c r="O45" s="92"/>
      <c r="P45" s="92"/>
      <c r="Q45" s="93"/>
      <c r="R45" s="30"/>
      <c r="S45" s="90"/>
      <c r="T45" s="90"/>
      <c r="U45" s="90"/>
      <c r="V45" s="90"/>
      <c r="W45" s="90"/>
      <c r="X45" s="91"/>
      <c r="Y45" s="30"/>
      <c r="Z45" s="90"/>
      <c r="AA45" s="90"/>
      <c r="AB45" s="90"/>
      <c r="AC45" s="91"/>
      <c r="AD45" s="31"/>
      <c r="AE45" s="93"/>
      <c r="AF45" s="31"/>
      <c r="AG45" s="92"/>
      <c r="AH45" s="31"/>
      <c r="AI45" s="92"/>
      <c r="AJ45" s="92"/>
      <c r="AK45" s="93"/>
      <c r="AL45" s="31"/>
      <c r="AM45" s="92"/>
      <c r="AN45" s="92"/>
      <c r="AO45" s="92"/>
      <c r="AP45" s="92"/>
      <c r="AQ45" s="93"/>
      <c r="AR45" s="92"/>
      <c r="AS45" s="31"/>
      <c r="AT45" s="92"/>
      <c r="AU45" s="92"/>
      <c r="AV45" s="92"/>
      <c r="AW45" s="92"/>
      <c r="AX45" s="92"/>
      <c r="AY45" s="31"/>
      <c r="AZ45" s="92"/>
      <c r="BA45" s="92"/>
      <c r="BB45" s="31">
        <f>'[27]Page 8.1'!$I$14+'[27]Page 8.1'!$I$20</f>
        <v>98976.422746625845</v>
      </c>
      <c r="BC45" s="90">
        <f>'[20]Page 8.2'!$I$21</f>
        <v>130636.84776425855</v>
      </c>
      <c r="BD45" s="90"/>
      <c r="BE45" s="90"/>
      <c r="BF45" s="30"/>
      <c r="BG45" s="90"/>
      <c r="BH45" s="12">
        <f>'[28]Page 8.5 - 8.5.1'!$I$80+'[28]Page 8.5 - 8.5.1'!$I$97</f>
        <v>-5698347.8147794101</v>
      </c>
      <c r="BI45" s="90"/>
      <c r="BJ45" s="92"/>
      <c r="BK45" s="92"/>
      <c r="BL45" s="92"/>
      <c r="BM45" s="92"/>
      <c r="BN45" s="31"/>
      <c r="BO45" s="92"/>
      <c r="BP45" s="92"/>
      <c r="BQ45" s="92"/>
      <c r="BR45" s="92"/>
      <c r="BS45" s="92"/>
      <c r="BT45" s="92"/>
      <c r="BU45" s="92"/>
      <c r="BV45" s="299"/>
      <c r="BW45" s="31"/>
      <c r="BX45" s="93"/>
      <c r="BY45" s="15"/>
    </row>
    <row r="46" spans="1:77" x14ac:dyDescent="0.2">
      <c r="A46" s="14" t="s">
        <v>81</v>
      </c>
      <c r="B46" s="100">
        <f t="shared" si="141"/>
        <v>0</v>
      </c>
      <c r="C46" s="31"/>
      <c r="D46" s="92"/>
      <c r="E46" s="92"/>
      <c r="F46" s="92"/>
      <c r="G46" s="92"/>
      <c r="H46" s="90"/>
      <c r="I46" s="91"/>
      <c r="J46" s="30"/>
      <c r="K46" s="91"/>
      <c r="L46" s="31"/>
      <c r="M46" s="92"/>
      <c r="N46" s="92"/>
      <c r="O46" s="92"/>
      <c r="P46" s="92"/>
      <c r="Q46" s="93"/>
      <c r="R46" s="30"/>
      <c r="S46" s="90"/>
      <c r="T46" s="90"/>
      <c r="U46" s="90"/>
      <c r="V46" s="90"/>
      <c r="W46" s="90"/>
      <c r="X46" s="91"/>
      <c r="Y46" s="30"/>
      <c r="Z46" s="90"/>
      <c r="AA46" s="90"/>
      <c r="AB46" s="90"/>
      <c r="AC46" s="91"/>
      <c r="AD46" s="31"/>
      <c r="AE46" s="93"/>
      <c r="AF46" s="31"/>
      <c r="AG46" s="92"/>
      <c r="AH46" s="31"/>
      <c r="AI46" s="92"/>
      <c r="AJ46" s="92"/>
      <c r="AK46" s="93"/>
      <c r="AL46" s="31"/>
      <c r="AM46" s="92"/>
      <c r="AN46" s="92"/>
      <c r="AO46" s="92"/>
      <c r="AP46" s="92"/>
      <c r="AQ46" s="93"/>
      <c r="AR46" s="92"/>
      <c r="AS46" s="31"/>
      <c r="AT46" s="92"/>
      <c r="AU46" s="92"/>
      <c r="AV46" s="92"/>
      <c r="AW46" s="92"/>
      <c r="AX46" s="92"/>
      <c r="AY46" s="31"/>
      <c r="AZ46" s="92"/>
      <c r="BA46" s="92"/>
      <c r="BB46" s="31"/>
      <c r="BC46" s="90"/>
      <c r="BD46" s="90"/>
      <c r="BE46" s="90"/>
      <c r="BF46" s="30"/>
      <c r="BG46" s="90"/>
      <c r="BH46" s="12"/>
      <c r="BI46" s="90"/>
      <c r="BJ46" s="92"/>
      <c r="BK46" s="92"/>
      <c r="BL46" s="92"/>
      <c r="BM46" s="92"/>
      <c r="BN46" s="31"/>
      <c r="BO46" s="92"/>
      <c r="BP46" s="92"/>
      <c r="BQ46" s="92"/>
      <c r="BR46" s="92"/>
      <c r="BS46" s="92"/>
      <c r="BT46" s="92"/>
      <c r="BU46" s="92"/>
      <c r="BV46" s="299"/>
      <c r="BW46" s="31"/>
      <c r="BX46" s="93"/>
      <c r="BY46" s="15"/>
    </row>
    <row r="47" spans="1:77" x14ac:dyDescent="0.2">
      <c r="A47" s="14" t="s">
        <v>82</v>
      </c>
      <c r="B47" s="100">
        <f t="shared" si="141"/>
        <v>0</v>
      </c>
      <c r="C47" s="31"/>
      <c r="D47" s="92"/>
      <c r="E47" s="92"/>
      <c r="F47" s="92"/>
      <c r="G47" s="92"/>
      <c r="H47" s="90"/>
      <c r="I47" s="91"/>
      <c r="J47" s="30"/>
      <c r="K47" s="91"/>
      <c r="L47" s="31"/>
      <c r="M47" s="92"/>
      <c r="N47" s="92"/>
      <c r="O47" s="92"/>
      <c r="P47" s="92"/>
      <c r="Q47" s="93"/>
      <c r="R47" s="30"/>
      <c r="S47" s="90"/>
      <c r="T47" s="90"/>
      <c r="U47" s="90"/>
      <c r="V47" s="90"/>
      <c r="W47" s="90"/>
      <c r="X47" s="91"/>
      <c r="Y47" s="30"/>
      <c r="Z47" s="90"/>
      <c r="AA47" s="90"/>
      <c r="AB47" s="90"/>
      <c r="AC47" s="91"/>
      <c r="AD47" s="31"/>
      <c r="AE47" s="93"/>
      <c r="AF47" s="31"/>
      <c r="AG47" s="92"/>
      <c r="AH47" s="31"/>
      <c r="AI47" s="92"/>
      <c r="AJ47" s="92"/>
      <c r="AK47" s="93"/>
      <c r="AL47" s="31"/>
      <c r="AM47" s="92"/>
      <c r="AN47" s="92"/>
      <c r="AO47" s="92"/>
      <c r="AP47" s="92"/>
      <c r="AQ47" s="93"/>
      <c r="AR47" s="92"/>
      <c r="AS47" s="31"/>
      <c r="AT47" s="92"/>
      <c r="AU47" s="92"/>
      <c r="AV47" s="92"/>
      <c r="AW47" s="92"/>
      <c r="AX47" s="92"/>
      <c r="AY47" s="31"/>
      <c r="AZ47" s="92"/>
      <c r="BA47" s="92"/>
      <c r="BB47" s="31"/>
      <c r="BC47" s="90"/>
      <c r="BD47" s="90"/>
      <c r="BE47" s="90"/>
      <c r="BF47" s="30"/>
      <c r="BG47" s="90"/>
      <c r="BH47" s="12"/>
      <c r="BI47" s="90"/>
      <c r="BJ47" s="92"/>
      <c r="BK47" s="92"/>
      <c r="BL47" s="92"/>
      <c r="BM47" s="92"/>
      <c r="BN47" s="31"/>
      <c r="BO47" s="92"/>
      <c r="BP47" s="92"/>
      <c r="BQ47" s="92"/>
      <c r="BR47" s="92"/>
      <c r="BS47" s="92"/>
      <c r="BT47" s="92"/>
      <c r="BU47" s="92"/>
      <c r="BV47" s="299"/>
      <c r="BW47" s="31"/>
      <c r="BX47" s="93"/>
      <c r="BY47" s="15"/>
    </row>
    <row r="48" spans="1:77" x14ac:dyDescent="0.2">
      <c r="A48" s="14" t="s">
        <v>83</v>
      </c>
      <c r="B48" s="100">
        <f t="shared" si="141"/>
        <v>-1743278.7185106392</v>
      </c>
      <c r="C48" s="31"/>
      <c r="D48" s="92"/>
      <c r="E48" s="92"/>
      <c r="F48" s="92"/>
      <c r="G48" s="92"/>
      <c r="H48" s="90"/>
      <c r="I48" s="91"/>
      <c r="J48" s="30"/>
      <c r="K48" s="91"/>
      <c r="L48" s="31"/>
      <c r="M48" s="92"/>
      <c r="N48" s="92"/>
      <c r="O48" s="92"/>
      <c r="P48" s="92"/>
      <c r="Q48" s="93"/>
      <c r="R48" s="30"/>
      <c r="S48" s="90"/>
      <c r="T48" s="90"/>
      <c r="U48" s="90"/>
      <c r="V48" s="90"/>
      <c r="W48" s="90"/>
      <c r="X48" s="91"/>
      <c r="Y48" s="30"/>
      <c r="Z48" s="90"/>
      <c r="AA48" s="90"/>
      <c r="AB48" s="90"/>
      <c r="AC48" s="91"/>
      <c r="AD48" s="31"/>
      <c r="AE48" s="93"/>
      <c r="AF48" s="31"/>
      <c r="AG48" s="92"/>
      <c r="AH48" s="31"/>
      <c r="AI48" s="92"/>
      <c r="AJ48" s="92"/>
      <c r="AK48" s="93"/>
      <c r="AL48" s="31"/>
      <c r="AM48" s="92"/>
      <c r="AN48" s="92"/>
      <c r="AO48" s="92"/>
      <c r="AP48" s="92"/>
      <c r="AQ48" s="93"/>
      <c r="AR48" s="92"/>
      <c r="AS48" s="31"/>
      <c r="AT48" s="92"/>
      <c r="AU48" s="92"/>
      <c r="AV48" s="92"/>
      <c r="AW48" s="92"/>
      <c r="AX48" s="92"/>
      <c r="AY48" s="31"/>
      <c r="AZ48" s="92"/>
      <c r="BA48" s="92"/>
      <c r="BB48" s="31"/>
      <c r="BC48" s="90"/>
      <c r="BD48" s="90"/>
      <c r="BE48" s="90"/>
      <c r="BF48" s="30"/>
      <c r="BG48" s="90">
        <f>SUM('[28]Page 8.5 - 8.5.1'!$I$44:$I$50)</f>
        <v>-1541203.4693454588</v>
      </c>
      <c r="BH48" s="12">
        <f>'[28]Page 8.5 - 8.5.1'!$I$70+'[28]Page 8.5 - 8.5.1'!$I$71</f>
        <v>-202075.24916518037</v>
      </c>
      <c r="BI48" s="90"/>
      <c r="BJ48" s="92"/>
      <c r="BK48" s="92"/>
      <c r="BL48" s="92"/>
      <c r="BM48" s="92"/>
      <c r="BN48" s="31"/>
      <c r="BO48" s="92"/>
      <c r="BP48" s="92"/>
      <c r="BQ48" s="92"/>
      <c r="BR48" s="92"/>
      <c r="BS48" s="92"/>
      <c r="BT48" s="92"/>
      <c r="BU48" s="92"/>
      <c r="BV48" s="299"/>
      <c r="BW48" s="31"/>
      <c r="BX48" s="93"/>
      <c r="BY48" s="15"/>
    </row>
    <row r="49" spans="1:77" x14ac:dyDescent="0.2">
      <c r="A49" s="14" t="s">
        <v>84</v>
      </c>
      <c r="B49" s="100">
        <f t="shared" si="141"/>
        <v>-6914148.5720945681</v>
      </c>
      <c r="C49" s="31"/>
      <c r="D49" s="92"/>
      <c r="E49" s="92"/>
      <c r="F49" s="92"/>
      <c r="G49" s="92"/>
      <c r="H49" s="90"/>
      <c r="I49" s="91"/>
      <c r="J49" s="30"/>
      <c r="K49" s="91"/>
      <c r="L49" s="31"/>
      <c r="M49" s="92"/>
      <c r="N49" s="92"/>
      <c r="O49" s="92"/>
      <c r="P49" s="92"/>
      <c r="Q49" s="93"/>
      <c r="R49" s="30"/>
      <c r="S49" s="90"/>
      <c r="T49" s="90"/>
      <c r="U49" s="90"/>
      <c r="V49" s="90"/>
      <c r="W49" s="90"/>
      <c r="X49" s="91"/>
      <c r="Y49" s="30"/>
      <c r="Z49" s="90"/>
      <c r="AA49" s="90"/>
      <c r="AB49" s="90"/>
      <c r="AC49" s="91"/>
      <c r="AD49" s="31"/>
      <c r="AE49" s="93"/>
      <c r="AF49" s="31"/>
      <c r="AG49" s="92"/>
      <c r="AH49" s="31"/>
      <c r="AI49" s="92"/>
      <c r="AJ49" s="92"/>
      <c r="AK49" s="93"/>
      <c r="AL49" s="31"/>
      <c r="AM49" s="92"/>
      <c r="AN49" s="92"/>
      <c r="AO49" s="92"/>
      <c r="AP49" s="92"/>
      <c r="AQ49" s="93"/>
      <c r="AR49" s="92"/>
      <c r="AS49" s="31"/>
      <c r="AT49" s="92"/>
      <c r="AU49" s="92"/>
      <c r="AV49" s="92"/>
      <c r="AW49" s="92"/>
      <c r="AX49" s="92"/>
      <c r="AY49" s="31"/>
      <c r="AZ49" s="92"/>
      <c r="BA49" s="92"/>
      <c r="BB49" s="31"/>
      <c r="BC49" s="90"/>
      <c r="BD49" s="90"/>
      <c r="BE49" s="90"/>
      <c r="BF49" s="30"/>
      <c r="BG49" s="90">
        <f>'[28]Page 8.5 - 8.5.1'!$I$25</f>
        <v>-6914148.5720945681</v>
      </c>
      <c r="BH49" s="12"/>
      <c r="BI49" s="90"/>
      <c r="BJ49" s="92"/>
      <c r="BK49" s="92"/>
      <c r="BL49" s="92"/>
      <c r="BM49" s="92"/>
      <c r="BN49" s="31"/>
      <c r="BO49" s="92"/>
      <c r="BP49" s="92"/>
      <c r="BQ49" s="92"/>
      <c r="BR49" s="92"/>
      <c r="BS49" s="92"/>
      <c r="BT49" s="92"/>
      <c r="BU49" s="92"/>
      <c r="BV49" s="299"/>
      <c r="BW49" s="31"/>
      <c r="BX49" s="93"/>
      <c r="BY49" s="15"/>
    </row>
    <row r="50" spans="1:77" x14ac:dyDescent="0.2">
      <c r="A50" s="14" t="s">
        <v>85</v>
      </c>
      <c r="B50" s="100">
        <f t="shared" si="141"/>
        <v>-6926884.9266495155</v>
      </c>
      <c r="C50" s="31"/>
      <c r="D50" s="92"/>
      <c r="E50" s="92"/>
      <c r="F50" s="92"/>
      <c r="G50" s="92"/>
      <c r="H50" s="90"/>
      <c r="I50" s="91"/>
      <c r="J50" s="30"/>
      <c r="K50" s="91"/>
      <c r="L50" s="31"/>
      <c r="M50" s="92"/>
      <c r="N50" s="92"/>
      <c r="O50" s="92"/>
      <c r="P50" s="92"/>
      <c r="Q50" s="93"/>
      <c r="R50" s="30"/>
      <c r="S50" s="90"/>
      <c r="T50" s="90"/>
      <c r="U50" s="90"/>
      <c r="V50" s="90"/>
      <c r="W50" s="90"/>
      <c r="X50" s="91"/>
      <c r="Y50" s="30"/>
      <c r="Z50" s="90"/>
      <c r="AA50" s="90"/>
      <c r="AB50" s="90"/>
      <c r="AC50" s="91"/>
      <c r="AD50" s="31"/>
      <c r="AE50" s="93"/>
      <c r="AF50" s="31"/>
      <c r="AG50" s="92"/>
      <c r="AH50" s="31"/>
      <c r="AI50" s="92"/>
      <c r="AJ50" s="92"/>
      <c r="AK50" s="93"/>
      <c r="AL50" s="31"/>
      <c r="AM50" s="92"/>
      <c r="AN50" s="92"/>
      <c r="AO50" s="92"/>
      <c r="AP50" s="92"/>
      <c r="AQ50" s="93"/>
      <c r="AR50" s="92"/>
      <c r="AS50" s="31"/>
      <c r="AT50" s="92"/>
      <c r="AU50" s="92"/>
      <c r="AV50" s="92"/>
      <c r="AW50" s="92"/>
      <c r="AX50" s="92"/>
      <c r="AY50" s="31"/>
      <c r="AZ50" s="92"/>
      <c r="BA50" s="92"/>
      <c r="BB50" s="31"/>
      <c r="BC50" s="90"/>
      <c r="BD50" s="90"/>
      <c r="BE50" s="90"/>
      <c r="BF50" s="30"/>
      <c r="BG50" s="90">
        <f>'[28]Page 8.5 - 8.5.1'!$I$41</f>
        <v>-6926884.9266495155</v>
      </c>
      <c r="BH50" s="12"/>
      <c r="BI50" s="90"/>
      <c r="BJ50" s="92"/>
      <c r="BK50" s="92"/>
      <c r="BL50" s="92"/>
      <c r="BM50" s="92"/>
      <c r="BN50" s="31"/>
      <c r="BO50" s="92"/>
      <c r="BP50" s="92"/>
      <c r="BQ50" s="92"/>
      <c r="BR50" s="92"/>
      <c r="BS50" s="92"/>
      <c r="BT50" s="92"/>
      <c r="BU50" s="92"/>
      <c r="BV50" s="299"/>
      <c r="BW50" s="31"/>
      <c r="BX50" s="93"/>
      <c r="BY50" s="15"/>
    </row>
    <row r="51" spans="1:77" x14ac:dyDescent="0.2">
      <c r="A51" s="14" t="s">
        <v>86</v>
      </c>
      <c r="B51" s="100">
        <f t="shared" si="141"/>
        <v>28579779.133268069</v>
      </c>
      <c r="C51" s="31"/>
      <c r="D51" s="92"/>
      <c r="E51" s="92"/>
      <c r="F51" s="92"/>
      <c r="G51" s="92"/>
      <c r="H51" s="90"/>
      <c r="I51" s="91"/>
      <c r="J51" s="30"/>
      <c r="K51" s="91"/>
      <c r="L51" s="31"/>
      <c r="M51" s="92"/>
      <c r="N51" s="92"/>
      <c r="O51" s="92"/>
      <c r="P51" s="92"/>
      <c r="Q51" s="93"/>
      <c r="R51" s="30"/>
      <c r="S51" s="90"/>
      <c r="T51" s="90"/>
      <c r="U51" s="90"/>
      <c r="V51" s="90"/>
      <c r="W51" s="90"/>
      <c r="X51" s="91"/>
      <c r="Y51" s="30"/>
      <c r="Z51" s="90"/>
      <c r="AA51" s="90"/>
      <c r="AB51" s="90"/>
      <c r="AC51" s="91"/>
      <c r="AD51" s="31"/>
      <c r="AE51" s="93"/>
      <c r="AF51" s="31"/>
      <c r="AG51" s="92"/>
      <c r="AH51" s="31"/>
      <c r="AI51" s="92"/>
      <c r="AJ51" s="92"/>
      <c r="AK51" s="93"/>
      <c r="AL51" s="31"/>
      <c r="AM51" s="92"/>
      <c r="AN51" s="92"/>
      <c r="AO51" s="92"/>
      <c r="AP51" s="92"/>
      <c r="AQ51" s="93"/>
      <c r="AR51" s="92"/>
      <c r="AS51" s="31"/>
      <c r="AT51" s="92"/>
      <c r="AU51" s="92"/>
      <c r="AV51" s="92"/>
      <c r="AW51" s="92"/>
      <c r="AX51" s="92"/>
      <c r="AY51" s="31"/>
      <c r="AZ51" s="92"/>
      <c r="BA51" s="92"/>
      <c r="BB51" s="31"/>
      <c r="BC51" s="90"/>
      <c r="BD51" s="90"/>
      <c r="BE51" s="90"/>
      <c r="BF51" s="30"/>
      <c r="BG51" s="90">
        <f>'[28]Page 8.5 - 8.5.1'!$I$19</f>
        <v>-2438703.9515725183</v>
      </c>
      <c r="BH51" s="12"/>
      <c r="BI51" s="90"/>
      <c r="BJ51" s="92"/>
      <c r="BK51" s="92"/>
      <c r="BL51" s="92"/>
      <c r="BM51" s="92"/>
      <c r="BN51" s="31"/>
      <c r="BO51" s="92"/>
      <c r="BP51" s="92"/>
      <c r="BQ51" s="92"/>
      <c r="BR51" s="92"/>
      <c r="BS51" s="92"/>
      <c r="BT51" s="92"/>
      <c r="BU51" s="92"/>
      <c r="BV51" s="299">
        <f>'[29]Page 8.13'!$I$10</f>
        <v>31018483.084840588</v>
      </c>
      <c r="BW51" s="31"/>
      <c r="BX51" s="93"/>
      <c r="BY51" s="15"/>
    </row>
    <row r="52" spans="1:77" x14ac:dyDescent="0.2">
      <c r="A52" s="14" t="s">
        <v>87</v>
      </c>
      <c r="B52" s="100">
        <f t="shared" si="141"/>
        <v>0</v>
      </c>
      <c r="C52" s="31"/>
      <c r="D52" s="92"/>
      <c r="E52" s="92"/>
      <c r="F52" s="92"/>
      <c r="G52" s="92"/>
      <c r="H52" s="90"/>
      <c r="I52" s="91"/>
      <c r="J52" s="30"/>
      <c r="K52" s="91"/>
      <c r="L52" s="31"/>
      <c r="M52" s="92"/>
      <c r="N52" s="92"/>
      <c r="O52" s="92"/>
      <c r="P52" s="92"/>
      <c r="Q52" s="93"/>
      <c r="R52" s="30"/>
      <c r="S52" s="90"/>
      <c r="T52" s="90"/>
      <c r="U52" s="90"/>
      <c r="V52" s="90"/>
      <c r="W52" s="90"/>
      <c r="X52" s="91"/>
      <c r="Y52" s="30"/>
      <c r="Z52" s="90"/>
      <c r="AA52" s="90"/>
      <c r="AB52" s="90"/>
      <c r="AC52" s="91"/>
      <c r="AD52" s="31"/>
      <c r="AE52" s="93"/>
      <c r="AF52" s="31"/>
      <c r="AG52" s="92"/>
      <c r="AH52" s="31"/>
      <c r="AI52" s="92"/>
      <c r="AJ52" s="92"/>
      <c r="AK52" s="93"/>
      <c r="AL52" s="31"/>
      <c r="AM52" s="92"/>
      <c r="AN52" s="92"/>
      <c r="AO52" s="92"/>
      <c r="AP52" s="92"/>
      <c r="AQ52" s="93"/>
      <c r="AR52" s="92"/>
      <c r="AS52" s="31"/>
      <c r="AT52" s="92"/>
      <c r="AU52" s="92"/>
      <c r="AV52" s="92"/>
      <c r="AW52" s="92"/>
      <c r="AX52" s="92"/>
      <c r="AY52" s="31"/>
      <c r="AZ52" s="92"/>
      <c r="BA52" s="92"/>
      <c r="BB52" s="31"/>
      <c r="BC52" s="90"/>
      <c r="BD52" s="90"/>
      <c r="BE52" s="90"/>
      <c r="BF52" s="30"/>
      <c r="BG52" s="90"/>
      <c r="BH52" s="12"/>
      <c r="BI52" s="90"/>
      <c r="BJ52" s="92"/>
      <c r="BK52" s="92"/>
      <c r="BL52" s="92"/>
      <c r="BM52" s="92"/>
      <c r="BN52" s="31"/>
      <c r="BO52" s="92"/>
      <c r="BP52" s="92"/>
      <c r="BQ52" s="92"/>
      <c r="BR52" s="92"/>
      <c r="BS52" s="92"/>
      <c r="BT52" s="92"/>
      <c r="BU52" s="92"/>
      <c r="BV52" s="299"/>
      <c r="BW52" s="31"/>
      <c r="BX52" s="93"/>
      <c r="BY52" s="15"/>
    </row>
    <row r="53" spans="1:77" x14ac:dyDescent="0.2">
      <c r="A53" s="14" t="s">
        <v>88</v>
      </c>
      <c r="B53" s="100">
        <f t="shared" si="141"/>
        <v>0</v>
      </c>
      <c r="C53" s="31"/>
      <c r="D53" s="92"/>
      <c r="E53" s="92"/>
      <c r="F53" s="92"/>
      <c r="G53" s="92"/>
      <c r="H53" s="90"/>
      <c r="I53" s="91"/>
      <c r="J53" s="30"/>
      <c r="K53" s="91"/>
      <c r="L53" s="31"/>
      <c r="M53" s="92"/>
      <c r="N53" s="92"/>
      <c r="O53" s="92"/>
      <c r="P53" s="92"/>
      <c r="Q53" s="93"/>
      <c r="R53" s="30"/>
      <c r="S53" s="90"/>
      <c r="T53" s="90"/>
      <c r="U53" s="90"/>
      <c r="V53" s="90"/>
      <c r="W53" s="90"/>
      <c r="X53" s="91"/>
      <c r="Y53" s="30"/>
      <c r="Z53" s="90"/>
      <c r="AA53" s="90"/>
      <c r="AB53" s="90"/>
      <c r="AC53" s="91"/>
      <c r="AD53" s="31"/>
      <c r="AE53" s="93"/>
      <c r="AF53" s="31"/>
      <c r="AG53" s="92"/>
      <c r="AH53" s="31"/>
      <c r="AI53" s="92"/>
      <c r="AJ53" s="92"/>
      <c r="AK53" s="93"/>
      <c r="AL53" s="31"/>
      <c r="AM53" s="92"/>
      <c r="AN53" s="92"/>
      <c r="AO53" s="92"/>
      <c r="AP53" s="92"/>
      <c r="AQ53" s="93"/>
      <c r="AR53" s="92"/>
      <c r="AS53" s="31"/>
      <c r="AT53" s="92"/>
      <c r="AU53" s="92"/>
      <c r="AV53" s="92"/>
      <c r="AW53" s="92"/>
      <c r="AX53" s="92"/>
      <c r="AY53" s="31"/>
      <c r="AZ53" s="92"/>
      <c r="BA53" s="92"/>
      <c r="BB53" s="31"/>
      <c r="BC53" s="90"/>
      <c r="BD53" s="90"/>
      <c r="BE53" s="90"/>
      <c r="BF53" s="30"/>
      <c r="BG53" s="90"/>
      <c r="BH53" s="12"/>
      <c r="BI53" s="90"/>
      <c r="BJ53" s="92"/>
      <c r="BK53" s="92"/>
      <c r="BL53" s="92"/>
      <c r="BM53" s="92"/>
      <c r="BN53" s="31"/>
      <c r="BO53" s="92"/>
      <c r="BP53" s="92"/>
      <c r="BQ53" s="92"/>
      <c r="BR53" s="92"/>
      <c r="BS53" s="92"/>
      <c r="BT53" s="92"/>
      <c r="BU53" s="92"/>
      <c r="BV53" s="299"/>
      <c r="BW53" s="31"/>
      <c r="BX53" s="93"/>
      <c r="BY53" s="15"/>
    </row>
    <row r="54" spans="1:77" x14ac:dyDescent="0.2">
      <c r="A54" s="14" t="s">
        <v>89</v>
      </c>
      <c r="B54" s="189">
        <f t="shared" si="141"/>
        <v>48339980.437539101</v>
      </c>
      <c r="C54" s="35">
        <f>SUM(C43:C53)</f>
        <v>0</v>
      </c>
      <c r="D54" s="103">
        <f t="shared" ref="D54:BL54" si="142">SUM(D43:D53)</f>
        <v>0</v>
      </c>
      <c r="E54" s="103">
        <f t="shared" ref="E54" si="143">SUM(E43:E53)</f>
        <v>0</v>
      </c>
      <c r="F54" s="103">
        <f t="shared" si="142"/>
        <v>0</v>
      </c>
      <c r="G54" s="103">
        <f t="shared" si="142"/>
        <v>0</v>
      </c>
      <c r="H54" s="103">
        <f t="shared" si="142"/>
        <v>0</v>
      </c>
      <c r="I54" s="104">
        <f t="shared" ref="I54:J54" si="144">SUM(I43:I53)</f>
        <v>0</v>
      </c>
      <c r="J54" s="35">
        <f t="shared" si="144"/>
        <v>0</v>
      </c>
      <c r="K54" s="104">
        <f t="shared" ref="K54" si="145">SUM(K43:K53)</f>
        <v>0</v>
      </c>
      <c r="L54" s="35">
        <f t="shared" si="142"/>
        <v>0</v>
      </c>
      <c r="M54" s="103">
        <f t="shared" si="142"/>
        <v>0</v>
      </c>
      <c r="N54" s="103">
        <f t="shared" ref="N54:O54" si="146">SUM(N43:N53)</f>
        <v>0</v>
      </c>
      <c r="O54" s="103">
        <f t="shared" si="146"/>
        <v>0</v>
      </c>
      <c r="P54" s="103">
        <f t="shared" si="142"/>
        <v>0</v>
      </c>
      <c r="Q54" s="104">
        <f t="shared" si="142"/>
        <v>0</v>
      </c>
      <c r="R54" s="35">
        <f t="shared" ref="R54:V54" si="147">SUM(R43:R53)</f>
        <v>0</v>
      </c>
      <c r="S54" s="103">
        <f t="shared" si="147"/>
        <v>0</v>
      </c>
      <c r="T54" s="103">
        <f t="shared" si="147"/>
        <v>0</v>
      </c>
      <c r="U54" s="103">
        <f t="shared" si="147"/>
        <v>0</v>
      </c>
      <c r="V54" s="103">
        <f t="shared" si="147"/>
        <v>0</v>
      </c>
      <c r="W54" s="103">
        <f t="shared" ref="W54" si="148">SUM(W43:W53)</f>
        <v>0</v>
      </c>
      <c r="X54" s="104">
        <f t="shared" ref="X54:AC54" si="149">SUM(X43:X53)</f>
        <v>0</v>
      </c>
      <c r="Y54" s="35"/>
      <c r="Z54" s="103"/>
      <c r="AA54" s="103"/>
      <c r="AB54" s="103"/>
      <c r="AC54" s="104">
        <f t="shared" si="149"/>
        <v>0</v>
      </c>
      <c r="AD54" s="35">
        <f t="shared" ref="AD54:AK54" si="150">SUM(AD43:AD53)</f>
        <v>0</v>
      </c>
      <c r="AE54" s="104">
        <f t="shared" ref="AE54:AF54" si="151">SUM(AE43:AE53)</f>
        <v>0</v>
      </c>
      <c r="AF54" s="35">
        <f t="shared" si="151"/>
        <v>0</v>
      </c>
      <c r="AG54" s="103">
        <f t="shared" si="150"/>
        <v>-28327255.80891481</v>
      </c>
      <c r="AH54" s="35">
        <f t="shared" ref="AH54:AI54" si="152">SUM(AH43:AH53)</f>
        <v>0</v>
      </c>
      <c r="AI54" s="103">
        <f t="shared" si="152"/>
        <v>0</v>
      </c>
      <c r="AJ54" s="103">
        <f t="shared" ref="AJ54" si="153">SUM(AJ43:AJ53)</f>
        <v>0</v>
      </c>
      <c r="AK54" s="104">
        <f t="shared" si="150"/>
        <v>0</v>
      </c>
      <c r="AL54" s="35">
        <f t="shared" si="142"/>
        <v>0</v>
      </c>
      <c r="AM54" s="103">
        <f t="shared" ref="AM54:AQ54" si="154">SUM(AM43:AM53)</f>
        <v>0</v>
      </c>
      <c r="AN54" s="103">
        <f t="shared" ref="AN54:AP54" si="155">SUM(AN43:AN53)</f>
        <v>0</v>
      </c>
      <c r="AO54" s="103">
        <f t="shared" si="155"/>
        <v>0</v>
      </c>
      <c r="AP54" s="103">
        <f t="shared" si="155"/>
        <v>0</v>
      </c>
      <c r="AQ54" s="104">
        <f t="shared" si="154"/>
        <v>0</v>
      </c>
      <c r="AR54" s="103">
        <f t="shared" ref="AR54" si="156">SUM(AR43:AR53)</f>
        <v>0</v>
      </c>
      <c r="AS54" s="35">
        <f t="shared" si="142"/>
        <v>0</v>
      </c>
      <c r="AT54" s="103">
        <f t="shared" ref="AT54" si="157">SUM(AT43:AT53)</f>
        <v>0</v>
      </c>
      <c r="AU54" s="103">
        <f t="shared" si="142"/>
        <v>0</v>
      </c>
      <c r="AV54" s="103">
        <f t="shared" ref="AV54" si="158">SUM(AV43:AV53)</f>
        <v>0</v>
      </c>
      <c r="AW54" s="103">
        <f t="shared" si="142"/>
        <v>0</v>
      </c>
      <c r="AX54" s="103">
        <f t="shared" si="142"/>
        <v>0</v>
      </c>
      <c r="AY54" s="35">
        <f t="shared" ref="AY54" si="159">SUM(AY43:AY53)</f>
        <v>0</v>
      </c>
      <c r="AZ54" s="103">
        <f t="shared" ref="AZ54" si="160">SUM(AZ43:AZ53)</f>
        <v>0</v>
      </c>
      <c r="BA54" s="103">
        <f t="shared" ref="BA54" si="161">SUM(BA43:BA53)</f>
        <v>0</v>
      </c>
      <c r="BB54" s="35">
        <f t="shared" si="142"/>
        <v>69599528.936455712</v>
      </c>
      <c r="BC54" s="103">
        <f t="shared" si="142"/>
        <v>130636.84776425855</v>
      </c>
      <c r="BD54" s="103">
        <f t="shared" si="142"/>
        <v>0</v>
      </c>
      <c r="BE54" s="103">
        <f t="shared" si="142"/>
        <v>0</v>
      </c>
      <c r="BF54" s="35">
        <f t="shared" ref="BF54" si="162">SUM(BF43:BF53)</f>
        <v>0</v>
      </c>
      <c r="BG54" s="103">
        <f t="shared" ref="BG54" si="163">SUM(BG43:BG53)</f>
        <v>-17820940.919662062</v>
      </c>
      <c r="BH54" s="103">
        <f t="shared" si="142"/>
        <v>-5900423.0639445903</v>
      </c>
      <c r="BI54" s="103">
        <f t="shared" si="142"/>
        <v>0</v>
      </c>
      <c r="BJ54" s="103">
        <f t="shared" si="142"/>
        <v>-360048.63899999904</v>
      </c>
      <c r="BK54" s="103">
        <f t="shared" ref="BK54" si="164">SUM(BK43:BK53)</f>
        <v>0</v>
      </c>
      <c r="BL54" s="103">
        <f t="shared" si="142"/>
        <v>0</v>
      </c>
      <c r="BM54" s="103">
        <f t="shared" ref="BM54:BS54" si="165">SUM(BM43:BM53)</f>
        <v>0</v>
      </c>
      <c r="BN54" s="35">
        <f t="shared" si="165"/>
        <v>0</v>
      </c>
      <c r="BO54" s="103">
        <f t="shared" si="165"/>
        <v>0</v>
      </c>
      <c r="BP54" s="103">
        <f t="shared" si="165"/>
        <v>0</v>
      </c>
      <c r="BQ54" s="103">
        <f t="shared" ref="BQ54:BR54" si="166">SUM(BQ43:BQ53)</f>
        <v>0</v>
      </c>
      <c r="BR54" s="103">
        <f t="shared" si="166"/>
        <v>0</v>
      </c>
      <c r="BS54" s="103">
        <f t="shared" si="165"/>
        <v>0</v>
      </c>
      <c r="BT54" s="103">
        <f t="shared" ref="BT54:BU54" si="167">SUM(BT43:BT53)</f>
        <v>0</v>
      </c>
      <c r="BU54" s="103">
        <f t="shared" si="167"/>
        <v>0</v>
      </c>
      <c r="BV54" s="189">
        <f>SUM(BV44:BV53)</f>
        <v>31018483.084840588</v>
      </c>
      <c r="BW54" s="35">
        <f t="shared" ref="BW54" si="168">SUM(BW43:BW53)</f>
        <v>0</v>
      </c>
      <c r="BX54" s="104">
        <f t="shared" ref="BX54" si="169">SUM(BX43:BX53)</f>
        <v>0</v>
      </c>
      <c r="BY54" s="15"/>
    </row>
    <row r="55" spans="1:77" x14ac:dyDescent="0.2">
      <c r="A55" s="14"/>
      <c r="B55" s="88"/>
      <c r="C55" s="29"/>
      <c r="D55" s="12"/>
      <c r="E55" s="12"/>
      <c r="F55" s="12"/>
      <c r="G55" s="12"/>
      <c r="H55" s="12"/>
      <c r="I55" s="86"/>
      <c r="J55" s="29"/>
      <c r="K55" s="86"/>
      <c r="L55" s="29"/>
      <c r="M55" s="12"/>
      <c r="N55" s="12"/>
      <c r="O55" s="12"/>
      <c r="P55" s="12"/>
      <c r="Q55" s="86"/>
      <c r="R55" s="29"/>
      <c r="S55" s="12"/>
      <c r="T55" s="12"/>
      <c r="U55" s="12"/>
      <c r="V55" s="12"/>
      <c r="W55" s="12"/>
      <c r="X55" s="86"/>
      <c r="Y55" s="29"/>
      <c r="Z55" s="12"/>
      <c r="AA55" s="12"/>
      <c r="AB55" s="12"/>
      <c r="AC55" s="86"/>
      <c r="AD55" s="29"/>
      <c r="AE55" s="86"/>
      <c r="AF55" s="29"/>
      <c r="AG55" s="12"/>
      <c r="AH55" s="29"/>
      <c r="AI55" s="12"/>
      <c r="AJ55" s="12"/>
      <c r="AK55" s="86"/>
      <c r="AL55" s="29"/>
      <c r="AM55" s="12"/>
      <c r="AN55" s="12"/>
      <c r="AO55" s="12"/>
      <c r="AP55" s="12"/>
      <c r="AQ55" s="86"/>
      <c r="AR55" s="12"/>
      <c r="AS55" s="29"/>
      <c r="AT55" s="12"/>
      <c r="AU55" s="12"/>
      <c r="AV55" s="12"/>
      <c r="AW55" s="12"/>
      <c r="AX55" s="12"/>
      <c r="AY55" s="29"/>
      <c r="AZ55" s="12"/>
      <c r="BA55" s="12"/>
      <c r="BB55" s="29"/>
      <c r="BC55" s="12"/>
      <c r="BD55" s="12"/>
      <c r="BE55" s="12"/>
      <c r="BF55" s="29"/>
      <c r="BG55" s="12"/>
      <c r="BH55" s="12"/>
      <c r="BI55" s="12"/>
      <c r="BJ55" s="12"/>
      <c r="BK55" s="12"/>
      <c r="BL55" s="12"/>
      <c r="BM55" s="12"/>
      <c r="BN55" s="29"/>
      <c r="BO55" s="12"/>
      <c r="BP55" s="12"/>
      <c r="BQ55" s="12"/>
      <c r="BR55" s="12"/>
      <c r="BS55" s="12"/>
      <c r="BT55" s="12"/>
      <c r="BU55" s="12"/>
      <c r="BV55" s="88"/>
      <c r="BW55" s="29"/>
      <c r="BX55" s="86"/>
      <c r="BY55" s="15"/>
    </row>
    <row r="56" spans="1:77" x14ac:dyDescent="0.2">
      <c r="A56" s="14" t="s">
        <v>90</v>
      </c>
      <c r="B56" s="88"/>
      <c r="C56" s="29"/>
      <c r="D56" s="12"/>
      <c r="E56" s="12"/>
      <c r="F56" s="12"/>
      <c r="G56" s="12"/>
      <c r="H56" s="12"/>
      <c r="I56" s="86"/>
      <c r="J56" s="29"/>
      <c r="K56" s="86"/>
      <c r="L56" s="29"/>
      <c r="M56" s="12"/>
      <c r="N56" s="12"/>
      <c r="O56" s="12"/>
      <c r="P56" s="12"/>
      <c r="Q56" s="86"/>
      <c r="R56" s="29"/>
      <c r="S56" s="12"/>
      <c r="T56" s="12"/>
      <c r="U56" s="12"/>
      <c r="V56" s="12"/>
      <c r="W56" s="12"/>
      <c r="X56" s="86"/>
      <c r="Y56" s="29"/>
      <c r="Z56" s="12"/>
      <c r="AA56" s="12"/>
      <c r="AB56" s="12"/>
      <c r="AC56" s="86"/>
      <c r="AD56" s="29"/>
      <c r="AE56" s="86"/>
      <c r="AF56" s="29"/>
      <c r="AG56" s="12"/>
      <c r="AH56" s="29"/>
      <c r="AI56" s="12"/>
      <c r="AJ56" s="12"/>
      <c r="AK56" s="86"/>
      <c r="AL56" s="29"/>
      <c r="AM56" s="12"/>
      <c r="AN56" s="12"/>
      <c r="AO56" s="12"/>
      <c r="AP56" s="12"/>
      <c r="AQ56" s="86"/>
      <c r="AR56" s="12"/>
      <c r="AS56" s="29"/>
      <c r="AT56" s="12"/>
      <c r="AU56" s="12"/>
      <c r="AV56" s="12"/>
      <c r="AW56" s="12"/>
      <c r="AX56" s="12"/>
      <c r="AY56" s="29"/>
      <c r="AZ56" s="12"/>
      <c r="BA56" s="12"/>
      <c r="BB56" s="29"/>
      <c r="BC56" s="12"/>
      <c r="BD56" s="12"/>
      <c r="BE56" s="12"/>
      <c r="BF56" s="29"/>
      <c r="BG56" s="12"/>
      <c r="BH56" s="12"/>
      <c r="BI56" s="12"/>
      <c r="BJ56" s="12"/>
      <c r="BK56" s="12"/>
      <c r="BL56" s="12"/>
      <c r="BM56" s="12"/>
      <c r="BN56" s="29"/>
      <c r="BO56" s="12"/>
      <c r="BP56" s="12"/>
      <c r="BQ56" s="12"/>
      <c r="BR56" s="12"/>
      <c r="BS56" s="12"/>
      <c r="BT56" s="12"/>
      <c r="BU56" s="12"/>
      <c r="BV56" s="88"/>
      <c r="BW56" s="29"/>
      <c r="BX56" s="86"/>
      <c r="BY56" s="15"/>
    </row>
    <row r="57" spans="1:77" x14ac:dyDescent="0.2">
      <c r="A57" s="14" t="s">
        <v>91</v>
      </c>
      <c r="B57" s="100">
        <f t="shared" ref="B57:B65" si="170">SUM(C57:BX57)</f>
        <v>-22052912.761320852</v>
      </c>
      <c r="C57" s="31"/>
      <c r="D57" s="92"/>
      <c r="E57" s="92"/>
      <c r="F57" s="92"/>
      <c r="G57" s="92"/>
      <c r="H57" s="90"/>
      <c r="I57" s="91"/>
      <c r="J57" s="30"/>
      <c r="K57" s="91"/>
      <c r="L57" s="31"/>
      <c r="M57" s="92"/>
      <c r="N57" s="92"/>
      <c r="O57" s="92"/>
      <c r="P57" s="92"/>
      <c r="Q57" s="93"/>
      <c r="R57" s="30"/>
      <c r="S57" s="90"/>
      <c r="T57" s="90"/>
      <c r="U57" s="90"/>
      <c r="V57" s="90"/>
      <c r="W57" s="90"/>
      <c r="X57" s="91"/>
      <c r="Y57" s="30"/>
      <c r="Z57" s="90"/>
      <c r="AA57" s="90"/>
      <c r="AB57" s="90"/>
      <c r="AC57" s="91"/>
      <c r="AD57" s="31"/>
      <c r="AE57" s="93"/>
      <c r="AF57" s="31"/>
      <c r="AG57" s="92">
        <f>'[21]Page 5.3'!$I$20+'[21]Page 5.3'!$I$21</f>
        <v>18631294.304746002</v>
      </c>
      <c r="AH57" s="31"/>
      <c r="AI57" s="92"/>
      <c r="AJ57" s="92"/>
      <c r="AK57" s="93"/>
      <c r="AL57" s="31"/>
      <c r="AM57" s="92">
        <f>'[22]Page 6.3.1'!$I$42</f>
        <v>-1428608.4764376204</v>
      </c>
      <c r="AN57" s="92"/>
      <c r="AO57" s="92"/>
      <c r="AP57" s="92"/>
      <c r="AQ57" s="93"/>
      <c r="AR57" s="92"/>
      <c r="AS57" s="31"/>
      <c r="AT57" s="92"/>
      <c r="AU57" s="92"/>
      <c r="AV57" s="92"/>
      <c r="AW57" s="92"/>
      <c r="AX57" s="92"/>
      <c r="AY57" s="31"/>
      <c r="AZ57" s="92"/>
      <c r="BA57" s="92"/>
      <c r="BB57" s="31">
        <f>'[27]Page 8.1'!$I$15+'[27]Page 8.1'!$I$21</f>
        <v>-39255598.589629233</v>
      </c>
      <c r="BC57" s="90"/>
      <c r="BD57" s="90"/>
      <c r="BE57" s="90"/>
      <c r="BF57" s="30"/>
      <c r="BG57" s="90"/>
      <c r="BH57" s="12"/>
      <c r="BI57" s="90"/>
      <c r="BJ57" s="92"/>
      <c r="BK57" s="92"/>
      <c r="BL57" s="92"/>
      <c r="BM57" s="92"/>
      <c r="BN57" s="31"/>
      <c r="BO57" s="92"/>
      <c r="BP57" s="92"/>
      <c r="BQ57" s="92"/>
      <c r="BR57" s="92"/>
      <c r="BS57" s="92"/>
      <c r="BT57" s="92"/>
      <c r="BU57" s="92"/>
      <c r="BV57" s="299"/>
      <c r="BW57" s="31"/>
      <c r="BX57" s="93"/>
      <c r="BY57" s="15"/>
    </row>
    <row r="58" spans="1:77" x14ac:dyDescent="0.2">
      <c r="A58" s="14" t="s">
        <v>92</v>
      </c>
      <c r="B58" s="100">
        <f t="shared" si="170"/>
        <v>0</v>
      </c>
      <c r="C58" s="31"/>
      <c r="D58" s="92"/>
      <c r="E58" s="92"/>
      <c r="F58" s="92"/>
      <c r="G58" s="92"/>
      <c r="H58" s="90"/>
      <c r="I58" s="91"/>
      <c r="J58" s="30"/>
      <c r="K58" s="91"/>
      <c r="L58" s="31"/>
      <c r="M58" s="92"/>
      <c r="N58" s="92"/>
      <c r="O58" s="92"/>
      <c r="P58" s="92"/>
      <c r="Q58" s="93"/>
      <c r="R58" s="30"/>
      <c r="S58" s="90"/>
      <c r="T58" s="90"/>
      <c r="U58" s="90"/>
      <c r="V58" s="90"/>
      <c r="W58" s="90"/>
      <c r="X58" s="91"/>
      <c r="Y58" s="30"/>
      <c r="Z58" s="90"/>
      <c r="AA58" s="90"/>
      <c r="AB58" s="90"/>
      <c r="AC58" s="91"/>
      <c r="AD58" s="31"/>
      <c r="AE58" s="93"/>
      <c r="AF58" s="31"/>
      <c r="AG58" s="92"/>
      <c r="AH58" s="31"/>
      <c r="AI58" s="92"/>
      <c r="AJ58" s="92"/>
      <c r="AK58" s="93"/>
      <c r="AL58" s="31"/>
      <c r="AM58" s="92"/>
      <c r="AN58" s="92"/>
      <c r="AO58" s="92"/>
      <c r="AP58" s="92"/>
      <c r="AQ58" s="93"/>
      <c r="AR58" s="92"/>
      <c r="AS58" s="31"/>
      <c r="AT58" s="92"/>
      <c r="AU58" s="92"/>
      <c r="AV58" s="92"/>
      <c r="AW58" s="92"/>
      <c r="AX58" s="92"/>
      <c r="AY58" s="31"/>
      <c r="AZ58" s="92"/>
      <c r="BA58" s="92"/>
      <c r="BB58" s="31"/>
      <c r="BC58" s="90"/>
      <c r="BD58" s="90"/>
      <c r="BE58" s="90"/>
      <c r="BF58" s="30"/>
      <c r="BG58" s="90"/>
      <c r="BH58" s="12"/>
      <c r="BI58" s="90"/>
      <c r="BJ58" s="92"/>
      <c r="BK58" s="92"/>
      <c r="BL58" s="92"/>
      <c r="BM58" s="92"/>
      <c r="BN58" s="31"/>
      <c r="BO58" s="92"/>
      <c r="BP58" s="92"/>
      <c r="BQ58" s="92"/>
      <c r="BR58" s="92"/>
      <c r="BS58" s="92"/>
      <c r="BT58" s="92"/>
      <c r="BU58" s="92"/>
      <c r="BV58" s="299"/>
      <c r="BW58" s="31"/>
      <c r="BX58" s="93"/>
      <c r="BY58" s="15"/>
    </row>
    <row r="59" spans="1:77" x14ac:dyDescent="0.2">
      <c r="A59" s="14" t="s">
        <v>93</v>
      </c>
      <c r="B59" s="100">
        <f t="shared" si="170"/>
        <v>-13518776.472470958</v>
      </c>
      <c r="C59" s="31"/>
      <c r="D59" s="92"/>
      <c r="E59" s="92"/>
      <c r="F59" s="92"/>
      <c r="G59" s="92"/>
      <c r="H59" s="90"/>
      <c r="I59" s="91"/>
      <c r="J59" s="30"/>
      <c r="K59" s="91"/>
      <c r="L59" s="31"/>
      <c r="M59" s="92"/>
      <c r="N59" s="92"/>
      <c r="O59" s="92"/>
      <c r="P59" s="92"/>
      <c r="Q59" s="93"/>
      <c r="R59" s="30"/>
      <c r="S59" s="90"/>
      <c r="T59" s="90"/>
      <c r="U59" s="90"/>
      <c r="V59" s="90"/>
      <c r="W59" s="90"/>
      <c r="X59" s="91"/>
      <c r="Y59" s="30"/>
      <c r="Z59" s="90"/>
      <c r="AA59" s="90"/>
      <c r="AB59" s="90"/>
      <c r="AC59" s="91"/>
      <c r="AD59" s="31"/>
      <c r="AE59" s="93"/>
      <c r="AF59" s="31"/>
      <c r="AG59" s="92">
        <f>'[21]Page 5.3'!$I$22</f>
        <v>1126970.5347474767</v>
      </c>
      <c r="AH59" s="31"/>
      <c r="AI59" s="92"/>
      <c r="AJ59" s="92"/>
      <c r="AK59" s="93"/>
      <c r="AL59" s="31"/>
      <c r="AM59" s="92"/>
      <c r="AN59" s="92">
        <f>'[22]Page 6.3.2'!$I$56</f>
        <v>542171.20289284119</v>
      </c>
      <c r="AO59" s="92"/>
      <c r="AP59" s="92"/>
      <c r="AQ59" s="93">
        <f>'[10]Page 6.4.2'!$I$55</f>
        <v>-143763.74042216278</v>
      </c>
      <c r="AR59" s="92"/>
      <c r="AS59" s="31"/>
      <c r="AT59" s="92"/>
      <c r="AU59" s="92"/>
      <c r="AV59" s="92">
        <f>'[30]Page 7.4'!$I$26</f>
        <v>-1637024.0885679396</v>
      </c>
      <c r="AW59" s="92"/>
      <c r="AX59" s="92">
        <f>'[25]Page 7.6 - 7.6.1'!$I$53</f>
        <v>-9662969.1539299972</v>
      </c>
      <c r="AY59" s="31"/>
      <c r="AZ59" s="92">
        <f>[14]TAX!$I$447</f>
        <v>245568</v>
      </c>
      <c r="BA59" s="92"/>
      <c r="BB59" s="31">
        <f>'[27]Page 8.1'!$I$25</f>
        <v>-3609058.0436743628</v>
      </c>
      <c r="BC59" s="90">
        <f>'[20]Page 8.2'!$I$29+'[20]Page 8.2'!$I$33</f>
        <v>-380671.18351681437</v>
      </c>
      <c r="BD59" s="90"/>
      <c r="BE59" s="90"/>
      <c r="BF59" s="30"/>
      <c r="BG59" s="90"/>
      <c r="BH59" s="12"/>
      <c r="BI59" s="90"/>
      <c r="BJ59" s="92"/>
      <c r="BK59" s="92"/>
      <c r="BL59" s="92"/>
      <c r="BM59" s="92"/>
      <c r="BN59" s="31"/>
      <c r="BO59" s="92"/>
      <c r="BP59" s="92"/>
      <c r="BQ59" s="92"/>
      <c r="BR59" s="92"/>
      <c r="BS59" s="92"/>
      <c r="BT59" s="92"/>
      <c r="BU59" s="92"/>
      <c r="BV59" s="299"/>
      <c r="BW59" s="31"/>
      <c r="BX59" s="93"/>
      <c r="BY59" s="15"/>
    </row>
    <row r="60" spans="1:77" x14ac:dyDescent="0.2">
      <c r="A60" s="14" t="s">
        <v>94</v>
      </c>
      <c r="B60" s="100">
        <f t="shared" si="170"/>
        <v>1645.6848</v>
      </c>
      <c r="C60" s="31"/>
      <c r="D60" s="92"/>
      <c r="E60" s="92"/>
      <c r="F60" s="92"/>
      <c r="G60" s="92"/>
      <c r="H60" s="90"/>
      <c r="I60" s="91"/>
      <c r="J60" s="30"/>
      <c r="K60" s="91"/>
      <c r="L60" s="31"/>
      <c r="M60" s="92"/>
      <c r="N60" s="92"/>
      <c r="O60" s="92"/>
      <c r="P60" s="92"/>
      <c r="Q60" s="93"/>
      <c r="R60" s="30"/>
      <c r="S60" s="90"/>
      <c r="T60" s="90"/>
      <c r="U60" s="90"/>
      <c r="V60" s="90"/>
      <c r="W60" s="90"/>
      <c r="X60" s="91"/>
      <c r="Y60" s="30"/>
      <c r="Z60" s="90"/>
      <c r="AA60" s="90"/>
      <c r="AB60" s="90"/>
      <c r="AC60" s="91"/>
      <c r="AD60" s="31"/>
      <c r="AE60" s="93"/>
      <c r="AF60" s="31"/>
      <c r="AG60" s="92">
        <f>'[21]Page 5.3'!$I$23</f>
        <v>1645.6848</v>
      </c>
      <c r="AH60" s="31"/>
      <c r="AI60" s="92"/>
      <c r="AJ60" s="92"/>
      <c r="AK60" s="93"/>
      <c r="AL60" s="31"/>
      <c r="AM60" s="92"/>
      <c r="AN60" s="92"/>
      <c r="AO60" s="92"/>
      <c r="AP60" s="92"/>
      <c r="AQ60" s="93"/>
      <c r="AR60" s="92"/>
      <c r="AS60" s="31"/>
      <c r="AT60" s="92"/>
      <c r="AU60" s="92"/>
      <c r="AV60" s="92"/>
      <c r="AW60" s="92"/>
      <c r="AX60" s="92"/>
      <c r="AY60" s="31"/>
      <c r="AZ60" s="92"/>
      <c r="BA60" s="92"/>
      <c r="BB60" s="31"/>
      <c r="BC60" s="90"/>
      <c r="BD60" s="90"/>
      <c r="BE60" s="90"/>
      <c r="BF60" s="30"/>
      <c r="BG60" s="90"/>
      <c r="BH60" s="12"/>
      <c r="BI60" s="90"/>
      <c r="BJ60" s="92"/>
      <c r="BK60" s="92"/>
      <c r="BL60" s="92"/>
      <c r="BM60" s="92"/>
      <c r="BN60" s="31"/>
      <c r="BO60" s="92"/>
      <c r="BP60" s="92"/>
      <c r="BQ60" s="92"/>
      <c r="BR60" s="92"/>
      <c r="BS60" s="92"/>
      <c r="BT60" s="92"/>
      <c r="BU60" s="92"/>
      <c r="BV60" s="299"/>
      <c r="BW60" s="31"/>
      <c r="BX60" s="93"/>
      <c r="BY60" s="15"/>
    </row>
    <row r="61" spans="1:77" x14ac:dyDescent="0.2">
      <c r="A61" s="14" t="s">
        <v>95</v>
      </c>
      <c r="B61" s="100">
        <f t="shared" si="170"/>
        <v>-481414.22831967368</v>
      </c>
      <c r="C61" s="31"/>
      <c r="D61" s="92"/>
      <c r="E61" s="92"/>
      <c r="F61" s="92"/>
      <c r="G61" s="92"/>
      <c r="H61" s="90"/>
      <c r="I61" s="91"/>
      <c r="J61" s="30"/>
      <c r="K61" s="91"/>
      <c r="L61" s="31"/>
      <c r="M61" s="92"/>
      <c r="N61" s="92"/>
      <c r="O61" s="92"/>
      <c r="P61" s="92"/>
      <c r="Q61" s="93"/>
      <c r="R61" s="30"/>
      <c r="S61" s="90"/>
      <c r="T61" s="90"/>
      <c r="U61" s="90"/>
      <c r="V61" s="90"/>
      <c r="W61" s="90"/>
      <c r="X61" s="91"/>
      <c r="Y61" s="30"/>
      <c r="Z61" s="90"/>
      <c r="AA61" s="90"/>
      <c r="AB61" s="90"/>
      <c r="AC61" s="91"/>
      <c r="AD61" s="31"/>
      <c r="AE61" s="93"/>
      <c r="AF61" s="31"/>
      <c r="AG61" s="92"/>
      <c r="AH61" s="31"/>
      <c r="AI61" s="92"/>
      <c r="AJ61" s="92"/>
      <c r="AK61" s="93"/>
      <c r="AL61" s="31"/>
      <c r="AM61" s="92"/>
      <c r="AN61" s="92"/>
      <c r="AO61" s="92"/>
      <c r="AP61" s="92"/>
      <c r="AQ61" s="93"/>
      <c r="AR61" s="92"/>
      <c r="AS61" s="31"/>
      <c r="AT61" s="92"/>
      <c r="AU61" s="92"/>
      <c r="AV61" s="92"/>
      <c r="AW61" s="92"/>
      <c r="AX61" s="92"/>
      <c r="AY61" s="31"/>
      <c r="AZ61" s="92"/>
      <c r="BA61" s="92"/>
      <c r="BB61" s="31"/>
      <c r="BC61" s="90"/>
      <c r="BD61" s="90">
        <f>'[31]Page 8.3'!$I$24</f>
        <v>-481414.22831967368</v>
      </c>
      <c r="BE61" s="90"/>
      <c r="BF61" s="30"/>
      <c r="BG61" s="90"/>
      <c r="BH61" s="12"/>
      <c r="BI61" s="90"/>
      <c r="BJ61" s="92"/>
      <c r="BK61" s="92"/>
      <c r="BL61" s="92"/>
      <c r="BM61" s="92"/>
      <c r="BN61" s="31"/>
      <c r="BO61" s="92"/>
      <c r="BP61" s="92"/>
      <c r="BQ61" s="92"/>
      <c r="BR61" s="92"/>
      <c r="BS61" s="92"/>
      <c r="BT61" s="92"/>
      <c r="BU61" s="92"/>
      <c r="BV61" s="299"/>
      <c r="BW61" s="31"/>
      <c r="BX61" s="93"/>
      <c r="BY61" s="15"/>
    </row>
    <row r="62" spans="1:77" x14ac:dyDescent="0.2">
      <c r="A62" s="14" t="s">
        <v>96</v>
      </c>
      <c r="B62" s="100">
        <f t="shared" si="170"/>
        <v>-3361133.729166666</v>
      </c>
      <c r="C62" s="31"/>
      <c r="D62" s="92"/>
      <c r="E62" s="92"/>
      <c r="F62" s="92"/>
      <c r="G62" s="92"/>
      <c r="H62" s="90"/>
      <c r="I62" s="91"/>
      <c r="J62" s="30"/>
      <c r="K62" s="91"/>
      <c r="L62" s="31"/>
      <c r="M62" s="92"/>
      <c r="N62" s="92"/>
      <c r="O62" s="92"/>
      <c r="P62" s="92"/>
      <c r="Q62" s="93"/>
      <c r="R62" s="30"/>
      <c r="S62" s="90"/>
      <c r="T62" s="90"/>
      <c r="U62" s="90"/>
      <c r="V62" s="90"/>
      <c r="W62" s="90"/>
      <c r="X62" s="91"/>
      <c r="Y62" s="30"/>
      <c r="Z62" s="90"/>
      <c r="AA62" s="90"/>
      <c r="AB62" s="90"/>
      <c r="AC62" s="91"/>
      <c r="AD62" s="31"/>
      <c r="AE62" s="93"/>
      <c r="AF62" s="31"/>
      <c r="AG62" s="92"/>
      <c r="AH62" s="31"/>
      <c r="AI62" s="92"/>
      <c r="AJ62" s="92"/>
      <c r="AK62" s="93"/>
      <c r="AL62" s="31"/>
      <c r="AM62" s="92"/>
      <c r="AN62" s="92"/>
      <c r="AO62" s="92"/>
      <c r="AP62" s="92"/>
      <c r="AQ62" s="93"/>
      <c r="AR62" s="92"/>
      <c r="AS62" s="31"/>
      <c r="AT62" s="92"/>
      <c r="AU62" s="92"/>
      <c r="AV62" s="92"/>
      <c r="AW62" s="92"/>
      <c r="AX62" s="92"/>
      <c r="AY62" s="31"/>
      <c r="AZ62" s="92"/>
      <c r="BA62" s="92"/>
      <c r="BB62" s="31"/>
      <c r="BC62" s="90"/>
      <c r="BD62" s="90"/>
      <c r="BE62" s="90"/>
      <c r="BF62" s="30"/>
      <c r="BG62" s="90"/>
      <c r="BH62" s="12"/>
      <c r="BI62" s="90"/>
      <c r="BJ62" s="92"/>
      <c r="BK62" s="92"/>
      <c r="BL62" s="92">
        <f>'[26]Page 8.9'!$I$14</f>
        <v>-3361133.729166666</v>
      </c>
      <c r="BM62" s="92"/>
      <c r="BN62" s="31"/>
      <c r="BO62" s="92"/>
      <c r="BP62" s="92"/>
      <c r="BQ62" s="92"/>
      <c r="BR62" s="92"/>
      <c r="BS62" s="92"/>
      <c r="BT62" s="92"/>
      <c r="BU62" s="92"/>
      <c r="BV62" s="299"/>
      <c r="BW62" s="31"/>
      <c r="BX62" s="93"/>
      <c r="BY62" s="15"/>
    </row>
    <row r="63" spans="1:77" x14ac:dyDescent="0.2">
      <c r="A63" s="14" t="s">
        <v>97</v>
      </c>
      <c r="B63" s="100">
        <f t="shared" si="170"/>
        <v>3501826.1956963525</v>
      </c>
      <c r="C63" s="31"/>
      <c r="D63" s="92"/>
      <c r="E63" s="92"/>
      <c r="F63" s="92"/>
      <c r="G63" s="92"/>
      <c r="H63" s="90"/>
      <c r="I63" s="91"/>
      <c r="J63" s="30"/>
      <c r="K63" s="91"/>
      <c r="L63" s="31"/>
      <c r="M63" s="92"/>
      <c r="N63" s="92"/>
      <c r="O63" s="92"/>
      <c r="P63" s="92"/>
      <c r="Q63" s="93"/>
      <c r="R63" s="30"/>
      <c r="S63" s="90"/>
      <c r="T63" s="90"/>
      <c r="U63" s="90"/>
      <c r="V63" s="90"/>
      <c r="W63" s="90"/>
      <c r="X63" s="91"/>
      <c r="Y63" s="30"/>
      <c r="Z63" s="90"/>
      <c r="AA63" s="90"/>
      <c r="AB63" s="90"/>
      <c r="AC63" s="91"/>
      <c r="AD63" s="31"/>
      <c r="AE63" s="93"/>
      <c r="AF63" s="31"/>
      <c r="AG63" s="92"/>
      <c r="AH63" s="31"/>
      <c r="AI63" s="92"/>
      <c r="AJ63" s="92"/>
      <c r="AK63" s="93"/>
      <c r="AL63" s="31"/>
      <c r="AM63" s="92"/>
      <c r="AN63" s="92"/>
      <c r="AO63" s="92"/>
      <c r="AP63" s="92"/>
      <c r="AQ63" s="93"/>
      <c r="AR63" s="92"/>
      <c r="AS63" s="31"/>
      <c r="AT63" s="92"/>
      <c r="AU63" s="92"/>
      <c r="AV63" s="92"/>
      <c r="AW63" s="92"/>
      <c r="AX63" s="92"/>
      <c r="AY63" s="31"/>
      <c r="AZ63" s="92"/>
      <c r="BA63" s="92"/>
      <c r="BB63" s="31"/>
      <c r="BC63" s="90"/>
      <c r="BD63" s="90"/>
      <c r="BE63" s="90"/>
      <c r="BF63" s="30"/>
      <c r="BG63" s="90"/>
      <c r="BH63" s="12">
        <f>'[28]Page 8.5 - 8.5.1'!$I$103+'[28]Page 8.5 - 8.5.1'!$I$104</f>
        <v>3585468.8436130192</v>
      </c>
      <c r="BI63" s="90"/>
      <c r="BJ63" s="92"/>
      <c r="BK63" s="92">
        <f>'[32]Page 8.8'!$I$9</f>
        <v>-83642.64791666661</v>
      </c>
      <c r="BL63" s="92"/>
      <c r="BM63" s="92"/>
      <c r="BN63" s="31"/>
      <c r="BO63" s="92"/>
      <c r="BP63" s="92"/>
      <c r="BQ63" s="92"/>
      <c r="BR63" s="92"/>
      <c r="BS63" s="92"/>
      <c r="BT63" s="92"/>
      <c r="BU63" s="92"/>
      <c r="BV63" s="299"/>
      <c r="BW63" s="31"/>
      <c r="BX63" s="93"/>
      <c r="BY63" s="15"/>
    </row>
    <row r="64" spans="1:77" x14ac:dyDescent="0.2">
      <c r="A64" s="14"/>
      <c r="B64" s="88">
        <f t="shared" si="170"/>
        <v>0</v>
      </c>
      <c r="C64" s="29"/>
      <c r="D64" s="12"/>
      <c r="E64" s="12"/>
      <c r="F64" s="12"/>
      <c r="G64" s="12"/>
      <c r="H64" s="12"/>
      <c r="I64" s="86"/>
      <c r="J64" s="29"/>
      <c r="K64" s="86"/>
      <c r="L64" s="29"/>
      <c r="M64" s="12"/>
      <c r="N64" s="12"/>
      <c r="O64" s="12"/>
      <c r="P64" s="12"/>
      <c r="Q64" s="86"/>
      <c r="R64" s="29"/>
      <c r="S64" s="12"/>
      <c r="T64" s="12"/>
      <c r="U64" s="12"/>
      <c r="V64" s="12"/>
      <c r="W64" s="12"/>
      <c r="X64" s="86"/>
      <c r="Y64" s="29"/>
      <c r="Z64" s="12"/>
      <c r="AA64" s="12"/>
      <c r="AB64" s="12"/>
      <c r="AC64" s="86"/>
      <c r="AD64" s="29"/>
      <c r="AE64" s="86"/>
      <c r="AF64" s="29"/>
      <c r="AG64" s="12"/>
      <c r="AH64" s="29"/>
      <c r="AI64" s="12"/>
      <c r="AJ64" s="12"/>
      <c r="AK64" s="86"/>
      <c r="AL64" s="29"/>
      <c r="AM64" s="12"/>
      <c r="AN64" s="12"/>
      <c r="AO64" s="12"/>
      <c r="AP64" s="12"/>
      <c r="AQ64" s="86"/>
      <c r="AR64" s="12"/>
      <c r="AS64" s="29"/>
      <c r="AT64" s="12"/>
      <c r="AU64" s="12"/>
      <c r="AV64" s="12"/>
      <c r="AW64" s="12"/>
      <c r="AX64" s="12"/>
      <c r="AY64" s="29"/>
      <c r="AZ64" s="12"/>
      <c r="BA64" s="12"/>
      <c r="BB64" s="29"/>
      <c r="BC64" s="12"/>
      <c r="BD64" s="12"/>
      <c r="BE64" s="12"/>
      <c r="BF64" s="29"/>
      <c r="BG64" s="12"/>
      <c r="BH64" s="12"/>
      <c r="BI64" s="12"/>
      <c r="BJ64" s="12"/>
      <c r="BK64" s="12"/>
      <c r="BL64" s="12"/>
      <c r="BM64" s="12"/>
      <c r="BN64" s="29"/>
      <c r="BO64" s="12"/>
      <c r="BP64" s="12"/>
      <c r="BQ64" s="12"/>
      <c r="BR64" s="12"/>
      <c r="BS64" s="12"/>
      <c r="BT64" s="12"/>
      <c r="BU64" s="12"/>
      <c r="BV64" s="88"/>
      <c r="BW64" s="29"/>
      <c r="BX64" s="86"/>
      <c r="BY64" s="15"/>
    </row>
    <row r="65" spans="1:77" x14ac:dyDescent="0.2">
      <c r="A65" s="14" t="s">
        <v>98</v>
      </c>
      <c r="B65" s="186">
        <f t="shared" si="170"/>
        <v>-35910765.310781799</v>
      </c>
      <c r="C65" s="32">
        <f t="shared" ref="C65:BL65" si="171">SUM(C57:C64)</f>
        <v>0</v>
      </c>
      <c r="D65" s="94">
        <f t="shared" si="171"/>
        <v>0</v>
      </c>
      <c r="E65" s="94">
        <f t="shared" ref="E65" si="172">SUM(E57:E64)</f>
        <v>0</v>
      </c>
      <c r="F65" s="94">
        <f t="shared" si="171"/>
        <v>0</v>
      </c>
      <c r="G65" s="94">
        <f t="shared" si="171"/>
        <v>0</v>
      </c>
      <c r="H65" s="94">
        <f t="shared" si="171"/>
        <v>0</v>
      </c>
      <c r="I65" s="95">
        <f t="shared" ref="I65:J65" si="173">SUM(I57:I64)</f>
        <v>0</v>
      </c>
      <c r="J65" s="32">
        <f t="shared" si="173"/>
        <v>0</v>
      </c>
      <c r="K65" s="95">
        <f t="shared" ref="K65" si="174">SUM(K57:K64)</f>
        <v>0</v>
      </c>
      <c r="L65" s="32">
        <f t="shared" si="171"/>
        <v>0</v>
      </c>
      <c r="M65" s="94">
        <f t="shared" si="171"/>
        <v>0</v>
      </c>
      <c r="N65" s="94">
        <f t="shared" ref="N65:O65" si="175">SUM(N57:N64)</f>
        <v>0</v>
      </c>
      <c r="O65" s="94">
        <f t="shared" si="175"/>
        <v>0</v>
      </c>
      <c r="P65" s="94">
        <f t="shared" si="171"/>
        <v>0</v>
      </c>
      <c r="Q65" s="95">
        <f t="shared" si="171"/>
        <v>0</v>
      </c>
      <c r="R65" s="32">
        <f t="shared" ref="R65:V65" si="176">SUM(R57:R64)</f>
        <v>0</v>
      </c>
      <c r="S65" s="94">
        <f t="shared" si="176"/>
        <v>0</v>
      </c>
      <c r="T65" s="94">
        <f t="shared" si="176"/>
        <v>0</v>
      </c>
      <c r="U65" s="94">
        <f t="shared" si="176"/>
        <v>0</v>
      </c>
      <c r="V65" s="94">
        <f t="shared" si="176"/>
        <v>0</v>
      </c>
      <c r="W65" s="94">
        <f t="shared" ref="W65" si="177">SUM(W57:W64)</f>
        <v>0</v>
      </c>
      <c r="X65" s="95">
        <f t="shared" ref="X65:AC65" si="178">SUM(X57:X64)</f>
        <v>0</v>
      </c>
      <c r="Y65" s="32"/>
      <c r="Z65" s="94"/>
      <c r="AA65" s="94"/>
      <c r="AB65" s="94"/>
      <c r="AC65" s="95">
        <f t="shared" si="178"/>
        <v>0</v>
      </c>
      <c r="AD65" s="32">
        <f t="shared" ref="AD65:AK65" si="179">SUM(AD57:AD64)</f>
        <v>0</v>
      </c>
      <c r="AE65" s="95">
        <f t="shared" ref="AE65:AF65" si="180">SUM(AE57:AE64)</f>
        <v>0</v>
      </c>
      <c r="AF65" s="32">
        <f t="shared" si="180"/>
        <v>0</v>
      </c>
      <c r="AG65" s="94">
        <f t="shared" si="179"/>
        <v>19759910.524293479</v>
      </c>
      <c r="AH65" s="32">
        <f t="shared" ref="AH65:AI65" si="181">SUM(AH57:AH64)</f>
        <v>0</v>
      </c>
      <c r="AI65" s="94">
        <f t="shared" si="181"/>
        <v>0</v>
      </c>
      <c r="AJ65" s="94">
        <f t="shared" ref="AJ65" si="182">SUM(AJ57:AJ64)</f>
        <v>0</v>
      </c>
      <c r="AK65" s="95">
        <f t="shared" si="179"/>
        <v>0</v>
      </c>
      <c r="AL65" s="32">
        <f t="shared" si="171"/>
        <v>0</v>
      </c>
      <c r="AM65" s="94">
        <f t="shared" ref="AM65:AQ65" si="183">SUM(AM57:AM64)</f>
        <v>-1428608.4764376204</v>
      </c>
      <c r="AN65" s="94">
        <f t="shared" ref="AN65:AP65" si="184">SUM(AN57:AN64)</f>
        <v>542171.20289284119</v>
      </c>
      <c r="AO65" s="94">
        <f t="shared" si="184"/>
        <v>0</v>
      </c>
      <c r="AP65" s="94">
        <f t="shared" si="184"/>
        <v>0</v>
      </c>
      <c r="AQ65" s="95">
        <f t="shared" si="183"/>
        <v>-143763.74042216278</v>
      </c>
      <c r="AR65" s="94">
        <f t="shared" ref="AR65" si="185">SUM(AR57:AR64)</f>
        <v>0</v>
      </c>
      <c r="AS65" s="32">
        <f t="shared" si="171"/>
        <v>0</v>
      </c>
      <c r="AT65" s="94">
        <f t="shared" ref="AT65" si="186">SUM(AT57:AT64)</f>
        <v>0</v>
      </c>
      <c r="AU65" s="94">
        <f t="shared" si="171"/>
        <v>0</v>
      </c>
      <c r="AV65" s="94">
        <f t="shared" ref="AV65" si="187">SUM(AV57:AV64)</f>
        <v>-1637024.0885679396</v>
      </c>
      <c r="AW65" s="94">
        <f t="shared" si="171"/>
        <v>0</v>
      </c>
      <c r="AX65" s="94">
        <f t="shared" si="171"/>
        <v>-9662969.1539299972</v>
      </c>
      <c r="AY65" s="32">
        <f t="shared" ref="AY65" si="188">SUM(AY57:AY64)</f>
        <v>0</v>
      </c>
      <c r="AZ65" s="94">
        <f t="shared" ref="AZ65" si="189">SUM(AZ57:AZ64)</f>
        <v>245568</v>
      </c>
      <c r="BA65" s="94">
        <f t="shared" ref="BA65" si="190">SUM(BA57:BA64)</f>
        <v>0</v>
      </c>
      <c r="BB65" s="32">
        <f t="shared" si="171"/>
        <v>-42864656.633303598</v>
      </c>
      <c r="BC65" s="94">
        <f t="shared" si="171"/>
        <v>-380671.18351681437</v>
      </c>
      <c r="BD65" s="94">
        <f t="shared" si="171"/>
        <v>-481414.22831967368</v>
      </c>
      <c r="BE65" s="94">
        <f t="shared" si="171"/>
        <v>0</v>
      </c>
      <c r="BF65" s="32">
        <f t="shared" ref="BF65" si="191">SUM(BF57:BF64)</f>
        <v>0</v>
      </c>
      <c r="BG65" s="94">
        <f t="shared" ref="BG65" si="192">SUM(BG57:BG64)</f>
        <v>0</v>
      </c>
      <c r="BH65" s="94">
        <f t="shared" si="171"/>
        <v>3585468.8436130192</v>
      </c>
      <c r="BI65" s="94">
        <f t="shared" si="171"/>
        <v>0</v>
      </c>
      <c r="BJ65" s="94">
        <f t="shared" si="171"/>
        <v>0</v>
      </c>
      <c r="BK65" s="94">
        <f t="shared" ref="BK65" si="193">SUM(BK57:BK64)</f>
        <v>-83642.64791666661</v>
      </c>
      <c r="BL65" s="94">
        <f t="shared" si="171"/>
        <v>-3361133.729166666</v>
      </c>
      <c r="BM65" s="94">
        <f t="shared" ref="BM65:BS65" si="194">SUM(BM57:BM64)</f>
        <v>0</v>
      </c>
      <c r="BN65" s="32">
        <f t="shared" si="194"/>
        <v>0</v>
      </c>
      <c r="BO65" s="94">
        <f t="shared" si="194"/>
        <v>0</v>
      </c>
      <c r="BP65" s="94">
        <f t="shared" si="194"/>
        <v>0</v>
      </c>
      <c r="BQ65" s="94">
        <f t="shared" ref="BQ65:BR65" si="195">SUM(BQ57:BQ64)</f>
        <v>0</v>
      </c>
      <c r="BR65" s="94">
        <f t="shared" si="195"/>
        <v>0</v>
      </c>
      <c r="BS65" s="94">
        <f t="shared" si="194"/>
        <v>0</v>
      </c>
      <c r="BT65" s="94">
        <f t="shared" ref="BT65:BU65" si="196">SUM(BT57:BT64)</f>
        <v>0</v>
      </c>
      <c r="BU65" s="94">
        <f t="shared" si="196"/>
        <v>0</v>
      </c>
      <c r="BV65" s="186">
        <f t="shared" ref="BV65" si="197">SUM(BV57:BV64)</f>
        <v>0</v>
      </c>
      <c r="BW65" s="32">
        <f t="shared" ref="BW65" si="198">SUM(BW57:BW64)</f>
        <v>0</v>
      </c>
      <c r="BX65" s="95">
        <f t="shared" ref="BX65" si="199">SUM(BX57:BX64)</f>
        <v>0</v>
      </c>
    </row>
    <row r="66" spans="1:77" x14ac:dyDescent="0.2">
      <c r="A66" s="14"/>
      <c r="B66" s="88"/>
      <c r="C66" s="29"/>
      <c r="D66" s="12"/>
      <c r="E66" s="12"/>
      <c r="F66" s="12"/>
      <c r="G66" s="12"/>
      <c r="H66" s="12"/>
      <c r="I66" s="86"/>
      <c r="J66" s="29"/>
      <c r="K66" s="86"/>
      <c r="L66" s="29"/>
      <c r="M66" s="12"/>
      <c r="N66" s="12"/>
      <c r="O66" s="12"/>
      <c r="P66" s="12"/>
      <c r="Q66" s="86"/>
      <c r="R66" s="29"/>
      <c r="S66" s="12"/>
      <c r="T66" s="12"/>
      <c r="U66" s="12"/>
      <c r="V66" s="12"/>
      <c r="W66" s="12"/>
      <c r="X66" s="86"/>
      <c r="Y66" s="29"/>
      <c r="Z66" s="12"/>
      <c r="AA66" s="12"/>
      <c r="AB66" s="12"/>
      <c r="AC66" s="86"/>
      <c r="AD66" s="29"/>
      <c r="AE66" s="86"/>
      <c r="AF66" s="29"/>
      <c r="AG66" s="12"/>
      <c r="AH66" s="29"/>
      <c r="AI66" s="12"/>
      <c r="AJ66" s="12"/>
      <c r="AK66" s="86"/>
      <c r="AL66" s="29"/>
      <c r="AM66" s="12"/>
      <c r="AN66" s="12"/>
      <c r="AO66" s="12"/>
      <c r="AP66" s="12"/>
      <c r="AQ66" s="86"/>
      <c r="AR66" s="12"/>
      <c r="AS66" s="29"/>
      <c r="AT66" s="12"/>
      <c r="AU66" s="12"/>
      <c r="AV66" s="12"/>
      <c r="AW66" s="12"/>
      <c r="AX66" s="12"/>
      <c r="AY66" s="29"/>
      <c r="AZ66" s="12"/>
      <c r="BA66" s="12"/>
      <c r="BB66" s="29"/>
      <c r="BC66" s="12"/>
      <c r="BD66" s="12"/>
      <c r="BE66" s="12"/>
      <c r="BF66" s="29"/>
      <c r="BG66" s="12"/>
      <c r="BH66" s="12"/>
      <c r="BI66" s="12"/>
      <c r="BJ66" s="12"/>
      <c r="BK66" s="12"/>
      <c r="BL66" s="12"/>
      <c r="BM66" s="12"/>
      <c r="BN66" s="29"/>
      <c r="BO66" s="12"/>
      <c r="BP66" s="12"/>
      <c r="BQ66" s="12"/>
      <c r="BR66" s="12"/>
      <c r="BS66" s="12"/>
      <c r="BT66" s="12"/>
      <c r="BU66" s="12"/>
      <c r="BV66" s="88"/>
      <c r="BW66" s="29"/>
      <c r="BX66" s="86"/>
    </row>
    <row r="67" spans="1:77" ht="13.5" thickBot="1" x14ac:dyDescent="0.25">
      <c r="A67" s="14" t="s">
        <v>99</v>
      </c>
      <c r="B67" s="190">
        <f>SUM(C67:BX67)</f>
        <v>12429215.126757294</v>
      </c>
      <c r="C67" s="36">
        <f t="shared" ref="C67:BL67" si="200">C54+C65</f>
        <v>0</v>
      </c>
      <c r="D67" s="105">
        <f t="shared" si="200"/>
        <v>0</v>
      </c>
      <c r="E67" s="105">
        <f t="shared" ref="E67" si="201">E54+E65</f>
        <v>0</v>
      </c>
      <c r="F67" s="105">
        <f t="shared" si="200"/>
        <v>0</v>
      </c>
      <c r="G67" s="105">
        <f t="shared" si="200"/>
        <v>0</v>
      </c>
      <c r="H67" s="105">
        <f t="shared" si="200"/>
        <v>0</v>
      </c>
      <c r="I67" s="191">
        <f t="shared" ref="I67:J67" si="202">I54+I65</f>
        <v>0</v>
      </c>
      <c r="J67" s="36">
        <f t="shared" si="202"/>
        <v>0</v>
      </c>
      <c r="K67" s="191">
        <f t="shared" ref="K67" si="203">K54+K65</f>
        <v>0</v>
      </c>
      <c r="L67" s="36">
        <f t="shared" si="200"/>
        <v>0</v>
      </c>
      <c r="M67" s="105">
        <f t="shared" si="200"/>
        <v>0</v>
      </c>
      <c r="N67" s="105">
        <f t="shared" ref="N67:O67" si="204">N54+N65</f>
        <v>0</v>
      </c>
      <c r="O67" s="105">
        <f t="shared" si="204"/>
        <v>0</v>
      </c>
      <c r="P67" s="105">
        <f t="shared" si="200"/>
        <v>0</v>
      </c>
      <c r="Q67" s="191">
        <f t="shared" si="200"/>
        <v>0</v>
      </c>
      <c r="R67" s="36">
        <f t="shared" ref="R67:V67" si="205">R54+R65</f>
        <v>0</v>
      </c>
      <c r="S67" s="105">
        <f t="shared" si="205"/>
        <v>0</v>
      </c>
      <c r="T67" s="105">
        <f t="shared" si="205"/>
        <v>0</v>
      </c>
      <c r="U67" s="105">
        <f t="shared" si="205"/>
        <v>0</v>
      </c>
      <c r="V67" s="105">
        <f t="shared" si="205"/>
        <v>0</v>
      </c>
      <c r="W67" s="105">
        <f t="shared" ref="W67" si="206">W54+W65</f>
        <v>0</v>
      </c>
      <c r="X67" s="191">
        <f t="shared" ref="X67:AC67" si="207">X54+X65</f>
        <v>0</v>
      </c>
      <c r="Y67" s="36"/>
      <c r="Z67" s="105"/>
      <c r="AA67" s="105"/>
      <c r="AB67" s="105"/>
      <c r="AC67" s="191">
        <f t="shared" si="207"/>
        <v>0</v>
      </c>
      <c r="AD67" s="36">
        <f t="shared" ref="AD67:AF67" si="208">AD54+AD65</f>
        <v>0</v>
      </c>
      <c r="AE67" s="191">
        <f t="shared" si="208"/>
        <v>0</v>
      </c>
      <c r="AF67" s="36">
        <f t="shared" si="208"/>
        <v>0</v>
      </c>
      <c r="AG67" s="105">
        <f t="shared" ref="AG67:AK67" si="209">AG54+AG65</f>
        <v>-8567345.2846213318</v>
      </c>
      <c r="AH67" s="36">
        <f t="shared" ref="AH67:AI67" si="210">AH54+AH65</f>
        <v>0</v>
      </c>
      <c r="AI67" s="105">
        <f t="shared" si="210"/>
        <v>0</v>
      </c>
      <c r="AJ67" s="105">
        <f t="shared" ref="AJ67" si="211">AJ54+AJ65</f>
        <v>0</v>
      </c>
      <c r="AK67" s="191">
        <f t="shared" si="209"/>
        <v>0</v>
      </c>
      <c r="AL67" s="36">
        <f t="shared" si="200"/>
        <v>0</v>
      </c>
      <c r="AM67" s="105">
        <f t="shared" ref="AM67:AQ67" si="212">AM54+AM65</f>
        <v>-1428608.4764376204</v>
      </c>
      <c r="AN67" s="105">
        <f t="shared" ref="AN67:AP67" si="213">AN54+AN65</f>
        <v>542171.20289284119</v>
      </c>
      <c r="AO67" s="105">
        <f t="shared" si="213"/>
        <v>0</v>
      </c>
      <c r="AP67" s="105">
        <f t="shared" si="213"/>
        <v>0</v>
      </c>
      <c r="AQ67" s="191">
        <f t="shared" si="212"/>
        <v>-143763.74042216278</v>
      </c>
      <c r="AR67" s="105">
        <f t="shared" ref="AR67" si="214">AR54+AR65</f>
        <v>0</v>
      </c>
      <c r="AS67" s="36">
        <f t="shared" si="200"/>
        <v>0</v>
      </c>
      <c r="AT67" s="105">
        <f t="shared" ref="AT67" si="215">AT54+AT65</f>
        <v>0</v>
      </c>
      <c r="AU67" s="105">
        <f t="shared" si="200"/>
        <v>0</v>
      </c>
      <c r="AV67" s="105">
        <f t="shared" ref="AV67" si="216">AV54+AV65</f>
        <v>-1637024.0885679396</v>
      </c>
      <c r="AW67" s="105">
        <f t="shared" si="200"/>
        <v>0</v>
      </c>
      <c r="AX67" s="105">
        <f t="shared" si="200"/>
        <v>-9662969.1539299972</v>
      </c>
      <c r="AY67" s="36">
        <f t="shared" ref="AY67" si="217">AY54+AY65</f>
        <v>0</v>
      </c>
      <c r="AZ67" s="105">
        <f t="shared" ref="AZ67" si="218">AZ54+AZ65</f>
        <v>245568</v>
      </c>
      <c r="BA67" s="105">
        <f t="shared" ref="BA67" si="219">BA54+BA65</f>
        <v>0</v>
      </c>
      <c r="BB67" s="36">
        <f t="shared" si="200"/>
        <v>26734872.303152114</v>
      </c>
      <c r="BC67" s="105">
        <f t="shared" si="200"/>
        <v>-250034.33575255581</v>
      </c>
      <c r="BD67" s="105">
        <f t="shared" si="200"/>
        <v>-481414.22831967368</v>
      </c>
      <c r="BE67" s="105">
        <f t="shared" si="200"/>
        <v>0</v>
      </c>
      <c r="BF67" s="36">
        <f t="shared" ref="BF67" si="220">BF54+BF65</f>
        <v>0</v>
      </c>
      <c r="BG67" s="105">
        <f t="shared" ref="BG67" si="221">BG54+BG65</f>
        <v>-17820940.919662062</v>
      </c>
      <c r="BH67" s="105">
        <f t="shared" si="200"/>
        <v>-2314954.2203315711</v>
      </c>
      <c r="BI67" s="105">
        <f t="shared" si="200"/>
        <v>0</v>
      </c>
      <c r="BJ67" s="105">
        <f t="shared" si="200"/>
        <v>-360048.63899999904</v>
      </c>
      <c r="BK67" s="105">
        <f t="shared" ref="BK67" si="222">BK54+BK65</f>
        <v>-83642.64791666661</v>
      </c>
      <c r="BL67" s="105">
        <f t="shared" si="200"/>
        <v>-3361133.729166666</v>
      </c>
      <c r="BM67" s="105">
        <f t="shared" ref="BM67:BS67" si="223">BM54+BM65</f>
        <v>0</v>
      </c>
      <c r="BN67" s="36">
        <f t="shared" si="223"/>
        <v>0</v>
      </c>
      <c r="BO67" s="105">
        <f t="shared" si="223"/>
        <v>0</v>
      </c>
      <c r="BP67" s="105">
        <f t="shared" si="223"/>
        <v>0</v>
      </c>
      <c r="BQ67" s="105">
        <f t="shared" ref="BQ67:BR67" si="224">BQ54+BQ65</f>
        <v>0</v>
      </c>
      <c r="BR67" s="105">
        <f t="shared" si="224"/>
        <v>0</v>
      </c>
      <c r="BS67" s="105">
        <f t="shared" si="223"/>
        <v>0</v>
      </c>
      <c r="BT67" s="105">
        <f t="shared" ref="BT67:BU67" si="225">BT54+BT65</f>
        <v>0</v>
      </c>
      <c r="BU67" s="105">
        <f t="shared" si="225"/>
        <v>0</v>
      </c>
      <c r="BV67" s="190">
        <f t="shared" ref="BV67" si="226">BV54+BV65</f>
        <v>31018483.084840588</v>
      </c>
      <c r="BW67" s="36">
        <f t="shared" ref="BW67" si="227">BW54+BW65</f>
        <v>0</v>
      </c>
      <c r="BX67" s="191">
        <f t="shared" ref="BX67" si="228">BX54+BX65</f>
        <v>0</v>
      </c>
    </row>
    <row r="68" spans="1:77" ht="13.5" thickTop="1" x14ac:dyDescent="0.2">
      <c r="A68" s="14"/>
      <c r="B68" s="88"/>
      <c r="C68" s="29"/>
      <c r="D68" s="12"/>
      <c r="E68" s="12"/>
      <c r="F68" s="12"/>
      <c r="G68" s="12"/>
      <c r="H68" s="12"/>
      <c r="I68" s="86"/>
      <c r="J68" s="29"/>
      <c r="K68" s="86"/>
      <c r="L68" s="29"/>
      <c r="M68" s="12"/>
      <c r="N68" s="12"/>
      <c r="O68" s="12"/>
      <c r="P68" s="12"/>
      <c r="Q68" s="86"/>
      <c r="R68" s="29"/>
      <c r="S68" s="12"/>
      <c r="T68" s="12"/>
      <c r="U68" s="12"/>
      <c r="V68" s="12"/>
      <c r="W68" s="12"/>
      <c r="X68" s="86"/>
      <c r="Y68" s="29"/>
      <c r="Z68" s="12"/>
      <c r="AA68" s="12"/>
      <c r="AB68" s="12"/>
      <c r="AC68" s="86"/>
      <c r="AD68" s="29"/>
      <c r="AE68" s="86"/>
      <c r="AF68" s="29"/>
      <c r="AG68" s="12"/>
      <c r="AH68" s="29"/>
      <c r="AI68" s="12"/>
      <c r="AJ68" s="12"/>
      <c r="AK68" s="86"/>
      <c r="AL68" s="29"/>
      <c r="AM68" s="12"/>
      <c r="AN68" s="12"/>
      <c r="AO68" s="12"/>
      <c r="AP68" s="12"/>
      <c r="AQ68" s="86"/>
      <c r="AR68" s="12"/>
      <c r="AS68" s="29"/>
      <c r="AT68" s="12"/>
      <c r="AU68" s="12"/>
      <c r="AV68" s="12"/>
      <c r="AW68" s="12"/>
      <c r="AX68" s="12"/>
      <c r="AY68" s="29"/>
      <c r="AZ68" s="12"/>
      <c r="BA68" s="12"/>
      <c r="BB68" s="29"/>
      <c r="BC68" s="12"/>
      <c r="BD68" s="12"/>
      <c r="BE68" s="12"/>
      <c r="BF68" s="29"/>
      <c r="BG68" s="12"/>
      <c r="BH68" s="12"/>
      <c r="BI68" s="12"/>
      <c r="BJ68" s="12"/>
      <c r="BK68" s="12"/>
      <c r="BL68" s="12"/>
      <c r="BM68" s="12"/>
      <c r="BN68" s="29"/>
      <c r="BO68" s="12"/>
      <c r="BP68" s="12"/>
      <c r="BQ68" s="12"/>
      <c r="BR68" s="12"/>
      <c r="BS68" s="12"/>
      <c r="BT68" s="12"/>
      <c r="BU68" s="12"/>
      <c r="BV68" s="88"/>
      <c r="BW68" s="29"/>
      <c r="BX68" s="86"/>
    </row>
    <row r="69" spans="1:77" x14ac:dyDescent="0.2">
      <c r="A69" s="14"/>
      <c r="B69" s="88"/>
      <c r="C69" s="29"/>
      <c r="D69" s="12"/>
      <c r="E69" s="12"/>
      <c r="F69" s="12"/>
      <c r="G69" s="12"/>
      <c r="H69" s="12"/>
      <c r="I69" s="86"/>
      <c r="J69" s="29"/>
      <c r="K69" s="86"/>
      <c r="L69" s="29"/>
      <c r="M69" s="12"/>
      <c r="N69" s="12"/>
      <c r="O69" s="12"/>
      <c r="P69" s="12"/>
      <c r="Q69" s="86"/>
      <c r="R69" s="29"/>
      <c r="S69" s="12"/>
      <c r="T69" s="12"/>
      <c r="U69" s="12"/>
      <c r="V69" s="12"/>
      <c r="W69" s="12"/>
      <c r="X69" s="86"/>
      <c r="Y69" s="29"/>
      <c r="Z69" s="12"/>
      <c r="AA69" s="12"/>
      <c r="AB69" s="12"/>
      <c r="AC69" s="86"/>
      <c r="AD69" s="29"/>
      <c r="AE69" s="86"/>
      <c r="AF69" s="29"/>
      <c r="AG69" s="12"/>
      <c r="AH69" s="29"/>
      <c r="AI69" s="12"/>
      <c r="AJ69" s="12"/>
      <c r="AK69" s="86"/>
      <c r="AL69" s="29"/>
      <c r="AM69" s="12"/>
      <c r="AN69" s="12"/>
      <c r="AO69" s="12"/>
      <c r="AP69" s="12"/>
      <c r="AQ69" s="86"/>
      <c r="AR69" s="12"/>
      <c r="AS69" s="29"/>
      <c r="AT69" s="12"/>
      <c r="AU69" s="12"/>
      <c r="AV69" s="12"/>
      <c r="AW69" s="12"/>
      <c r="AX69" s="12"/>
      <c r="AY69" s="29"/>
      <c r="AZ69" s="12"/>
      <c r="BA69" s="12"/>
      <c r="BB69" s="29"/>
      <c r="BC69" s="12"/>
      <c r="BD69" s="12"/>
      <c r="BE69" s="12"/>
      <c r="BF69" s="29"/>
      <c r="BG69" s="12"/>
      <c r="BH69" s="12"/>
      <c r="BI69" s="12"/>
      <c r="BJ69" s="12"/>
      <c r="BK69" s="12"/>
      <c r="BL69" s="12"/>
      <c r="BM69" s="12"/>
      <c r="BN69" s="29"/>
      <c r="BO69" s="12"/>
      <c r="BP69" s="12"/>
      <c r="BQ69" s="12"/>
      <c r="BR69" s="12"/>
      <c r="BS69" s="12"/>
      <c r="BT69" s="12"/>
      <c r="BU69" s="12"/>
      <c r="BV69" s="88"/>
      <c r="BW69" s="29"/>
      <c r="BX69" s="86"/>
    </row>
    <row r="70" spans="1:77" s="227" customFormat="1" x14ac:dyDescent="0.2">
      <c r="A70" s="276" t="s">
        <v>158</v>
      </c>
      <c r="B70" s="19">
        <f t="shared" ref="B70:BL70" si="229">(((B40+Unadj_Op_revenue)/(B67+Unadj_rate_base))-Weighted_cost_debt-Weighted_cost_pref)/Percent_common-Unadj_ROE</f>
        <v>3.5763139610078418E-2</v>
      </c>
      <c r="C70" s="17">
        <f t="shared" si="229"/>
        <v>-9.5606483836068526E-3</v>
      </c>
      <c r="D70" s="16">
        <f t="shared" si="229"/>
        <v>-1.2474179000134172E-2</v>
      </c>
      <c r="E70" s="16">
        <f t="shared" ref="E70" si="230">(((E40+Unadj_Op_revenue)/(E67+Unadj_rate_base))-Weighted_cost_debt-Weighted_cost_pref)/Percent_common-Unadj_ROE</f>
        <v>2.8593843449995104E-2</v>
      </c>
      <c r="F70" s="16">
        <f t="shared" ref="F70" si="231">(((F40+Unadj_Op_revenue)/(F67+Unadj_rate_base))-Weighted_cost_debt-Weighted_cost_pref)/Percent_common-Unadj_ROE</f>
        <v>0</v>
      </c>
      <c r="G70" s="16">
        <f t="shared" si="229"/>
        <v>-3.7843468396851071E-3</v>
      </c>
      <c r="H70" s="16">
        <f t="shared" si="229"/>
        <v>-1.7095623718195452E-4</v>
      </c>
      <c r="I70" s="18">
        <f t="shared" ref="I70:J70" si="232">(((I40+Unadj_Op_revenue)/(I67+Unadj_rate_base))-Weighted_cost_debt-Weighted_cost_pref)/Percent_common-Unadj_ROE</f>
        <v>0</v>
      </c>
      <c r="J70" s="17">
        <f t="shared" si="232"/>
        <v>0</v>
      </c>
      <c r="K70" s="18">
        <f t="shared" ref="K70" si="233">(((K40+Unadj_Op_revenue)/(K67+Unadj_rate_base))-Weighted_cost_debt-Weighted_cost_pref)/Percent_common-Unadj_ROE</f>
        <v>-1.9196512128234755E-5</v>
      </c>
      <c r="L70" s="17">
        <f t="shared" si="229"/>
        <v>3.7139122813806269E-5</v>
      </c>
      <c r="M70" s="16">
        <f t="shared" si="229"/>
        <v>7.9922816707621303E-5</v>
      </c>
      <c r="N70" s="16">
        <f t="shared" ref="N70:O70" si="234">(((N40+Unadj_Op_revenue)/(N67+Unadj_rate_base))-Weighted_cost_debt-Weighted_cost_pref)/Percent_common-Unadj_ROE</f>
        <v>0</v>
      </c>
      <c r="O70" s="16">
        <f t="shared" si="234"/>
        <v>8.9694729893882719E-6</v>
      </c>
      <c r="P70" s="16">
        <f t="shared" si="229"/>
        <v>-2.6104636026505479E-4</v>
      </c>
      <c r="Q70" s="18">
        <f t="shared" si="229"/>
        <v>1.7889103569817336E-2</v>
      </c>
      <c r="R70" s="17">
        <f t="shared" si="229"/>
        <v>4.5299987414951781E-3</v>
      </c>
      <c r="S70" s="16">
        <f t="shared" ref="S70:V70" si="235">(((S40+Unadj_Op_revenue)/(S67+Unadj_rate_base))-Weighted_cost_debt-Weighted_cost_pref)/Percent_common-Unadj_ROE</f>
        <v>6.7504504475818239E-7</v>
      </c>
      <c r="T70" s="16">
        <f t="shared" si="235"/>
        <v>-2.5133273224980934E-6</v>
      </c>
      <c r="U70" s="16">
        <f t="shared" si="235"/>
        <v>-7.0943725973191679E-4</v>
      </c>
      <c r="V70" s="16">
        <f t="shared" si="235"/>
        <v>-1.2332907984862959E-3</v>
      </c>
      <c r="W70" s="16">
        <f t="shared" ref="W70" si="236">(((W40+Unadj_Op_revenue)/(W67+Unadj_rate_base))-Weighted_cost_debt-Weighted_cost_pref)/Percent_common-Unadj_ROE</f>
        <v>1.0757261968541709E-3</v>
      </c>
      <c r="X70" s="18">
        <f t="shared" ref="X70:AC70" si="237">(((X40+Unadj_Op_revenue)/(X67+Unadj_rate_base))-Weighted_cost_debt-Weighted_cost_pref)/Percent_common-Unadj_ROE</f>
        <v>0</v>
      </c>
      <c r="Y70" s="17">
        <f t="shared" ref="Y70:AB70" si="238">(((Y40+Unadj_Op_revenue)/(Y67+Unadj_rate_base))-Weighted_cost_debt-Weighted_cost_pref)/Percent_common-Unadj_ROE</f>
        <v>0</v>
      </c>
      <c r="Z70" s="16">
        <f t="shared" si="238"/>
        <v>0</v>
      </c>
      <c r="AA70" s="16">
        <f t="shared" si="238"/>
        <v>0</v>
      </c>
      <c r="AB70" s="16">
        <f t="shared" si="238"/>
        <v>0</v>
      </c>
      <c r="AC70" s="18">
        <f t="shared" si="237"/>
        <v>0</v>
      </c>
      <c r="AD70" s="17">
        <f t="shared" si="229"/>
        <v>1.9338275543967762E-2</v>
      </c>
      <c r="AE70" s="18">
        <f t="shared" ref="AE70:AF70" si="239">(((AE40+Unadj_Op_revenue)/(AE67+Unadj_rate_base))-Weighted_cost_debt-Weighted_cost_pref)/Percent_common-Unadj_ROE</f>
        <v>0</v>
      </c>
      <c r="AF70" s="17">
        <f t="shared" si="239"/>
        <v>0</v>
      </c>
      <c r="AG70" s="16">
        <f t="shared" si="229"/>
        <v>1.9679476088278192E-3</v>
      </c>
      <c r="AH70" s="17">
        <f t="shared" ref="AH70:AK70" si="240">(((AH40+Unadj_Op_revenue)/(AH67+Unadj_rate_base))-Weighted_cost_debt-Weighted_cost_pref)/Percent_common-Unadj_ROE</f>
        <v>0</v>
      </c>
      <c r="AI70" s="16">
        <f t="shared" ref="AI70:AJ70" si="241">(((AI40+Unadj_Op_revenue)/(AI67+Unadj_rate_base))-Weighted_cost_debt-Weighted_cost_pref)/Percent_common-Unadj_ROE</f>
        <v>0</v>
      </c>
      <c r="AJ70" s="16">
        <f t="shared" si="241"/>
        <v>0</v>
      </c>
      <c r="AK70" s="18">
        <f t="shared" si="240"/>
        <v>0</v>
      </c>
      <c r="AL70" s="17">
        <f t="shared" si="229"/>
        <v>-2.3992615662698086E-3</v>
      </c>
      <c r="AM70" s="16">
        <f t="shared" ref="AM70:AQ70" si="242">(((AM40+Unadj_Op_revenue)/(AM67+Unadj_rate_base))-Weighted_cost_debt-Weighted_cost_pref)/Percent_common-Unadj_ROE</f>
        <v>1.8947679512935911E-4</v>
      </c>
      <c r="AN70" s="16">
        <f t="shared" ref="AN70:AP70" si="243">(((AN40+Unadj_Op_revenue)/(AN67+Unadj_rate_base))-Weighted_cost_debt-Weighted_cost_pref)/Percent_common-Unadj_ROE</f>
        <v>3.7122927216623469E-5</v>
      </c>
      <c r="AO70" s="16">
        <f t="shared" si="243"/>
        <v>1.490484306580428E-4</v>
      </c>
      <c r="AP70" s="16">
        <f t="shared" si="243"/>
        <v>7.2902782243429443E-5</v>
      </c>
      <c r="AQ70" s="18">
        <f t="shared" si="242"/>
        <v>-9.8521940100210204E-6</v>
      </c>
      <c r="AR70" s="16">
        <f t="shared" ref="AR70" si="244">(((AR40+Unadj_Op_revenue)/(AR67+Unadj_rate_base))-Weighted_cost_debt-Weighted_cost_pref)/Percent_common-Unadj_ROE</f>
        <v>0</v>
      </c>
      <c r="AS70" s="17">
        <f t="shared" si="229"/>
        <v>-3.5661009156643525E-4</v>
      </c>
      <c r="AT70" s="16">
        <f t="shared" ref="AT70" si="245">(((AT40+Unadj_Op_revenue)/(AT67+Unadj_rate_base))-Weighted_cost_debt-Weighted_cost_pref)/Percent_common-Unadj_ROE</f>
        <v>0</v>
      </c>
      <c r="AU70" s="16">
        <f t="shared" si="229"/>
        <v>0</v>
      </c>
      <c r="AV70" s="16">
        <f t="shared" ref="AV70" si="246">(((AV40+Unadj_Op_revenue)/(AV67+Unadj_rate_base))-Weighted_cost_debt-Weighted_cost_pref)/Percent_common-Unadj_ROE</f>
        <v>2.1717654974899581E-4</v>
      </c>
      <c r="AW70" s="16">
        <f t="shared" si="229"/>
        <v>0</v>
      </c>
      <c r="AX70" s="16">
        <f t="shared" si="229"/>
        <v>1.2951568209839878E-3</v>
      </c>
      <c r="AY70" s="17">
        <f t="shared" si="229"/>
        <v>1.0532640218723771E-3</v>
      </c>
      <c r="AZ70" s="16">
        <f t="shared" ref="AZ70" si="247">(((AZ40+Unadj_Op_revenue)/(AZ67+Unadj_rate_base))-Weighted_cost_debt-Weighted_cost_pref)/Percent_common-Unadj_ROE</f>
        <v>1.2360757876638678E-3</v>
      </c>
      <c r="BA70" s="16">
        <f t="shared" ref="BA70" si="248">(((BA40+Unadj_Op_revenue)/(BA67+Unadj_rate_base))-Weighted_cost_debt-Weighted_cost_pref)/Percent_common-Unadj_ROE</f>
        <v>0</v>
      </c>
      <c r="BB70" s="17">
        <f t="shared" si="229"/>
        <v>-3.7697185030408156E-3</v>
      </c>
      <c r="BC70" s="16">
        <f t="shared" si="229"/>
        <v>-4.1018446827244953E-4</v>
      </c>
      <c r="BD70" s="16">
        <f t="shared" si="229"/>
        <v>6.3773350470863743E-5</v>
      </c>
      <c r="BE70" s="16">
        <f t="shared" si="229"/>
        <v>0</v>
      </c>
      <c r="BF70" s="17">
        <f t="shared" ref="BF70" si="249">(((BF40+Unadj_Op_revenue)/(BF67+Unadj_rate_base))-Weighted_cost_debt-Weighted_cost_pref)/Percent_common-Unadj_ROE</f>
        <v>0</v>
      </c>
      <c r="BG70" s="16">
        <f t="shared" si="229"/>
        <v>2.4138866163521747E-3</v>
      </c>
      <c r="BH70" s="16">
        <f t="shared" si="229"/>
        <v>3.073793688459503E-4</v>
      </c>
      <c r="BI70" s="16">
        <f t="shared" si="229"/>
        <v>0</v>
      </c>
      <c r="BJ70" s="16">
        <f t="shared" si="229"/>
        <v>9.4192990072301808E-5</v>
      </c>
      <c r="BK70" s="16">
        <f t="shared" ref="BK70" si="250">(((BK40+Unadj_Op_revenue)/(BK67+Unadj_rate_base))-Weighted_cost_debt-Weighted_cost_pref)/Percent_common-Unadj_ROE</f>
        <v>-2.467128562251078E-4</v>
      </c>
      <c r="BL70" s="16">
        <f t="shared" si="229"/>
        <v>4.3985364137631017E-4</v>
      </c>
      <c r="BM70" s="16">
        <f t="shared" ref="BM70:BS70" si="251">(((BM40+Unadj_Op_revenue)/(BM67+Unadj_rate_base))-Weighted_cost_debt-Weighted_cost_pref)/Percent_common-Unadj_ROE</f>
        <v>-5.0383186278985803E-3</v>
      </c>
      <c r="BN70" s="17">
        <f t="shared" si="251"/>
        <v>1.1729593009192352E-5</v>
      </c>
      <c r="BO70" s="16">
        <f t="shared" si="251"/>
        <v>0</v>
      </c>
      <c r="BP70" s="16">
        <f t="shared" si="251"/>
        <v>0</v>
      </c>
      <c r="BQ70" s="16">
        <f t="shared" ref="BQ70:BR70" si="252">(((BQ40+Unadj_Op_revenue)/(BQ67+Unadj_rate_base))-Weighted_cost_debt-Weighted_cost_pref)/Percent_common-Unadj_ROE</f>
        <v>0</v>
      </c>
      <c r="BR70" s="16">
        <f t="shared" si="252"/>
        <v>0</v>
      </c>
      <c r="BS70" s="16">
        <f t="shared" si="251"/>
        <v>0</v>
      </c>
      <c r="BT70" s="16">
        <f t="shared" ref="BT70:BU70" si="253">(((BT40+Unadj_Op_revenue)/(BT67+Unadj_rate_base))-Weighted_cost_debt-Weighted_cost_pref)/Percent_common-Unadj_ROE</f>
        <v>0</v>
      </c>
      <c r="BU70" s="16">
        <f t="shared" si="253"/>
        <v>0</v>
      </c>
      <c r="BV70" s="19">
        <f t="shared" ref="BV70" si="254">(((BV40+Unadj_Op_revenue)/(BV67+Unadj_rate_base))-Weighted_cost_debt-Weighted_cost_pref)/Percent_common-Unadj_ROE</f>
        <v>-3.9510580733563144E-3</v>
      </c>
      <c r="BW70" s="17">
        <f t="shared" ref="BW70" si="255">(((BW40+Unadj_Op_revenue)/(BW67+Unadj_rate_base))-Weighted_cost_debt-Weighted_cost_pref)/Percent_common-Unadj_ROE</f>
        <v>0</v>
      </c>
      <c r="BX70" s="18">
        <f t="shared" ref="BX70" si="256">(((BX40+Unadj_Op_revenue)/(BX67+Unadj_rate_base))-Weighted_cost_debt-Weighted_cost_pref)/Percent_common-Unadj_ROE</f>
        <v>0</v>
      </c>
      <c r="BY70" s="281"/>
    </row>
    <row r="71" spans="1:77" x14ac:dyDescent="0.2">
      <c r="A71" s="14" t="s">
        <v>47</v>
      </c>
      <c r="B71" s="192">
        <f>SUM(C71:BX71)</f>
        <v>-22257013.435849767</v>
      </c>
      <c r="C71" s="37">
        <f t="shared" ref="C71:BL71" si="257">-(C40-(C67*Overall_ROR))/gross_up_factor</f>
        <v>5972552.3775320789</v>
      </c>
      <c r="D71" s="106">
        <f t="shared" si="257"/>
        <v>7792639.6260694861</v>
      </c>
      <c r="E71" s="106">
        <f t="shared" ref="E71" si="258">-(E40-(E67*Overall_ROR))/gross_up_factor</f>
        <v>-17862619.85880293</v>
      </c>
      <c r="F71" s="106">
        <f t="shared" ref="F71" si="259">-(F40-(F67*Overall_ROR))/gross_up_factor</f>
        <v>0</v>
      </c>
      <c r="G71" s="106">
        <f t="shared" si="257"/>
        <v>2364087.5396612394</v>
      </c>
      <c r="H71" s="106">
        <f t="shared" si="257"/>
        <v>106796.63552796571</v>
      </c>
      <c r="I71" s="193">
        <f t="shared" ref="I71:J71" si="260">-(I40-(I67*Overall_ROR))/gross_up_factor</f>
        <v>0</v>
      </c>
      <c r="J71" s="37">
        <f t="shared" si="260"/>
        <v>0</v>
      </c>
      <c r="K71" s="193">
        <f t="shared" ref="K71" si="261">-(K40-(K67*Overall_ROR))/gross_up_factor</f>
        <v>11992.091911724399</v>
      </c>
      <c r="L71" s="37">
        <f t="shared" si="257"/>
        <v>-23200.869581328825</v>
      </c>
      <c r="M71" s="106">
        <f>-(M40-(M67*Overall_ROR))/gross_up_factor</f>
        <v>-49927.91176848139</v>
      </c>
      <c r="N71" s="106">
        <f t="shared" ref="N71:O71" si="262">-(N40-(N67*Overall_ROR))/gross_up_factor</f>
        <v>0</v>
      </c>
      <c r="O71" s="106">
        <f t="shared" si="262"/>
        <v>-5603.2441606932352</v>
      </c>
      <c r="P71" s="106">
        <f t="shared" si="257"/>
        <v>163076.07989437639</v>
      </c>
      <c r="Q71" s="193">
        <f t="shared" si="257"/>
        <v>-11175351.688597724</v>
      </c>
      <c r="R71" s="37">
        <f t="shared" si="257"/>
        <v>-2829897.4785146536</v>
      </c>
      <c r="S71" s="106">
        <f t="shared" ref="S71:V71" si="263">-(S40-(S67*Overall_ROR))/gross_up_factor</f>
        <v>-421.70172201591981</v>
      </c>
      <c r="T71" s="106">
        <f t="shared" si="263"/>
        <v>1570.079608960209</v>
      </c>
      <c r="U71" s="106">
        <f t="shared" si="263"/>
        <v>443186.59387024376</v>
      </c>
      <c r="V71" s="106">
        <f t="shared" si="263"/>
        <v>770438.73962750554</v>
      </c>
      <c r="W71" s="106">
        <f t="shared" ref="W71" si="264">-(W40-(W67*Overall_ROR))/gross_up_factor</f>
        <v>-672007.88030351314</v>
      </c>
      <c r="X71" s="193">
        <f t="shared" ref="X71:AC71" si="265">-(X40-(X67*Overall_ROR))/gross_up_factor</f>
        <v>0</v>
      </c>
      <c r="Y71" s="37">
        <f t="shared" ref="Y71:AB71" si="266">-(Y40-(Y67*Overall_ROR))/gross_up_factor</f>
        <v>0</v>
      </c>
      <c r="Z71" s="106">
        <f t="shared" si="266"/>
        <v>0</v>
      </c>
      <c r="AA71" s="106">
        <f t="shared" si="266"/>
        <v>0</v>
      </c>
      <c r="AB71" s="106">
        <f t="shared" si="266"/>
        <v>0</v>
      </c>
      <c r="AC71" s="193">
        <f t="shared" si="265"/>
        <v>0</v>
      </c>
      <c r="AD71" s="37">
        <f t="shared" si="257"/>
        <v>-12080651.744868558</v>
      </c>
      <c r="AE71" s="193">
        <f t="shared" ref="AE71:AF71" si="267">-(AE40-(AE67*Overall_ROR))/gross_up_factor</f>
        <v>0</v>
      </c>
      <c r="AF71" s="37">
        <f t="shared" si="267"/>
        <v>0</v>
      </c>
      <c r="AG71" s="106">
        <f t="shared" si="257"/>
        <v>-1516931.2047189083</v>
      </c>
      <c r="AH71" s="29">
        <f t="shared" ref="AH71:AK71" si="268">-(AH40-(AH67*Overall_ROR))/gross_up_factor</f>
        <v>0</v>
      </c>
      <c r="AI71" s="12">
        <f t="shared" ref="AI71:AJ71" si="269">-(AI40-(AI67*Overall_ROR))/gross_up_factor</f>
        <v>0</v>
      </c>
      <c r="AJ71" s="12">
        <f t="shared" si="269"/>
        <v>0</v>
      </c>
      <c r="AK71" s="86">
        <f t="shared" si="268"/>
        <v>0</v>
      </c>
      <c r="AL71" s="29">
        <f t="shared" si="257"/>
        <v>1498822.5481146851</v>
      </c>
      <c r="AM71" s="12">
        <f t="shared" ref="AM71:AQ71" si="270">-(AM40-(AM67*Overall_ROR))/gross_up_factor</f>
        <v>-168329.3015574954</v>
      </c>
      <c r="AN71" s="12">
        <f t="shared" ref="AN71:AP71" si="271">-(AN40-(AN67*Overall_ROR))/gross_up_factor</f>
        <v>-4163.8904503217818</v>
      </c>
      <c r="AO71" s="12">
        <f t="shared" si="271"/>
        <v>-93110.793659185918</v>
      </c>
      <c r="AP71" s="12">
        <f t="shared" si="271"/>
        <v>-45542.484980743749</v>
      </c>
      <c r="AQ71" s="86">
        <f t="shared" si="270"/>
        <v>1104.1096661946692</v>
      </c>
      <c r="AR71" s="12">
        <f t="shared" ref="AR71" si="272">-(AR40-(AR67*Overall_ROR))/gross_up_factor</f>
        <v>0</v>
      </c>
      <c r="AS71" s="37">
        <f t="shared" si="257"/>
        <v>222774.89609272851</v>
      </c>
      <c r="AT71" s="106">
        <f t="shared" ref="AT71" si="273">-(AT40-(AT67*Overall_ROR))/gross_up_factor</f>
        <v>0</v>
      </c>
      <c r="AU71" s="106">
        <f t="shared" si="257"/>
        <v>0</v>
      </c>
      <c r="AV71" s="106">
        <f t="shared" ref="AV71" si="274">-(AV40-(AV67*Overall_ROR))/gross_up_factor</f>
        <v>-192886.38280277554</v>
      </c>
      <c r="AW71" s="106">
        <f t="shared" si="257"/>
        <v>0</v>
      </c>
      <c r="AX71" s="106">
        <f t="shared" si="257"/>
        <v>-1138563.0671243477</v>
      </c>
      <c r="AY71" s="37">
        <f t="shared" si="257"/>
        <v>-657975.72357007931</v>
      </c>
      <c r="AZ71" s="106">
        <f t="shared" ref="AZ71" si="275">-(AZ40-(AZ67*Overall_ROR))/gross_up_factor</f>
        <v>-763793.94076345733</v>
      </c>
      <c r="BA71" s="106">
        <f t="shared" ref="BA71" si="276">-(BA40-(BA67*Overall_ROR))/gross_up_factor</f>
        <v>0</v>
      </c>
      <c r="BB71" s="37">
        <f t="shared" si="257"/>
        <v>3373836.2523595355</v>
      </c>
      <c r="BC71" s="106">
        <f t="shared" si="257"/>
        <v>247379.5975842601</v>
      </c>
      <c r="BD71" s="106">
        <f t="shared" si="257"/>
        <v>-56723.81352164664</v>
      </c>
      <c r="BE71" s="106">
        <f t="shared" si="257"/>
        <v>0</v>
      </c>
      <c r="BF71" s="37">
        <f t="shared" ref="BF71" si="277">-(BF40-(BF67*Overall_ROR))/gross_up_factor</f>
        <v>0</v>
      </c>
      <c r="BG71" s="106">
        <f t="shared" si="257"/>
        <v>-2099796.1215968532</v>
      </c>
      <c r="BH71" s="106">
        <f t="shared" si="257"/>
        <v>-272765.16517505393</v>
      </c>
      <c r="BI71" s="106">
        <f t="shared" si="257"/>
        <v>0</v>
      </c>
      <c r="BJ71" s="106">
        <f t="shared" si="257"/>
        <v>-71461.711640706839</v>
      </c>
      <c r="BK71" s="106">
        <f t="shared" ref="BK71" si="278">-(BK40-(BK67*Overall_ROR))/gross_up_factor</f>
        <v>151167.76160452477</v>
      </c>
      <c r="BL71" s="106">
        <f t="shared" si="257"/>
        <v>-391659.54886916932</v>
      </c>
      <c r="BM71" s="106">
        <f t="shared" ref="BM71:BS71" si="279">-(BM40-(BM67*Overall_ROR))/gross_up_factor</f>
        <v>3147445.7267371477</v>
      </c>
      <c r="BN71" s="37">
        <f t="shared" si="279"/>
        <v>-7327.4955634396438</v>
      </c>
      <c r="BO71" s="106">
        <f t="shared" si="279"/>
        <v>0</v>
      </c>
      <c r="BP71" s="106">
        <f t="shared" si="279"/>
        <v>0</v>
      </c>
      <c r="BQ71" s="106">
        <f t="shared" ref="BQ71:BR71" si="280">-(BQ40-(BQ67*Overall_ROR))/gross_up_factor</f>
        <v>0</v>
      </c>
      <c r="BR71" s="106">
        <f t="shared" si="280"/>
        <v>0</v>
      </c>
      <c r="BS71" s="106">
        <f t="shared" si="279"/>
        <v>0</v>
      </c>
      <c r="BT71" s="106">
        <f t="shared" ref="BT71:BU71" si="281">-(BT40-(BT67*Overall_ROR))/gross_up_factor</f>
        <v>0</v>
      </c>
      <c r="BU71" s="106">
        <f t="shared" si="281"/>
        <v>0</v>
      </c>
      <c r="BV71" s="192">
        <f t="shared" ref="BV71" si="282">-(BV40-(BV67*Overall_ROR))/gross_up_factor</f>
        <v>3654828.9326016665</v>
      </c>
      <c r="BW71" s="37">
        <f t="shared" ref="BW71" si="283">-(BW40-(BW67*Overall_ROR))/gross_up_factor</f>
        <v>0</v>
      </c>
      <c r="BX71" s="193">
        <f t="shared" ref="BX71" si="284">-(BX40-(BX67*Overall_ROR))/gross_up_factor</f>
        <v>0</v>
      </c>
    </row>
    <row r="72" spans="1:77" x14ac:dyDescent="0.2">
      <c r="A72" s="14"/>
      <c r="B72" s="19"/>
      <c r="C72" s="17"/>
      <c r="D72" s="16"/>
      <c r="E72" s="16"/>
      <c r="F72" s="16"/>
      <c r="G72" s="16"/>
      <c r="H72" s="16"/>
      <c r="I72" s="18"/>
      <c r="J72" s="17"/>
      <c r="K72" s="18"/>
      <c r="L72" s="17"/>
      <c r="M72" s="16"/>
      <c r="N72" s="16"/>
      <c r="O72" s="16"/>
      <c r="P72" s="16"/>
      <c r="Q72" s="18"/>
      <c r="R72" s="17"/>
      <c r="S72" s="16"/>
      <c r="T72" s="16"/>
      <c r="U72" s="16"/>
      <c r="V72" s="16"/>
      <c r="W72" s="16"/>
      <c r="X72" s="18"/>
      <c r="Y72" s="17"/>
      <c r="Z72" s="16"/>
      <c r="AA72" s="16"/>
      <c r="AB72" s="16"/>
      <c r="AC72" s="18"/>
      <c r="AD72" s="17"/>
      <c r="AE72" s="18"/>
      <c r="AF72" s="17"/>
      <c r="AG72" s="16"/>
      <c r="AH72" s="17"/>
      <c r="AI72" s="16"/>
      <c r="AJ72" s="16"/>
      <c r="AK72" s="18"/>
      <c r="AL72" s="17"/>
      <c r="AM72" s="16"/>
      <c r="AN72" s="16"/>
      <c r="AO72" s="16"/>
      <c r="AP72" s="16"/>
      <c r="AQ72" s="18"/>
      <c r="AR72" s="16"/>
      <c r="AS72" s="17"/>
      <c r="AT72" s="16"/>
      <c r="AU72" s="16"/>
      <c r="AV72" s="16"/>
      <c r="AW72" s="16"/>
      <c r="AX72" s="16"/>
      <c r="AY72" s="17"/>
      <c r="AZ72" s="16"/>
      <c r="BA72" s="16"/>
      <c r="BB72" s="17"/>
      <c r="BC72" s="16"/>
      <c r="BD72" s="16"/>
      <c r="BE72" s="16"/>
      <c r="BF72" s="17"/>
      <c r="BG72" s="16"/>
      <c r="BH72" s="16"/>
      <c r="BI72" s="16"/>
      <c r="BJ72" s="16"/>
      <c r="BK72" s="16"/>
      <c r="BL72" s="16"/>
      <c r="BM72" s="16"/>
      <c r="BN72" s="17"/>
      <c r="BO72" s="16"/>
      <c r="BP72" s="16"/>
      <c r="BQ72" s="16"/>
      <c r="BR72" s="16"/>
      <c r="BS72" s="16"/>
      <c r="BT72" s="16"/>
      <c r="BU72" s="16"/>
      <c r="BV72" s="19"/>
      <c r="BW72" s="17"/>
      <c r="BX72" s="18"/>
    </row>
    <row r="73" spans="1:77" x14ac:dyDescent="0.2">
      <c r="A73" s="14" t="s">
        <v>101</v>
      </c>
      <c r="B73" s="88"/>
      <c r="C73" s="29"/>
      <c r="D73" s="12"/>
      <c r="E73" s="12"/>
      <c r="F73" s="12"/>
      <c r="G73" s="12"/>
      <c r="H73" s="12"/>
      <c r="I73" s="86"/>
      <c r="J73" s="29"/>
      <c r="K73" s="86"/>
      <c r="L73" s="29"/>
      <c r="M73" s="12"/>
      <c r="N73" s="12"/>
      <c r="O73" s="12"/>
      <c r="P73" s="12"/>
      <c r="Q73" s="86"/>
      <c r="R73" s="29"/>
      <c r="S73" s="12"/>
      <c r="T73" s="12"/>
      <c r="U73" s="12"/>
      <c r="V73" s="12"/>
      <c r="W73" s="12"/>
      <c r="X73" s="86"/>
      <c r="Y73" s="29"/>
      <c r="Z73" s="12"/>
      <c r="AA73" s="12"/>
      <c r="AB73" s="12"/>
      <c r="AC73" s="86"/>
      <c r="AD73" s="29"/>
      <c r="AE73" s="86"/>
      <c r="AF73" s="29"/>
      <c r="AG73" s="12"/>
      <c r="AH73" s="29"/>
      <c r="AI73" s="12"/>
      <c r="AJ73" s="12"/>
      <c r="AK73" s="86"/>
      <c r="AL73" s="29"/>
      <c r="AM73" s="12"/>
      <c r="AN73" s="12"/>
      <c r="AO73" s="12"/>
      <c r="AP73" s="12"/>
      <c r="AQ73" s="86"/>
      <c r="AR73" s="12"/>
      <c r="AS73" s="29"/>
      <c r="AT73" s="12"/>
      <c r="AU73" s="12"/>
      <c r="AV73" s="12"/>
      <c r="AW73" s="12"/>
      <c r="AX73" s="12"/>
      <c r="AY73" s="29"/>
      <c r="AZ73" s="12"/>
      <c r="BA73" s="12"/>
      <c r="BB73" s="29"/>
      <c r="BC73" s="12"/>
      <c r="BD73" s="12"/>
      <c r="BE73" s="12"/>
      <c r="BF73" s="29"/>
      <c r="BG73" s="12"/>
      <c r="BH73" s="12"/>
      <c r="BI73" s="12"/>
      <c r="BJ73" s="12"/>
      <c r="BK73" s="12"/>
      <c r="BL73" s="12"/>
      <c r="BM73" s="12"/>
      <c r="BN73" s="29"/>
      <c r="BO73" s="12"/>
      <c r="BP73" s="12"/>
      <c r="BQ73" s="12"/>
      <c r="BR73" s="12"/>
      <c r="BS73" s="12"/>
      <c r="BT73" s="12"/>
      <c r="BU73" s="12"/>
      <c r="BV73" s="88"/>
      <c r="BW73" s="29"/>
      <c r="BX73" s="86"/>
    </row>
    <row r="74" spans="1:77" x14ac:dyDescent="0.2">
      <c r="A74" s="14" t="s">
        <v>102</v>
      </c>
      <c r="B74" s="192">
        <f t="shared" ref="B74:B80" si="285">SUM(C74:BX74)</f>
        <v>21179478.261045631</v>
      </c>
      <c r="C74" s="37">
        <f t="shared" ref="C74:BL74" si="286">C16-C29-C30-C31-C32-C37</f>
        <v>-5692761.2699999996</v>
      </c>
      <c r="D74" s="106">
        <f t="shared" si="286"/>
        <v>-7427584.4312790008</v>
      </c>
      <c r="E74" s="106">
        <f t="shared" ref="E74" si="287">E16-E29-E30-E31-E32-E37</f>
        <v>17025824.820802085</v>
      </c>
      <c r="F74" s="106">
        <f t="shared" si="286"/>
        <v>0</v>
      </c>
      <c r="G74" s="106">
        <f t="shared" si="286"/>
        <v>-2253339.1310724937</v>
      </c>
      <c r="H74" s="106">
        <f t="shared" si="286"/>
        <v>-101793.62390977099</v>
      </c>
      <c r="I74" s="193">
        <f t="shared" ref="I74:J74" si="288">I16-I29-I30-I31-I32-I37</f>
        <v>0</v>
      </c>
      <c r="J74" s="37">
        <f t="shared" si="288"/>
        <v>0</v>
      </c>
      <c r="K74" s="193">
        <f t="shared" ref="K74" si="289">K16-K29-K30-K31-K32-K37</f>
        <v>-11430.308529090542</v>
      </c>
      <c r="L74" s="37">
        <f>L16-L29-L30-L31-L32-L37</f>
        <v>22113.998075557342</v>
      </c>
      <c r="M74" s="106">
        <f>M16-M29-M30-M31-M32-M37</f>
        <v>47588.981132557921</v>
      </c>
      <c r="N74" s="106">
        <f t="shared" ref="N74:O74" si="290">N16-N29-N30-N31-N32-N37</f>
        <v>0</v>
      </c>
      <c r="O74" s="106">
        <f t="shared" si="290"/>
        <v>5340.7537227038374</v>
      </c>
      <c r="P74" s="106">
        <f t="shared" si="286"/>
        <v>-155436.59276701676</v>
      </c>
      <c r="Q74" s="193">
        <f t="shared" si="286"/>
        <v>10677588.59</v>
      </c>
      <c r="R74" s="37">
        <f t="shared" si="286"/>
        <v>2021277.8356731343</v>
      </c>
      <c r="S74" s="106">
        <f t="shared" ref="S74:V74" si="291">S16-S29-S30-S31-S32-S37</f>
        <v>401.946618269174</v>
      </c>
      <c r="T74" s="106">
        <f t="shared" si="291"/>
        <v>-1496.5274180481501</v>
      </c>
      <c r="U74" s="106">
        <f t="shared" si="291"/>
        <v>-422425.00651124539</v>
      </c>
      <c r="V74" s="106">
        <f t="shared" si="291"/>
        <v>-734346.64790187846</v>
      </c>
      <c r="W74" s="106">
        <f t="shared" ref="W74" si="292">W16-W29-W30-W31-W32-W37</f>
        <v>640526.89575698704</v>
      </c>
      <c r="X74" s="193">
        <f t="shared" ref="X74:AC74" si="293">X16-X29-X30-X31-X32-X37</f>
        <v>0</v>
      </c>
      <c r="Y74" s="37">
        <f t="shared" ref="Y74:AB74" si="294">Y16-Y29-Y30-Y31-Y32-Y37</f>
        <v>0</v>
      </c>
      <c r="Z74" s="106">
        <f t="shared" si="294"/>
        <v>0</v>
      </c>
      <c r="AA74" s="106">
        <f t="shared" si="294"/>
        <v>0</v>
      </c>
      <c r="AB74" s="106">
        <f t="shared" si="294"/>
        <v>0</v>
      </c>
      <c r="AC74" s="193">
        <f t="shared" si="293"/>
        <v>0</v>
      </c>
      <c r="AD74" s="37">
        <f t="shared" si="286"/>
        <v>11514719.674666643</v>
      </c>
      <c r="AE74" s="193">
        <f t="shared" ref="AE74:AF74" si="295">AE16-AE29-AE30-AE31-AE32-AE37</f>
        <v>0</v>
      </c>
      <c r="AF74" s="37">
        <f t="shared" si="295"/>
        <v>0</v>
      </c>
      <c r="AG74" s="106">
        <f>AG16-AG29-AG30-AG31-AG32-AG37</f>
        <v>469119.33380278642</v>
      </c>
      <c r="AH74" s="29">
        <f t="shared" ref="AH74:AK74" si="296">AH16-AH29-AH30-AH31-AH32-AH37</f>
        <v>0</v>
      </c>
      <c r="AI74" s="12">
        <f t="shared" ref="AI74:AJ74" si="297">AI16-AI29-AI30-AI31-AI32-AI37</f>
        <v>0</v>
      </c>
      <c r="AJ74" s="12">
        <f t="shared" si="297"/>
        <v>0</v>
      </c>
      <c r="AK74" s="86">
        <f t="shared" si="296"/>
        <v>0</v>
      </c>
      <c r="AL74" s="29">
        <f t="shared" si="286"/>
        <v>-1428608.4764376204</v>
      </c>
      <c r="AM74" s="12">
        <f t="shared" ref="AM74:AQ74" si="298">AM16-AM29-AM30-AM31-AM32-AM37</f>
        <v>0</v>
      </c>
      <c r="AN74" s="12">
        <f t="shared" ref="AN74:AP74" si="299">AN16-AN29-AN30-AN31-AN32-AN37</f>
        <v>0</v>
      </c>
      <c r="AO74" s="12">
        <f t="shared" si="299"/>
        <v>88748.911094690207</v>
      </c>
      <c r="AP74" s="12">
        <f t="shared" si="299"/>
        <v>43408.994722799682</v>
      </c>
      <c r="AQ74" s="86">
        <f t="shared" si="298"/>
        <v>0</v>
      </c>
      <c r="AR74" s="12">
        <f t="shared" ref="AR74" si="300">AR16-AR29-AR30-AR31-AR32-AR37</f>
        <v>0</v>
      </c>
      <c r="AS74" s="37">
        <f t="shared" si="286"/>
        <v>0</v>
      </c>
      <c r="AT74" s="106">
        <f t="shared" ref="AT74" si="301">AT16-AT29-AT30-AT31-AT32-AT37</f>
        <v>0</v>
      </c>
      <c r="AU74" s="106">
        <f t="shared" si="286"/>
        <v>0</v>
      </c>
      <c r="AV74" s="106">
        <f t="shared" ref="AV74" si="302">AV16-AV29-AV30-AV31-AV32-AV37</f>
        <v>0</v>
      </c>
      <c r="AW74" s="106">
        <f t="shared" si="286"/>
        <v>0</v>
      </c>
      <c r="AX74" s="106">
        <f t="shared" si="286"/>
        <v>0</v>
      </c>
      <c r="AY74" s="37">
        <f t="shared" si="286"/>
        <v>0</v>
      </c>
      <c r="AZ74" s="106">
        <f t="shared" ref="AZ74" si="303">AZ16-AZ29-AZ30-AZ31-AZ32-AZ37</f>
        <v>0</v>
      </c>
      <c r="BA74" s="106">
        <f t="shared" ref="BA74" si="304">BA16-BA29-BA30-BA31-BA32-BA37</f>
        <v>0</v>
      </c>
      <c r="BB74" s="37">
        <f t="shared" si="286"/>
        <v>0</v>
      </c>
      <c r="BC74" s="106">
        <f t="shared" si="286"/>
        <v>-168765.87530265757</v>
      </c>
      <c r="BD74" s="106">
        <f t="shared" si="286"/>
        <v>0</v>
      </c>
      <c r="BE74" s="106">
        <f t="shared" si="286"/>
        <v>0</v>
      </c>
      <c r="BF74" s="37">
        <f t="shared" ref="BF74" si="305">BF16-BF29-BF30-BF31-BF32-BF37</f>
        <v>0</v>
      </c>
      <c r="BG74" s="106">
        <f t="shared" si="286"/>
        <v>0</v>
      </c>
      <c r="BH74" s="106">
        <f t="shared" si="286"/>
        <v>0</v>
      </c>
      <c r="BI74" s="106">
        <f t="shared" si="286"/>
        <v>0</v>
      </c>
      <c r="BJ74" s="106">
        <f>'[23]Page 8.7'!$I$13</f>
        <v>17990.552800000001</v>
      </c>
      <c r="BK74" s="106">
        <f t="shared" ref="BK74" si="306">BK16-BK29-BK30-BK31-BK32-BK37</f>
        <v>0</v>
      </c>
      <c r="BL74" s="106">
        <f t="shared" si="286"/>
        <v>-4169.3672727272733</v>
      </c>
      <c r="BM74" s="106">
        <f t="shared" ref="BM74:BS74" si="307">BM16-BM29-BM30-BM31-BM32-BM37</f>
        <v>-3000000</v>
      </c>
      <c r="BN74" s="37">
        <f t="shared" si="307"/>
        <v>6984.2305789677403</v>
      </c>
      <c r="BO74" s="106">
        <f t="shared" si="307"/>
        <v>0</v>
      </c>
      <c r="BP74" s="106">
        <f t="shared" si="307"/>
        <v>0</v>
      </c>
      <c r="BQ74" s="106">
        <f t="shared" ref="BQ74:BR74" si="308">BQ16-BQ29-BQ30-BQ31-BQ32-BQ37</f>
        <v>0</v>
      </c>
      <c r="BR74" s="106">
        <f t="shared" si="308"/>
        <v>0</v>
      </c>
      <c r="BS74" s="106">
        <f t="shared" si="307"/>
        <v>0</v>
      </c>
      <c r="BT74" s="106">
        <f t="shared" ref="BT74:BU74" si="309">BT16-BT29-BT30-BT31-BT32-BT37</f>
        <v>0</v>
      </c>
      <c r="BU74" s="106">
        <f t="shared" si="309"/>
        <v>0</v>
      </c>
      <c r="BV74" s="192">
        <f t="shared" ref="BV74" si="310">BV16-BV29-BV30-BV31-BV32-BV37</f>
        <v>0</v>
      </c>
      <c r="BW74" s="37">
        <f t="shared" ref="BW74" si="311">BW16-BW29-BW30-BW31-BW32-BW37</f>
        <v>0</v>
      </c>
      <c r="BX74" s="193">
        <f t="shared" ref="BX74" si="312">BX16-BX29-BX30-BX31-BX32-BX37</f>
        <v>0</v>
      </c>
    </row>
    <row r="75" spans="1:77" x14ac:dyDescent="0.2">
      <c r="A75" s="14" t="s">
        <v>103</v>
      </c>
      <c r="B75" s="192">
        <f t="shared" si="285"/>
        <v>0</v>
      </c>
      <c r="C75" s="29"/>
      <c r="D75" s="12"/>
      <c r="E75" s="12"/>
      <c r="F75" s="12"/>
      <c r="G75" s="12"/>
      <c r="H75" s="12"/>
      <c r="I75" s="86"/>
      <c r="J75" s="29"/>
      <c r="K75" s="86"/>
      <c r="L75" s="29"/>
      <c r="M75" s="12"/>
      <c r="N75" s="12"/>
      <c r="O75" s="12"/>
      <c r="P75" s="12"/>
      <c r="Q75" s="86"/>
      <c r="R75" s="29"/>
      <c r="S75" s="12"/>
      <c r="T75" s="12"/>
      <c r="U75" s="12"/>
      <c r="V75" s="12"/>
      <c r="W75" s="12"/>
      <c r="X75" s="86"/>
      <c r="Y75" s="29"/>
      <c r="Z75" s="12"/>
      <c r="AA75" s="12"/>
      <c r="AB75" s="12"/>
      <c r="AC75" s="86"/>
      <c r="AD75" s="29"/>
      <c r="AE75" s="86"/>
      <c r="AF75" s="29"/>
      <c r="AG75" s="12"/>
      <c r="AH75" s="29"/>
      <c r="AI75" s="12"/>
      <c r="AJ75" s="12"/>
      <c r="AK75" s="86"/>
      <c r="AL75" s="29"/>
      <c r="AM75" s="12"/>
      <c r="AN75" s="12"/>
      <c r="AO75" s="12"/>
      <c r="AP75" s="12"/>
      <c r="AQ75" s="86"/>
      <c r="AR75" s="12"/>
      <c r="AS75" s="29"/>
      <c r="AT75" s="12"/>
      <c r="AU75" s="12"/>
      <c r="AV75" s="12"/>
      <c r="AW75" s="12"/>
      <c r="AX75" s="12"/>
      <c r="AY75" s="29"/>
      <c r="AZ75" s="12"/>
      <c r="BA75" s="12"/>
      <c r="BB75" s="29"/>
      <c r="BC75" s="12"/>
      <c r="BD75" s="12"/>
      <c r="BE75" s="12"/>
      <c r="BF75" s="29"/>
      <c r="BG75" s="12"/>
      <c r="BH75" s="12"/>
      <c r="BI75" s="12"/>
      <c r="BJ75" s="12"/>
      <c r="BK75" s="12"/>
      <c r="BL75" s="12"/>
      <c r="BM75" s="12"/>
      <c r="BN75" s="29"/>
      <c r="BO75" s="12"/>
      <c r="BP75" s="12"/>
      <c r="BQ75" s="12"/>
      <c r="BR75" s="12"/>
      <c r="BS75" s="12"/>
      <c r="BT75" s="12"/>
      <c r="BU75" s="12"/>
      <c r="BV75" s="88"/>
      <c r="BW75" s="29"/>
      <c r="BX75" s="86"/>
    </row>
    <row r="76" spans="1:77" x14ac:dyDescent="0.2">
      <c r="A76" s="14" t="s">
        <v>104</v>
      </c>
      <c r="B76" s="192">
        <f t="shared" si="285"/>
        <v>0</v>
      </c>
      <c r="C76" s="30"/>
      <c r="D76" s="90"/>
      <c r="E76" s="90"/>
      <c r="F76" s="90"/>
      <c r="G76" s="90"/>
      <c r="H76" s="90"/>
      <c r="I76" s="91"/>
      <c r="J76" s="30"/>
      <c r="K76" s="91"/>
      <c r="L76" s="30"/>
      <c r="M76" s="90"/>
      <c r="N76" s="90"/>
      <c r="O76" s="90"/>
      <c r="P76" s="90"/>
      <c r="Q76" s="91"/>
      <c r="R76" s="30"/>
      <c r="S76" s="90"/>
      <c r="T76" s="90"/>
      <c r="U76" s="90"/>
      <c r="V76" s="90"/>
      <c r="W76" s="90"/>
      <c r="X76" s="91"/>
      <c r="Y76" s="30"/>
      <c r="Z76" s="90"/>
      <c r="AA76" s="90"/>
      <c r="AB76" s="90"/>
      <c r="AC76" s="91"/>
      <c r="AD76" s="30"/>
      <c r="AE76" s="91"/>
      <c r="AF76" s="30"/>
      <c r="AG76" s="90"/>
      <c r="AH76" s="30"/>
      <c r="AI76" s="90"/>
      <c r="AJ76" s="90"/>
      <c r="AK76" s="91"/>
      <c r="AL76" s="30"/>
      <c r="AM76" s="90"/>
      <c r="AN76" s="90"/>
      <c r="AO76" s="90"/>
      <c r="AP76" s="90"/>
      <c r="AQ76" s="91"/>
      <c r="AR76" s="90"/>
      <c r="AS76" s="30"/>
      <c r="AT76" s="90"/>
      <c r="AU76" s="90"/>
      <c r="AV76" s="90"/>
      <c r="AW76" s="90"/>
      <c r="AX76" s="90"/>
      <c r="AY76" s="30"/>
      <c r="AZ76" s="90"/>
      <c r="BA76" s="90"/>
      <c r="BB76" s="30"/>
      <c r="BC76" s="90"/>
      <c r="BD76" s="90"/>
      <c r="BE76" s="90"/>
      <c r="BF76" s="30"/>
      <c r="BG76" s="90"/>
      <c r="BH76" s="12"/>
      <c r="BI76" s="90"/>
      <c r="BJ76" s="90"/>
      <c r="BK76" s="90"/>
      <c r="BL76" s="90"/>
      <c r="BM76" s="90"/>
      <c r="BN76" s="30"/>
      <c r="BO76" s="90"/>
      <c r="BP76" s="90"/>
      <c r="BQ76" s="90"/>
      <c r="BR76" s="90"/>
      <c r="BS76" s="90"/>
      <c r="BT76" s="90"/>
      <c r="BU76" s="90"/>
      <c r="BV76" s="100"/>
      <c r="BW76" s="30"/>
      <c r="BX76" s="91"/>
    </row>
    <row r="77" spans="1:77" x14ac:dyDescent="0.2">
      <c r="A77" s="14" t="s">
        <v>105</v>
      </c>
      <c r="B77" s="192">
        <f t="shared" si="285"/>
        <v>-394343.39106928557</v>
      </c>
      <c r="C77" s="30"/>
      <c r="D77" s="90"/>
      <c r="E77" s="90"/>
      <c r="F77" s="90"/>
      <c r="G77" s="90"/>
      <c r="H77" s="90"/>
      <c r="I77" s="91"/>
      <c r="J77" s="30"/>
      <c r="K77" s="91"/>
      <c r="L77" s="30"/>
      <c r="M77" s="90"/>
      <c r="N77" s="90"/>
      <c r="O77" s="90"/>
      <c r="P77" s="90"/>
      <c r="Q77" s="91"/>
      <c r="R77" s="30"/>
      <c r="S77" s="90"/>
      <c r="T77" s="90"/>
      <c r="U77" s="90"/>
      <c r="V77" s="90"/>
      <c r="W77" s="90"/>
      <c r="X77" s="91"/>
      <c r="Y77" s="30"/>
      <c r="Z77" s="90"/>
      <c r="AA77" s="90"/>
      <c r="AB77" s="90"/>
      <c r="AC77" s="91"/>
      <c r="AD77" s="30"/>
      <c r="AE77" s="91"/>
      <c r="AF77" s="30"/>
      <c r="AG77" s="90"/>
      <c r="AH77" s="30"/>
      <c r="AI77" s="90"/>
      <c r="AJ77" s="90"/>
      <c r="AK77" s="91"/>
      <c r="AL77" s="30"/>
      <c r="AM77" s="90"/>
      <c r="AN77" s="90"/>
      <c r="AO77" s="90"/>
      <c r="AP77" s="90"/>
      <c r="AQ77" s="91"/>
      <c r="AR77" s="90"/>
      <c r="AS77" s="30">
        <f>'Interest Calc'!C16</f>
        <v>-394343.39106928557</v>
      </c>
      <c r="AT77" s="90"/>
      <c r="AU77" s="90"/>
      <c r="AV77" s="90"/>
      <c r="AW77" s="90"/>
      <c r="AX77" s="90"/>
      <c r="AY77" s="30"/>
      <c r="AZ77" s="90"/>
      <c r="BA77" s="90"/>
      <c r="BB77" s="30"/>
      <c r="BC77" s="90"/>
      <c r="BD77" s="90"/>
      <c r="BE77" s="90"/>
      <c r="BF77" s="30"/>
      <c r="BG77" s="90"/>
      <c r="BH77" s="12"/>
      <c r="BI77" s="90"/>
      <c r="BJ77" s="90"/>
      <c r="BK77" s="90"/>
      <c r="BL77" s="90"/>
      <c r="BM77" s="90"/>
      <c r="BN77" s="30"/>
      <c r="BO77" s="90"/>
      <c r="BP77" s="90"/>
      <c r="BQ77" s="90"/>
      <c r="BR77" s="90"/>
      <c r="BS77" s="90"/>
      <c r="BT77" s="90"/>
      <c r="BU77" s="90"/>
      <c r="BV77" s="100"/>
      <c r="BW77" s="30"/>
      <c r="BX77" s="91"/>
    </row>
    <row r="78" spans="1:77" x14ac:dyDescent="0.2">
      <c r="A78" s="14" t="s">
        <v>106</v>
      </c>
      <c r="B78" s="192">
        <f t="shared" si="285"/>
        <v>722834.51554850512</v>
      </c>
      <c r="C78" s="30"/>
      <c r="D78" s="90"/>
      <c r="E78" s="90"/>
      <c r="F78" s="90"/>
      <c r="G78" s="90"/>
      <c r="H78" s="90"/>
      <c r="I78" s="91"/>
      <c r="J78" s="30"/>
      <c r="K78" s="91"/>
      <c r="L78" s="30"/>
      <c r="M78" s="90"/>
      <c r="N78" s="90"/>
      <c r="O78" s="90"/>
      <c r="P78" s="90"/>
      <c r="Q78" s="91">
        <f>'[17]Page 4.6'!$I$22</f>
        <v>47838.41379794394</v>
      </c>
      <c r="R78" s="30"/>
      <c r="S78" s="90"/>
      <c r="T78" s="90"/>
      <c r="U78" s="90"/>
      <c r="V78" s="90"/>
      <c r="W78" s="90"/>
      <c r="X78" s="91"/>
      <c r="Y78" s="30"/>
      <c r="Z78" s="90"/>
      <c r="AA78" s="90"/>
      <c r="AB78" s="90"/>
      <c r="AC78" s="91"/>
      <c r="AD78" s="30"/>
      <c r="AE78" s="91"/>
      <c r="AF78" s="30"/>
      <c r="AG78" s="90">
        <f>'[21]Page 5.3'!$I$26</f>
        <v>-52188</v>
      </c>
      <c r="AH78" s="30"/>
      <c r="AI78" s="90"/>
      <c r="AJ78" s="90"/>
      <c r="AK78" s="91"/>
      <c r="AL78" s="30"/>
      <c r="AM78" s="90"/>
      <c r="AN78" s="90">
        <f>'[22]Page 6.3.2'!$I$24</f>
        <v>1428608.4764376199</v>
      </c>
      <c r="AO78" s="90"/>
      <c r="AP78" s="90"/>
      <c r="AQ78" s="91">
        <f>'[10]Page 6.4.2'!$I$23</f>
        <v>-378814.10350758285</v>
      </c>
      <c r="AR78" s="90"/>
      <c r="AS78" s="30"/>
      <c r="AT78" s="90"/>
      <c r="AU78" s="90"/>
      <c r="AV78" s="90"/>
      <c r="AW78" s="90"/>
      <c r="AX78" s="90"/>
      <c r="AY78" s="30"/>
      <c r="AZ78" s="90"/>
      <c r="BA78" s="90"/>
      <c r="BB78" s="30">
        <f>'[27]Page 8.1'!$I$26</f>
        <v>-28035.211745422421</v>
      </c>
      <c r="BC78" s="90">
        <f>'[20]Page 8.2'!$I$25+'[20]Page 8.2'!$I$27+'[20]Page 8.2'!$I$31</f>
        <v>-294575.05943405337</v>
      </c>
      <c r="BD78" s="90"/>
      <c r="BE78" s="90"/>
      <c r="BF78" s="30"/>
      <c r="BG78" s="90"/>
      <c r="BH78" s="12"/>
      <c r="BI78" s="90"/>
      <c r="BJ78" s="90"/>
      <c r="BK78" s="90"/>
      <c r="BL78" s="90"/>
      <c r="BM78" s="90"/>
      <c r="BN78" s="30"/>
      <c r="BO78" s="90"/>
      <c r="BP78" s="90"/>
      <c r="BQ78" s="90"/>
      <c r="BR78" s="90"/>
      <c r="BS78" s="90"/>
      <c r="BT78" s="90"/>
      <c r="BU78" s="90"/>
      <c r="BV78" s="100"/>
      <c r="BW78" s="30"/>
      <c r="BX78" s="91"/>
    </row>
    <row r="79" spans="1:77" x14ac:dyDescent="0.2">
      <c r="A79" s="14" t="s">
        <v>107</v>
      </c>
      <c r="B79" s="192">
        <f t="shared" si="285"/>
        <v>541075.95803906047</v>
      </c>
      <c r="C79" s="108"/>
      <c r="D79" s="99"/>
      <c r="E79" s="99"/>
      <c r="F79" s="12"/>
      <c r="G79" s="99"/>
      <c r="H79" s="99"/>
      <c r="I79" s="107"/>
      <c r="J79" s="38"/>
      <c r="K79" s="107"/>
      <c r="L79" s="108"/>
      <c r="M79" s="97"/>
      <c r="N79" s="97"/>
      <c r="O79" s="97"/>
      <c r="P79" s="97"/>
      <c r="Q79" s="109"/>
      <c r="R79" s="108">
        <f>[14]OM!$I$398+[14]OM!$I$400</f>
        <v>1255521.1132177606</v>
      </c>
      <c r="S79" s="97"/>
      <c r="T79" s="97"/>
      <c r="U79" s="97"/>
      <c r="V79" s="97"/>
      <c r="W79" s="97"/>
      <c r="X79" s="109"/>
      <c r="Y79" s="108"/>
      <c r="Z79" s="97"/>
      <c r="AA79" s="97"/>
      <c r="AB79" s="97"/>
      <c r="AC79" s="109"/>
      <c r="AD79" s="108"/>
      <c r="AE79" s="109"/>
      <c r="AF79" s="108"/>
      <c r="AG79" s="97">
        <f>'[21]Page 5.3'!$I$12</f>
        <v>298029.30754214432</v>
      </c>
      <c r="AH79" s="38"/>
      <c r="AI79" s="99"/>
      <c r="AJ79" s="99"/>
      <c r="AK79" s="107"/>
      <c r="AL79" s="38"/>
      <c r="AM79" s="99"/>
      <c r="AN79" s="99"/>
      <c r="AO79" s="99"/>
      <c r="AP79" s="99"/>
      <c r="AQ79" s="107"/>
      <c r="AR79" s="99"/>
      <c r="AS79" s="38"/>
      <c r="AT79" s="99"/>
      <c r="AU79" s="99"/>
      <c r="AV79" s="99"/>
      <c r="AW79" s="99"/>
      <c r="AX79" s="99"/>
      <c r="AY79" s="38"/>
      <c r="AZ79" s="99"/>
      <c r="BA79" s="99"/>
      <c r="BB79" s="38">
        <f>'[27]Page 8.1'!$I$27+'[27]Page 8.1'!$I$28</f>
        <v>-424076.846086126</v>
      </c>
      <c r="BC79" s="99">
        <f>'[20]Page 8.2'!$I$24</f>
        <v>-321354.16943471832</v>
      </c>
      <c r="BD79" s="99"/>
      <c r="BE79" s="99"/>
      <c r="BF79" s="38"/>
      <c r="BG79" s="99"/>
      <c r="BH79" s="99"/>
      <c r="BI79" s="99"/>
      <c r="BJ79" s="99">
        <f>'[33]Page 8.7'!$I$13</f>
        <v>17990.552800000001</v>
      </c>
      <c r="BK79" s="99">
        <f>'[32]Page 8.8'!$I$12</f>
        <v>-285034</v>
      </c>
      <c r="BL79" s="99"/>
      <c r="BM79" s="99"/>
      <c r="BN79" s="38"/>
      <c r="BO79" s="99"/>
      <c r="BP79" s="99"/>
      <c r="BQ79" s="99"/>
      <c r="BR79" s="99"/>
      <c r="BS79" s="99"/>
      <c r="BT79" s="99"/>
      <c r="BU79" s="99"/>
      <c r="BV79" s="301"/>
      <c r="BW79" s="38"/>
      <c r="BX79" s="107"/>
    </row>
    <row r="80" spans="1:77" x14ac:dyDescent="0.2">
      <c r="A80" s="14" t="s">
        <v>108</v>
      </c>
      <c r="B80" s="194">
        <f t="shared" si="285"/>
        <v>21755580.209624365</v>
      </c>
      <c r="C80" s="200">
        <f t="shared" ref="C80:BL80" si="313">C74-C76-C77+C78-C79</f>
        <v>-5692761.2699999996</v>
      </c>
      <c r="D80" s="13">
        <f t="shared" si="313"/>
        <v>-7427584.4312790008</v>
      </c>
      <c r="E80" s="13">
        <f t="shared" ref="E80" si="314">E74-E76-E77+E78-E79</f>
        <v>17025824.820802085</v>
      </c>
      <c r="F80" s="115">
        <f t="shared" si="313"/>
        <v>0</v>
      </c>
      <c r="G80" s="13">
        <f t="shared" si="313"/>
        <v>-2253339.1310724937</v>
      </c>
      <c r="H80" s="13">
        <f t="shared" si="313"/>
        <v>-101793.62390977099</v>
      </c>
      <c r="I80" s="201">
        <f t="shared" ref="I80:J80" si="315">I74-I76-I77+I78-I79</f>
        <v>0</v>
      </c>
      <c r="J80" s="200">
        <f t="shared" si="315"/>
        <v>0</v>
      </c>
      <c r="K80" s="201">
        <f t="shared" ref="K80" si="316">K74-K76-K77+K78-K79</f>
        <v>-11430.308529090542</v>
      </c>
      <c r="L80" s="200">
        <f t="shared" si="313"/>
        <v>22113.998075557342</v>
      </c>
      <c r="M80" s="13">
        <f t="shared" si="313"/>
        <v>47588.981132557921</v>
      </c>
      <c r="N80" s="13">
        <f t="shared" ref="N80:O80" si="317">N74-N76-N77+N78-N79</f>
        <v>0</v>
      </c>
      <c r="O80" s="13">
        <f t="shared" si="317"/>
        <v>5340.7537227038374</v>
      </c>
      <c r="P80" s="13">
        <f t="shared" si="313"/>
        <v>-155436.59276701676</v>
      </c>
      <c r="Q80" s="201">
        <f t="shared" si="313"/>
        <v>10725427.003797945</v>
      </c>
      <c r="R80" s="200">
        <f t="shared" ref="R80:V80" si="318">R74-R76-R77+R78-R79</f>
        <v>765756.72245537373</v>
      </c>
      <c r="S80" s="13">
        <f t="shared" si="318"/>
        <v>401.946618269174</v>
      </c>
      <c r="T80" s="13">
        <f t="shared" si="318"/>
        <v>-1496.5274180481501</v>
      </c>
      <c r="U80" s="13">
        <f t="shared" si="318"/>
        <v>-422425.00651124539</v>
      </c>
      <c r="V80" s="13">
        <f t="shared" si="318"/>
        <v>-734346.64790187846</v>
      </c>
      <c r="W80" s="13">
        <f t="shared" ref="W80" si="319">W74-W76-W77+W78-W79</f>
        <v>640526.89575698704</v>
      </c>
      <c r="X80" s="201">
        <f t="shared" ref="X80:AC80" si="320">X74-X76-X77+X78-X79</f>
        <v>0</v>
      </c>
      <c r="Y80" s="200">
        <f t="shared" ref="Y80:AB80" si="321">Y74-Y76-Y77+Y78-Y79</f>
        <v>0</v>
      </c>
      <c r="Z80" s="13">
        <f t="shared" si="321"/>
        <v>0</v>
      </c>
      <c r="AA80" s="13">
        <f t="shared" si="321"/>
        <v>0</v>
      </c>
      <c r="AB80" s="13">
        <f t="shared" si="321"/>
        <v>0</v>
      </c>
      <c r="AC80" s="201">
        <f t="shared" si="320"/>
        <v>0</v>
      </c>
      <c r="AD80" s="200">
        <f t="shared" ref="AD80:AK80" si="322">AD74-AD76-AD77+AD78-AD79</f>
        <v>11514719.674666643</v>
      </c>
      <c r="AE80" s="201">
        <f t="shared" ref="AE80:AF80" si="323">AE74-AE76-AE77+AE78-AE79</f>
        <v>0</v>
      </c>
      <c r="AF80" s="200">
        <f t="shared" si="323"/>
        <v>0</v>
      </c>
      <c r="AG80" s="13">
        <f t="shared" si="322"/>
        <v>118902.0262606421</v>
      </c>
      <c r="AH80" s="200">
        <f t="shared" ref="AH80:AI80" si="324">AH74-AH76-AH77+AH78-AH79</f>
        <v>0</v>
      </c>
      <c r="AI80" s="13">
        <f t="shared" si="324"/>
        <v>0</v>
      </c>
      <c r="AJ80" s="13">
        <f t="shared" ref="AJ80" si="325">AJ74-AJ76-AJ77+AJ78-AJ79</f>
        <v>0</v>
      </c>
      <c r="AK80" s="201">
        <f t="shared" si="322"/>
        <v>0</v>
      </c>
      <c r="AL80" s="200">
        <f t="shared" si="313"/>
        <v>-1428608.4764376204</v>
      </c>
      <c r="AM80" s="13">
        <f t="shared" ref="AM80:AQ80" si="326">AM74-AM76-AM77+AM78-AM79</f>
        <v>0</v>
      </c>
      <c r="AN80" s="13">
        <f t="shared" ref="AN80:AP80" si="327">AN74-AN76-AN77+AN78-AN79</f>
        <v>1428608.4764376199</v>
      </c>
      <c r="AO80" s="13">
        <f t="shared" si="327"/>
        <v>88748.911094690207</v>
      </c>
      <c r="AP80" s="13">
        <f t="shared" si="327"/>
        <v>43408.994722799682</v>
      </c>
      <c r="AQ80" s="201">
        <f t="shared" si="326"/>
        <v>-378814.10350758285</v>
      </c>
      <c r="AR80" s="13">
        <f t="shared" ref="AR80" si="328">AR74-AR76-AR77+AR78-AR79</f>
        <v>0</v>
      </c>
      <c r="AS80" s="200">
        <f t="shared" si="313"/>
        <v>394343.39106928557</v>
      </c>
      <c r="AT80" s="13">
        <f t="shared" ref="AT80" si="329">AT74-AT76-AT77+AT78-AT79</f>
        <v>0</v>
      </c>
      <c r="AU80" s="13">
        <f t="shared" si="313"/>
        <v>0</v>
      </c>
      <c r="AV80" s="13">
        <f t="shared" ref="AV80" si="330">AV74-AV76-AV77+AV78-AV79</f>
        <v>0</v>
      </c>
      <c r="AW80" s="13">
        <f t="shared" si="313"/>
        <v>0</v>
      </c>
      <c r="AX80" s="13">
        <f t="shared" si="313"/>
        <v>0</v>
      </c>
      <c r="AY80" s="200">
        <f t="shared" ref="AY80" si="331">AY74-AY76-AY77+AY78-AY79</f>
        <v>0</v>
      </c>
      <c r="AZ80" s="13">
        <f t="shared" ref="AZ80" si="332">AZ74-AZ76-AZ77+AZ78-AZ79</f>
        <v>0</v>
      </c>
      <c r="BA80" s="13">
        <f t="shared" ref="BA80" si="333">BA74-BA76-BA77+BA78-BA79</f>
        <v>0</v>
      </c>
      <c r="BB80" s="200">
        <f t="shared" si="313"/>
        <v>396041.6343407036</v>
      </c>
      <c r="BC80" s="13">
        <f t="shared" si="313"/>
        <v>-141986.76530199265</v>
      </c>
      <c r="BD80" s="13">
        <f t="shared" si="313"/>
        <v>0</v>
      </c>
      <c r="BE80" s="13">
        <f t="shared" si="313"/>
        <v>0</v>
      </c>
      <c r="BF80" s="200">
        <f t="shared" ref="BF80" si="334">BF74-BF76-BF77+BF78-BF79</f>
        <v>0</v>
      </c>
      <c r="BG80" s="13">
        <f t="shared" ref="BG80" si="335">BG74-BG76-BG77+BG78-BG79</f>
        <v>0</v>
      </c>
      <c r="BH80" s="13">
        <f t="shared" si="313"/>
        <v>0</v>
      </c>
      <c r="BI80" s="13">
        <f t="shared" si="313"/>
        <v>0</v>
      </c>
      <c r="BJ80" s="13">
        <f t="shared" si="313"/>
        <v>0</v>
      </c>
      <c r="BK80" s="13">
        <f t="shared" ref="BK80" si="336">BK74-BK76-BK77+BK78-BK79</f>
        <v>285034</v>
      </c>
      <c r="BL80" s="13">
        <f t="shared" si="313"/>
        <v>-4169.3672727272733</v>
      </c>
      <c r="BM80" s="13">
        <f t="shared" ref="BM80:BS80" si="337">BM74-BM76-BM77+BM78-BM79</f>
        <v>-3000000</v>
      </c>
      <c r="BN80" s="200">
        <f t="shared" si="337"/>
        <v>6984.2305789677403</v>
      </c>
      <c r="BO80" s="13">
        <f t="shared" si="337"/>
        <v>0</v>
      </c>
      <c r="BP80" s="13">
        <f t="shared" si="337"/>
        <v>0</v>
      </c>
      <c r="BQ80" s="13">
        <f t="shared" ref="BQ80:BR80" si="338">BQ74-BQ76-BQ77+BQ78-BQ79</f>
        <v>0</v>
      </c>
      <c r="BR80" s="13">
        <f t="shared" si="338"/>
        <v>0</v>
      </c>
      <c r="BS80" s="13">
        <f t="shared" si="337"/>
        <v>0</v>
      </c>
      <c r="BT80" s="13">
        <f t="shared" ref="BT80:BU80" si="339">BT74-BT76-BT77+BT78-BT79</f>
        <v>0</v>
      </c>
      <c r="BU80" s="13">
        <f t="shared" si="339"/>
        <v>0</v>
      </c>
      <c r="BV80" s="302">
        <f t="shared" ref="BV80" si="340">BV74-BV76-BV77+BV78-BV79</f>
        <v>0</v>
      </c>
      <c r="BW80" s="200">
        <f t="shared" ref="BW80" si="341">BW74-BW76-BW77+BW78-BW79</f>
        <v>0</v>
      </c>
      <c r="BX80" s="201">
        <f t="shared" ref="BX80" si="342">BX74-BX76-BX77+BX78-BX79</f>
        <v>0</v>
      </c>
    </row>
    <row r="81" spans="1:77" x14ac:dyDescent="0.2">
      <c r="A81" s="14"/>
      <c r="B81" s="88"/>
      <c r="C81" s="29"/>
      <c r="D81" s="12"/>
      <c r="E81" s="12"/>
      <c r="F81" s="12"/>
      <c r="G81" s="12"/>
      <c r="H81" s="12"/>
      <c r="I81" s="86"/>
      <c r="J81" s="29"/>
      <c r="K81" s="86"/>
      <c r="L81" s="29"/>
      <c r="M81" s="12"/>
      <c r="N81" s="12"/>
      <c r="O81" s="12"/>
      <c r="P81" s="12"/>
      <c r="Q81" s="86"/>
      <c r="R81" s="29"/>
      <c r="S81" s="12"/>
      <c r="T81" s="12"/>
      <c r="U81" s="12"/>
      <c r="V81" s="12"/>
      <c r="W81" s="12"/>
      <c r="X81" s="86"/>
      <c r="Y81" s="29"/>
      <c r="Z81" s="12"/>
      <c r="AA81" s="12"/>
      <c r="AB81" s="12"/>
      <c r="AC81" s="86"/>
      <c r="AD81" s="29"/>
      <c r="AE81" s="86"/>
      <c r="AF81" s="29"/>
      <c r="AG81" s="12"/>
      <c r="AH81" s="29"/>
      <c r="AI81" s="12"/>
      <c r="AJ81" s="12"/>
      <c r="AK81" s="86"/>
      <c r="AL81" s="29"/>
      <c r="AM81" s="12"/>
      <c r="AN81" s="12"/>
      <c r="AO81" s="12"/>
      <c r="AP81" s="12"/>
      <c r="AQ81" s="86"/>
      <c r="AR81" s="12"/>
      <c r="AS81" s="29"/>
      <c r="AT81" s="12"/>
      <c r="AU81" s="12"/>
      <c r="AV81" s="12"/>
      <c r="AW81" s="12"/>
      <c r="AX81" s="12"/>
      <c r="AY81" s="29"/>
      <c r="AZ81" s="12"/>
      <c r="BA81" s="12"/>
      <c r="BB81" s="29"/>
      <c r="BC81" s="12"/>
      <c r="BD81" s="12"/>
      <c r="BE81" s="12"/>
      <c r="BF81" s="29"/>
      <c r="BG81" s="12"/>
      <c r="BH81" s="12"/>
      <c r="BI81" s="12"/>
      <c r="BJ81" s="12"/>
      <c r="BK81" s="12"/>
      <c r="BL81" s="12"/>
      <c r="BM81" s="12"/>
      <c r="BN81" s="29"/>
      <c r="BO81" s="12"/>
      <c r="BP81" s="12"/>
      <c r="BQ81" s="12"/>
      <c r="BR81" s="12"/>
      <c r="BS81" s="12"/>
      <c r="BT81" s="12"/>
      <c r="BU81" s="12"/>
      <c r="BV81" s="88"/>
      <c r="BW81" s="29"/>
      <c r="BX81" s="86"/>
    </row>
    <row r="82" spans="1:77" x14ac:dyDescent="0.2">
      <c r="A82" s="14" t="s">
        <v>109</v>
      </c>
      <c r="B82" s="195">
        <f>SUM(C82:BX82)</f>
        <v>0</v>
      </c>
      <c r="C82" s="29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86">
        <v>0</v>
      </c>
      <c r="J82" s="29">
        <v>0</v>
      </c>
      <c r="K82" s="86">
        <v>0</v>
      </c>
      <c r="L82" s="29">
        <v>0</v>
      </c>
      <c r="M82" s="12">
        <v>0</v>
      </c>
      <c r="N82" s="12">
        <v>0</v>
      </c>
      <c r="O82" s="12">
        <v>0</v>
      </c>
      <c r="P82" s="12">
        <v>0</v>
      </c>
      <c r="Q82" s="86">
        <v>0</v>
      </c>
      <c r="R82" s="29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86">
        <v>0</v>
      </c>
      <c r="Y82" s="29">
        <v>0</v>
      </c>
      <c r="Z82" s="12">
        <v>0</v>
      </c>
      <c r="AA82" s="12">
        <v>0</v>
      </c>
      <c r="AB82" s="12">
        <v>0</v>
      </c>
      <c r="AC82" s="86">
        <v>0</v>
      </c>
      <c r="AD82" s="29">
        <v>0</v>
      </c>
      <c r="AE82" s="86">
        <v>0</v>
      </c>
      <c r="AF82" s="29">
        <v>0</v>
      </c>
      <c r="AG82" s="12">
        <v>0</v>
      </c>
      <c r="AH82" s="29">
        <v>0</v>
      </c>
      <c r="AI82" s="12">
        <v>0</v>
      </c>
      <c r="AJ82" s="12">
        <v>0</v>
      </c>
      <c r="AK82" s="86">
        <v>0</v>
      </c>
      <c r="AL82" s="29">
        <v>0</v>
      </c>
      <c r="AM82" s="12">
        <v>0</v>
      </c>
      <c r="AN82" s="12">
        <v>0</v>
      </c>
      <c r="AO82" s="12">
        <v>0</v>
      </c>
      <c r="AP82" s="12">
        <v>0</v>
      </c>
      <c r="AQ82" s="86">
        <v>0</v>
      </c>
      <c r="AR82" s="12">
        <v>0</v>
      </c>
      <c r="AS82" s="39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39">
        <v>0</v>
      </c>
      <c r="AZ82" s="2">
        <v>0</v>
      </c>
      <c r="BA82" s="2">
        <v>0</v>
      </c>
      <c r="BB82" s="39">
        <v>0</v>
      </c>
      <c r="BC82" s="2">
        <v>0</v>
      </c>
      <c r="BD82" s="2">
        <v>0</v>
      </c>
      <c r="BE82" s="2">
        <v>0</v>
      </c>
      <c r="BF82" s="39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39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195">
        <v>0</v>
      </c>
      <c r="BW82" s="39">
        <v>0</v>
      </c>
      <c r="BX82" s="309">
        <v>0</v>
      </c>
    </row>
    <row r="83" spans="1:77" x14ac:dyDescent="0.2">
      <c r="A83" s="14" t="s">
        <v>110</v>
      </c>
      <c r="B83" s="195">
        <f>SUM(C83:BX83)</f>
        <v>21755580.209624365</v>
      </c>
      <c r="C83" s="29">
        <f>C80-C82</f>
        <v>-5692761.2699999996</v>
      </c>
      <c r="D83" s="12">
        <f t="shared" ref="D83:BL83" si="343">D80-D82</f>
        <v>-7427584.4312790008</v>
      </c>
      <c r="E83" s="12">
        <f t="shared" ref="E83" si="344">E80-E82</f>
        <v>17025824.820802085</v>
      </c>
      <c r="F83" s="12">
        <f t="shared" si="343"/>
        <v>0</v>
      </c>
      <c r="G83" s="12">
        <f t="shared" si="343"/>
        <v>-2253339.1310724937</v>
      </c>
      <c r="H83" s="12">
        <f t="shared" si="343"/>
        <v>-101793.62390977099</v>
      </c>
      <c r="I83" s="86">
        <f t="shared" ref="I83:J83" si="345">I80-I82</f>
        <v>0</v>
      </c>
      <c r="J83" s="29">
        <f t="shared" si="345"/>
        <v>0</v>
      </c>
      <c r="K83" s="86">
        <f t="shared" ref="K83" si="346">K80-K82</f>
        <v>-11430.308529090542</v>
      </c>
      <c r="L83" s="29">
        <f t="shared" si="343"/>
        <v>22113.998075557342</v>
      </c>
      <c r="M83" s="12">
        <f t="shared" si="343"/>
        <v>47588.981132557921</v>
      </c>
      <c r="N83" s="12">
        <f t="shared" ref="N83:O83" si="347">N80-N82</f>
        <v>0</v>
      </c>
      <c r="O83" s="12">
        <f t="shared" si="347"/>
        <v>5340.7537227038374</v>
      </c>
      <c r="P83" s="12">
        <f t="shared" si="343"/>
        <v>-155436.59276701676</v>
      </c>
      <c r="Q83" s="86">
        <f t="shared" si="343"/>
        <v>10725427.003797945</v>
      </c>
      <c r="R83" s="29">
        <f t="shared" si="343"/>
        <v>765756.72245537373</v>
      </c>
      <c r="S83" s="12">
        <f t="shared" ref="S83:V83" si="348">S80-S82</f>
        <v>401.946618269174</v>
      </c>
      <c r="T83" s="12">
        <f t="shared" si="348"/>
        <v>-1496.5274180481501</v>
      </c>
      <c r="U83" s="12">
        <f t="shared" si="348"/>
        <v>-422425.00651124539</v>
      </c>
      <c r="V83" s="12">
        <f t="shared" si="348"/>
        <v>-734346.64790187846</v>
      </c>
      <c r="W83" s="12">
        <f t="shared" ref="W83" si="349">W80-W82</f>
        <v>640526.89575698704</v>
      </c>
      <c r="X83" s="86">
        <f t="shared" ref="X83:AC83" si="350">X80-X82</f>
        <v>0</v>
      </c>
      <c r="Y83" s="29">
        <f t="shared" ref="Y83:AB83" si="351">Y80-Y82</f>
        <v>0</v>
      </c>
      <c r="Z83" s="12">
        <f t="shared" si="351"/>
        <v>0</v>
      </c>
      <c r="AA83" s="12">
        <f t="shared" si="351"/>
        <v>0</v>
      </c>
      <c r="AB83" s="12">
        <f t="shared" si="351"/>
        <v>0</v>
      </c>
      <c r="AC83" s="86">
        <f t="shared" si="350"/>
        <v>0</v>
      </c>
      <c r="AD83" s="29">
        <f t="shared" si="343"/>
        <v>11514719.674666643</v>
      </c>
      <c r="AE83" s="86">
        <f t="shared" ref="AE83:AF83" si="352">AE80-AE82</f>
        <v>0</v>
      </c>
      <c r="AF83" s="29">
        <f t="shared" si="352"/>
        <v>0</v>
      </c>
      <c r="AG83" s="12">
        <f t="shared" si="343"/>
        <v>118902.0262606421</v>
      </c>
      <c r="AH83" s="29">
        <f t="shared" ref="AH83:AK83" si="353">AH80-AH82</f>
        <v>0</v>
      </c>
      <c r="AI83" s="12">
        <f t="shared" ref="AI83:AJ83" si="354">AI80-AI82</f>
        <v>0</v>
      </c>
      <c r="AJ83" s="12">
        <f t="shared" si="354"/>
        <v>0</v>
      </c>
      <c r="AK83" s="86">
        <f t="shared" si="353"/>
        <v>0</v>
      </c>
      <c r="AL83" s="29">
        <f t="shared" si="343"/>
        <v>-1428608.4764376204</v>
      </c>
      <c r="AM83" s="12">
        <f t="shared" ref="AM83:AQ83" si="355">AM80-AM82</f>
        <v>0</v>
      </c>
      <c r="AN83" s="12">
        <f t="shared" ref="AN83:AP83" si="356">AN80-AN82</f>
        <v>1428608.4764376199</v>
      </c>
      <c r="AO83" s="12">
        <f t="shared" si="356"/>
        <v>88748.911094690207</v>
      </c>
      <c r="AP83" s="12">
        <f t="shared" si="356"/>
        <v>43408.994722799682</v>
      </c>
      <c r="AQ83" s="86">
        <f t="shared" si="355"/>
        <v>-378814.10350758285</v>
      </c>
      <c r="AR83" s="12">
        <f t="shared" ref="AR83" si="357">AR80-AR82</f>
        <v>0</v>
      </c>
      <c r="AS83" s="39">
        <f t="shared" si="343"/>
        <v>394343.39106928557</v>
      </c>
      <c r="AT83" s="2">
        <f t="shared" ref="AT83" si="358">AT80-AT82</f>
        <v>0</v>
      </c>
      <c r="AU83" s="2">
        <f t="shared" si="343"/>
        <v>0</v>
      </c>
      <c r="AV83" s="2">
        <f t="shared" ref="AV83" si="359">AV80-AV82</f>
        <v>0</v>
      </c>
      <c r="AW83" s="2">
        <f t="shared" si="343"/>
        <v>0</v>
      </c>
      <c r="AX83" s="2">
        <f t="shared" si="343"/>
        <v>0</v>
      </c>
      <c r="AY83" s="39">
        <f t="shared" si="343"/>
        <v>0</v>
      </c>
      <c r="AZ83" s="2">
        <f t="shared" ref="AZ83" si="360">AZ80-AZ82</f>
        <v>0</v>
      </c>
      <c r="BA83" s="2">
        <f t="shared" ref="BA83" si="361">BA80-BA82</f>
        <v>0</v>
      </c>
      <c r="BB83" s="39">
        <f t="shared" si="343"/>
        <v>396041.6343407036</v>
      </c>
      <c r="BC83" s="2">
        <f t="shared" si="343"/>
        <v>-141986.76530199265</v>
      </c>
      <c r="BD83" s="2">
        <f t="shared" si="343"/>
        <v>0</v>
      </c>
      <c r="BE83" s="2">
        <f t="shared" si="343"/>
        <v>0</v>
      </c>
      <c r="BF83" s="39">
        <f t="shared" ref="BF83" si="362">BF80-BF82</f>
        <v>0</v>
      </c>
      <c r="BG83" s="2">
        <f t="shared" si="343"/>
        <v>0</v>
      </c>
      <c r="BH83" s="2">
        <f t="shared" si="343"/>
        <v>0</v>
      </c>
      <c r="BI83" s="2">
        <f t="shared" si="343"/>
        <v>0</v>
      </c>
      <c r="BJ83" s="2">
        <f t="shared" si="343"/>
        <v>0</v>
      </c>
      <c r="BK83" s="2">
        <f t="shared" ref="BK83" si="363">BK80-BK82</f>
        <v>285034</v>
      </c>
      <c r="BL83" s="2">
        <f t="shared" si="343"/>
        <v>-4169.3672727272733</v>
      </c>
      <c r="BM83" s="2">
        <f t="shared" ref="BM83:BS83" si="364">BM80-BM82</f>
        <v>-3000000</v>
      </c>
      <c r="BN83" s="39">
        <f t="shared" si="364"/>
        <v>6984.2305789677403</v>
      </c>
      <c r="BO83" s="2">
        <f t="shared" si="364"/>
        <v>0</v>
      </c>
      <c r="BP83" s="2">
        <f t="shared" si="364"/>
        <v>0</v>
      </c>
      <c r="BQ83" s="2">
        <f t="shared" ref="BQ83:BR83" si="365">BQ80-BQ82</f>
        <v>0</v>
      </c>
      <c r="BR83" s="2">
        <f t="shared" si="365"/>
        <v>0</v>
      </c>
      <c r="BS83" s="2">
        <f t="shared" si="364"/>
        <v>0</v>
      </c>
      <c r="BT83" s="2">
        <f t="shared" ref="BT83:BU83" si="366">BT80-BT82</f>
        <v>0</v>
      </c>
      <c r="BU83" s="2">
        <f t="shared" si="366"/>
        <v>0</v>
      </c>
      <c r="BV83" s="195">
        <f t="shared" ref="BV83" si="367">BV80-BV82</f>
        <v>0</v>
      </c>
      <c r="BW83" s="39">
        <f t="shared" ref="BW83" si="368">BW80-BW82</f>
        <v>0</v>
      </c>
      <c r="BX83" s="309">
        <f t="shared" ref="BX83" si="369">BX80-BX82</f>
        <v>0</v>
      </c>
    </row>
    <row r="84" spans="1:77" x14ac:dyDescent="0.2">
      <c r="A84" s="14"/>
      <c r="B84" s="195"/>
      <c r="C84" s="29"/>
      <c r="D84" s="12"/>
      <c r="E84" s="12"/>
      <c r="F84" s="12"/>
      <c r="G84" s="12"/>
      <c r="H84" s="12"/>
      <c r="I84" s="86"/>
      <c r="J84" s="29"/>
      <c r="K84" s="86"/>
      <c r="L84" s="29"/>
      <c r="M84" s="12"/>
      <c r="N84" s="12"/>
      <c r="O84" s="12"/>
      <c r="P84" s="12"/>
      <c r="Q84" s="86"/>
      <c r="R84" s="29"/>
      <c r="S84" s="12"/>
      <c r="T84" s="12"/>
      <c r="U84" s="12"/>
      <c r="V84" s="12"/>
      <c r="W84" s="12"/>
      <c r="X84" s="86"/>
      <c r="Y84" s="29"/>
      <c r="Z84" s="12"/>
      <c r="AA84" s="12"/>
      <c r="AB84" s="12"/>
      <c r="AC84" s="86"/>
      <c r="AD84" s="29"/>
      <c r="AE84" s="86"/>
      <c r="AF84" s="29"/>
      <c r="AG84" s="12"/>
      <c r="AH84" s="29"/>
      <c r="AI84" s="12"/>
      <c r="AJ84" s="12"/>
      <c r="AK84" s="86"/>
      <c r="AL84" s="29"/>
      <c r="AM84" s="12"/>
      <c r="AN84" s="12"/>
      <c r="AO84" s="12"/>
      <c r="AP84" s="12"/>
      <c r="AQ84" s="86"/>
      <c r="AR84" s="12"/>
      <c r="AS84" s="39"/>
      <c r="AT84" s="2"/>
      <c r="AU84" s="2"/>
      <c r="AV84" s="2"/>
      <c r="AW84" s="2"/>
      <c r="AX84" s="2"/>
      <c r="AY84" s="39"/>
      <c r="AZ84" s="2"/>
      <c r="BA84" s="2"/>
      <c r="BB84" s="39"/>
      <c r="BC84" s="2"/>
      <c r="BD84" s="2"/>
      <c r="BE84" s="2"/>
      <c r="BF84" s="39"/>
      <c r="BG84" s="2"/>
      <c r="BH84" s="2"/>
      <c r="BI84" s="2"/>
      <c r="BJ84" s="2"/>
      <c r="BK84" s="2"/>
      <c r="BL84" s="2"/>
      <c r="BM84" s="2"/>
      <c r="BN84" s="39"/>
      <c r="BO84" s="2"/>
      <c r="BP84" s="2"/>
      <c r="BQ84" s="2"/>
      <c r="BR84" s="2"/>
      <c r="BS84" s="2"/>
      <c r="BT84" s="2"/>
      <c r="BV84" s="195"/>
      <c r="BW84" s="39"/>
      <c r="BX84" s="309"/>
    </row>
    <row r="85" spans="1:77" x14ac:dyDescent="0.2">
      <c r="A85" s="14" t="s">
        <v>139</v>
      </c>
      <c r="B85" s="195">
        <f>SUM(C85:BX85)</f>
        <v>7614453.0733685251</v>
      </c>
      <c r="C85" s="29">
        <f>C83*0.35</f>
        <v>-1992466.4444999998</v>
      </c>
      <c r="D85" s="12">
        <f t="shared" ref="D85:BL85" si="370">D83*0.35</f>
        <v>-2599654.5509476503</v>
      </c>
      <c r="E85" s="12">
        <f t="shared" ref="E85" si="371">E83*0.35</f>
        <v>5959038.6872807294</v>
      </c>
      <c r="F85" s="12">
        <f t="shared" si="370"/>
        <v>0</v>
      </c>
      <c r="G85" s="12">
        <f t="shared" si="370"/>
        <v>-788668.69587537274</v>
      </c>
      <c r="H85" s="12">
        <f t="shared" si="370"/>
        <v>-35627.768368419842</v>
      </c>
      <c r="I85" s="86">
        <f t="shared" ref="I85:J85" si="372">I83*0.35</f>
        <v>0</v>
      </c>
      <c r="J85" s="29">
        <f t="shared" si="372"/>
        <v>0</v>
      </c>
      <c r="K85" s="86">
        <f t="shared" ref="K85" si="373">K83*0.35</f>
        <v>-4000.6079851816894</v>
      </c>
      <c r="L85" s="29">
        <f t="shared" si="370"/>
        <v>7739.8993264450692</v>
      </c>
      <c r="M85" s="12">
        <f t="shared" si="370"/>
        <v>16656.143396395273</v>
      </c>
      <c r="N85" s="12">
        <f t="shared" ref="N85:O85" si="374">N83*0.35</f>
        <v>0</v>
      </c>
      <c r="O85" s="12">
        <f t="shared" si="374"/>
        <v>1869.263802946343</v>
      </c>
      <c r="P85" s="12">
        <f t="shared" si="370"/>
        <v>-54402.80746845586</v>
      </c>
      <c r="Q85" s="86">
        <f t="shared" si="370"/>
        <v>3753899.4513292802</v>
      </c>
      <c r="R85" s="29">
        <f t="shared" si="370"/>
        <v>268014.85285938077</v>
      </c>
      <c r="S85" s="12">
        <f t="shared" ref="S85:V85" si="375">S83*0.35</f>
        <v>140.68131639421088</v>
      </c>
      <c r="T85" s="12">
        <f t="shared" si="375"/>
        <v>-523.78459631685257</v>
      </c>
      <c r="U85" s="12">
        <f t="shared" si="375"/>
        <v>-147848.75227893586</v>
      </c>
      <c r="V85" s="12">
        <f t="shared" si="375"/>
        <v>-257021.32676565743</v>
      </c>
      <c r="W85" s="12">
        <f t="shared" ref="W85" si="376">W83*0.35</f>
        <v>224184.41351494545</v>
      </c>
      <c r="X85" s="86">
        <f t="shared" ref="X85:AC85" si="377">X83*0.35</f>
        <v>0</v>
      </c>
      <c r="Y85" s="29">
        <f t="shared" ref="Y85:AB85" si="378">Y83*0.35</f>
        <v>0</v>
      </c>
      <c r="Z85" s="12">
        <f t="shared" si="378"/>
        <v>0</v>
      </c>
      <c r="AA85" s="12">
        <f t="shared" si="378"/>
        <v>0</v>
      </c>
      <c r="AB85" s="12">
        <f t="shared" si="378"/>
        <v>0</v>
      </c>
      <c r="AC85" s="86">
        <f t="shared" si="377"/>
        <v>0</v>
      </c>
      <c r="AD85" s="29">
        <f t="shared" si="370"/>
        <v>4030151.8861333248</v>
      </c>
      <c r="AE85" s="86">
        <f t="shared" ref="AE85:AF85" si="379">AE83*0.35</f>
        <v>0</v>
      </c>
      <c r="AF85" s="29">
        <f t="shared" si="379"/>
        <v>0</v>
      </c>
      <c r="AG85" s="12">
        <f t="shared" si="370"/>
        <v>41615.709191224734</v>
      </c>
      <c r="AH85" s="29">
        <f t="shared" ref="AH85:AK85" si="380">AH83*0.35</f>
        <v>0</v>
      </c>
      <c r="AI85" s="12">
        <f t="shared" ref="AI85:AJ85" si="381">AI83*0.35</f>
        <v>0</v>
      </c>
      <c r="AJ85" s="12">
        <f t="shared" si="381"/>
        <v>0</v>
      </c>
      <c r="AK85" s="86">
        <f t="shared" si="380"/>
        <v>0</v>
      </c>
      <c r="AL85" s="29">
        <f t="shared" si="370"/>
        <v>-500012.9667531671</v>
      </c>
      <c r="AM85" s="12">
        <f t="shared" ref="AM85:AQ85" si="382">AM83*0.35</f>
        <v>0</v>
      </c>
      <c r="AN85" s="12">
        <f t="shared" ref="AN85:AP85" si="383">AN83*0.35</f>
        <v>500012.96675316693</v>
      </c>
      <c r="AO85" s="12">
        <f t="shared" si="383"/>
        <v>31062.118883141571</v>
      </c>
      <c r="AP85" s="12">
        <f t="shared" si="383"/>
        <v>15193.148152979888</v>
      </c>
      <c r="AQ85" s="86">
        <f t="shared" si="382"/>
        <v>-132584.93622765399</v>
      </c>
      <c r="AR85" s="12">
        <f t="shared" ref="AR85" si="384">AR83*0.35</f>
        <v>0</v>
      </c>
      <c r="AS85" s="39">
        <f t="shared" si="370"/>
        <v>138020.18687424995</v>
      </c>
      <c r="AT85" s="2">
        <f t="shared" ref="AT85" si="385">AT83*0.35</f>
        <v>0</v>
      </c>
      <c r="AU85" s="2">
        <f t="shared" si="370"/>
        <v>0</v>
      </c>
      <c r="AV85" s="2">
        <f t="shared" ref="AV85" si="386">AV83*0.35</f>
        <v>0</v>
      </c>
      <c r="AW85" s="2">
        <f t="shared" si="370"/>
        <v>0</v>
      </c>
      <c r="AX85" s="2">
        <f t="shared" si="370"/>
        <v>0</v>
      </c>
      <c r="AY85" s="39">
        <f t="shared" si="370"/>
        <v>0</v>
      </c>
      <c r="AZ85" s="2">
        <f t="shared" ref="AZ85" si="387">AZ83*0.35</f>
        <v>0</v>
      </c>
      <c r="BA85" s="2">
        <f t="shared" ref="BA85" si="388">BA83*0.35</f>
        <v>0</v>
      </c>
      <c r="BB85" s="39">
        <f t="shared" si="370"/>
        <v>138614.57201924626</v>
      </c>
      <c r="BC85" s="2">
        <f t="shared" si="370"/>
        <v>-49695.367855697426</v>
      </c>
      <c r="BD85" s="2">
        <f t="shared" si="370"/>
        <v>0</v>
      </c>
      <c r="BE85" s="2">
        <f t="shared" si="370"/>
        <v>0</v>
      </c>
      <c r="BF85" s="39">
        <f t="shared" ref="BF85" si="389">BF83*0.35</f>
        <v>0</v>
      </c>
      <c r="BG85" s="2">
        <f t="shared" si="370"/>
        <v>0</v>
      </c>
      <c r="BH85" s="2">
        <f t="shared" si="370"/>
        <v>0</v>
      </c>
      <c r="BI85" s="2">
        <f t="shared" si="370"/>
        <v>0</v>
      </c>
      <c r="BJ85" s="2">
        <f t="shared" si="370"/>
        <v>0</v>
      </c>
      <c r="BK85" s="2">
        <f t="shared" ref="BK85" si="390">BK83*0.35</f>
        <v>99761.9</v>
      </c>
      <c r="BL85" s="2">
        <f t="shared" si="370"/>
        <v>-1459.2785454545456</v>
      </c>
      <c r="BM85" s="2">
        <f t="shared" ref="BM85:BS85" si="391">BM83*0.35</f>
        <v>-1050000</v>
      </c>
      <c r="BN85" s="39">
        <f t="shared" si="391"/>
        <v>2444.4807026387089</v>
      </c>
      <c r="BO85" s="2">
        <f t="shared" si="391"/>
        <v>0</v>
      </c>
      <c r="BP85" s="2">
        <f t="shared" si="391"/>
        <v>0</v>
      </c>
      <c r="BQ85" s="2">
        <f t="shared" ref="BQ85:BR85" si="392">BQ83*0.35</f>
        <v>0</v>
      </c>
      <c r="BR85" s="2">
        <f t="shared" si="392"/>
        <v>0</v>
      </c>
      <c r="BS85" s="2">
        <f t="shared" si="391"/>
        <v>0</v>
      </c>
      <c r="BT85" s="2">
        <f t="shared" ref="BT85:BU85" si="393">BT83*0.35</f>
        <v>0</v>
      </c>
      <c r="BU85" s="2">
        <f t="shared" si="393"/>
        <v>0</v>
      </c>
      <c r="BV85" s="195">
        <f t="shared" ref="BV85" si="394">BV83*0.35</f>
        <v>0</v>
      </c>
      <c r="BW85" s="39">
        <f t="shared" ref="BW85" si="395">BW83*0.35</f>
        <v>0</v>
      </c>
      <c r="BX85" s="309">
        <f t="shared" ref="BX85" si="396">BX83*0.35</f>
        <v>0</v>
      </c>
    </row>
    <row r="86" spans="1:77" x14ac:dyDescent="0.2">
      <c r="A86" s="14" t="s">
        <v>140</v>
      </c>
      <c r="B86" s="195">
        <f>SUM(C86:BX86)</f>
        <v>0</v>
      </c>
      <c r="C86" s="29"/>
      <c r="D86" s="12"/>
      <c r="E86" s="12"/>
      <c r="F86" s="12"/>
      <c r="G86" s="12"/>
      <c r="H86" s="12"/>
      <c r="I86" s="86"/>
      <c r="J86" s="29"/>
      <c r="K86" s="86"/>
      <c r="L86" s="29"/>
      <c r="M86" s="12"/>
      <c r="N86" s="12"/>
      <c r="O86" s="12"/>
      <c r="P86" s="12"/>
      <c r="Q86" s="86"/>
      <c r="R86" s="29"/>
      <c r="S86" s="12"/>
      <c r="T86" s="12"/>
      <c r="U86" s="12"/>
      <c r="V86" s="12"/>
      <c r="W86" s="12"/>
      <c r="X86" s="86"/>
      <c r="Y86" s="29"/>
      <c r="Z86" s="12"/>
      <c r="AA86" s="12"/>
      <c r="AB86" s="12"/>
      <c r="AC86" s="86"/>
      <c r="AD86" s="29"/>
      <c r="AE86" s="86"/>
      <c r="AF86" s="29"/>
      <c r="AG86" s="12"/>
      <c r="AH86" s="29"/>
      <c r="AI86" s="12"/>
      <c r="AJ86" s="12"/>
      <c r="AK86" s="86"/>
      <c r="AL86" s="29"/>
      <c r="AM86" s="12"/>
      <c r="AN86" s="12"/>
      <c r="AO86" s="12"/>
      <c r="AP86" s="12"/>
      <c r="AQ86" s="86"/>
      <c r="AR86" s="12"/>
      <c r="AS86" s="39"/>
      <c r="AT86" s="2"/>
      <c r="AU86" s="2"/>
      <c r="AV86" s="2"/>
      <c r="AW86" s="2"/>
      <c r="AX86" s="2"/>
      <c r="AY86" s="39"/>
      <c r="AZ86" s="2"/>
      <c r="BA86" s="2"/>
      <c r="BB86" s="39"/>
      <c r="BC86" s="2"/>
      <c r="BD86" s="2"/>
      <c r="BE86" s="2"/>
      <c r="BF86" s="39"/>
      <c r="BG86" s="2"/>
      <c r="BH86" s="2"/>
      <c r="BI86" s="2"/>
      <c r="BJ86" s="2"/>
      <c r="BK86" s="2"/>
      <c r="BL86" s="2"/>
      <c r="BM86" s="2"/>
      <c r="BN86" s="39"/>
      <c r="BO86" s="2"/>
      <c r="BP86" s="2"/>
      <c r="BQ86" s="2"/>
      <c r="BR86" s="2"/>
      <c r="BS86" s="2"/>
      <c r="BT86" s="2"/>
      <c r="BV86" s="195"/>
      <c r="BW86" s="39"/>
      <c r="BX86" s="309"/>
    </row>
    <row r="87" spans="1:77" s="2" customFormat="1" ht="13.5" thickBot="1" x14ac:dyDescent="0.25">
      <c r="A87" s="14" t="s">
        <v>141</v>
      </c>
      <c r="B87" s="196">
        <f>SUM(C87:BX87)</f>
        <v>7614453.0733685251</v>
      </c>
      <c r="C87" s="112">
        <f>C85+C86</f>
        <v>-1992466.4444999998</v>
      </c>
      <c r="D87" s="110">
        <f t="shared" ref="D87:BL87" si="397">D85+D86</f>
        <v>-2599654.5509476503</v>
      </c>
      <c r="E87" s="110">
        <f t="shared" ref="E87" si="398">E85+E86</f>
        <v>5959038.6872807294</v>
      </c>
      <c r="F87" s="110">
        <f t="shared" si="397"/>
        <v>0</v>
      </c>
      <c r="G87" s="110">
        <f t="shared" si="397"/>
        <v>-788668.69587537274</v>
      </c>
      <c r="H87" s="110">
        <f t="shared" si="397"/>
        <v>-35627.768368419842</v>
      </c>
      <c r="I87" s="111">
        <f t="shared" ref="I87:J87" si="399">I85+I86</f>
        <v>0</v>
      </c>
      <c r="J87" s="112">
        <f t="shared" si="399"/>
        <v>0</v>
      </c>
      <c r="K87" s="111">
        <f t="shared" ref="K87" si="400">K85+K86</f>
        <v>-4000.6079851816894</v>
      </c>
      <c r="L87" s="112">
        <f t="shared" si="397"/>
        <v>7739.8993264450692</v>
      </c>
      <c r="M87" s="110">
        <f t="shared" si="397"/>
        <v>16656.143396395273</v>
      </c>
      <c r="N87" s="110">
        <f t="shared" ref="N87:O87" si="401">N85+N86</f>
        <v>0</v>
      </c>
      <c r="O87" s="110">
        <f t="shared" si="401"/>
        <v>1869.263802946343</v>
      </c>
      <c r="P87" s="110">
        <f t="shared" si="397"/>
        <v>-54402.80746845586</v>
      </c>
      <c r="Q87" s="111">
        <f t="shared" si="397"/>
        <v>3753899.4513292802</v>
      </c>
      <c r="R87" s="112">
        <f t="shared" si="397"/>
        <v>268014.85285938077</v>
      </c>
      <c r="S87" s="110">
        <f t="shared" ref="S87:V87" si="402">S85+S86</f>
        <v>140.68131639421088</v>
      </c>
      <c r="T87" s="110">
        <f t="shared" si="402"/>
        <v>-523.78459631685257</v>
      </c>
      <c r="U87" s="110">
        <f t="shared" si="402"/>
        <v>-147848.75227893586</v>
      </c>
      <c r="V87" s="110">
        <f t="shared" si="402"/>
        <v>-257021.32676565743</v>
      </c>
      <c r="W87" s="110">
        <f t="shared" ref="W87" si="403">W85+W86</f>
        <v>224184.41351494545</v>
      </c>
      <c r="X87" s="111">
        <f t="shared" ref="X87:AC87" si="404">X85+X86</f>
        <v>0</v>
      </c>
      <c r="Y87" s="112">
        <f t="shared" ref="Y87:AB87" si="405">Y85+Y86</f>
        <v>0</v>
      </c>
      <c r="Z87" s="110">
        <f t="shared" si="405"/>
        <v>0</v>
      </c>
      <c r="AA87" s="110">
        <f t="shared" si="405"/>
        <v>0</v>
      </c>
      <c r="AB87" s="110">
        <f t="shared" si="405"/>
        <v>0</v>
      </c>
      <c r="AC87" s="111">
        <f t="shared" si="404"/>
        <v>0</v>
      </c>
      <c r="AD87" s="112">
        <f t="shared" si="397"/>
        <v>4030151.8861333248</v>
      </c>
      <c r="AE87" s="111">
        <f t="shared" ref="AE87:AF87" si="406">AE85+AE86</f>
        <v>0</v>
      </c>
      <c r="AF87" s="112">
        <f t="shared" si="406"/>
        <v>0</v>
      </c>
      <c r="AG87" s="110">
        <f t="shared" si="397"/>
        <v>41615.709191224734</v>
      </c>
      <c r="AH87" s="112">
        <f t="shared" ref="AH87:AK87" si="407">AH85+AH86</f>
        <v>0</v>
      </c>
      <c r="AI87" s="110">
        <f t="shared" ref="AI87:AJ87" si="408">AI85+AI86</f>
        <v>0</v>
      </c>
      <c r="AJ87" s="110">
        <f t="shared" si="408"/>
        <v>0</v>
      </c>
      <c r="AK87" s="111">
        <f t="shared" si="407"/>
        <v>0</v>
      </c>
      <c r="AL87" s="112">
        <f t="shared" si="397"/>
        <v>-500012.9667531671</v>
      </c>
      <c r="AM87" s="110">
        <f t="shared" ref="AM87:AQ87" si="409">AM85+AM86</f>
        <v>0</v>
      </c>
      <c r="AN87" s="110">
        <f t="shared" ref="AN87:AP87" si="410">AN85+AN86</f>
        <v>500012.96675316693</v>
      </c>
      <c r="AO87" s="110">
        <f t="shared" si="410"/>
        <v>31062.118883141571</v>
      </c>
      <c r="AP87" s="110">
        <f t="shared" si="410"/>
        <v>15193.148152979888</v>
      </c>
      <c r="AQ87" s="111">
        <f t="shared" si="409"/>
        <v>-132584.93622765399</v>
      </c>
      <c r="AR87" s="110">
        <f t="shared" ref="AR87" si="411">AR85+AR86</f>
        <v>0</v>
      </c>
      <c r="AS87" s="40">
        <f t="shared" si="397"/>
        <v>138020.18687424995</v>
      </c>
      <c r="AT87" s="197">
        <f t="shared" ref="AT87" si="412">AT85+AT86</f>
        <v>0</v>
      </c>
      <c r="AU87" s="197">
        <f t="shared" si="397"/>
        <v>0</v>
      </c>
      <c r="AV87" s="197">
        <f t="shared" ref="AV87" si="413">AV85+AV86</f>
        <v>0</v>
      </c>
      <c r="AW87" s="197">
        <f t="shared" si="397"/>
        <v>0</v>
      </c>
      <c r="AX87" s="197">
        <f t="shared" si="397"/>
        <v>0</v>
      </c>
      <c r="AY87" s="40">
        <f t="shared" si="397"/>
        <v>0</v>
      </c>
      <c r="AZ87" s="197">
        <f t="shared" ref="AZ87" si="414">AZ85+AZ86</f>
        <v>0</v>
      </c>
      <c r="BA87" s="197">
        <f t="shared" ref="BA87" si="415">BA85+BA86</f>
        <v>0</v>
      </c>
      <c r="BB87" s="40">
        <f t="shared" si="397"/>
        <v>138614.57201924626</v>
      </c>
      <c r="BC87" s="197">
        <f t="shared" si="397"/>
        <v>-49695.367855697426</v>
      </c>
      <c r="BD87" s="197">
        <f t="shared" si="397"/>
        <v>0</v>
      </c>
      <c r="BE87" s="197">
        <f t="shared" si="397"/>
        <v>0</v>
      </c>
      <c r="BF87" s="40">
        <f t="shared" ref="BF87" si="416">BF85+BF86</f>
        <v>0</v>
      </c>
      <c r="BG87" s="197">
        <f t="shared" si="397"/>
        <v>0</v>
      </c>
      <c r="BH87" s="197">
        <f t="shared" si="397"/>
        <v>0</v>
      </c>
      <c r="BI87" s="197">
        <f t="shared" si="397"/>
        <v>0</v>
      </c>
      <c r="BJ87" s="197">
        <f t="shared" si="397"/>
        <v>0</v>
      </c>
      <c r="BK87" s="197">
        <f t="shared" ref="BK87" si="417">BK85+BK86</f>
        <v>99761.9</v>
      </c>
      <c r="BL87" s="197">
        <f t="shared" si="397"/>
        <v>-1459.2785454545456</v>
      </c>
      <c r="BM87" s="197">
        <f t="shared" ref="BM87:BS87" si="418">BM85+BM86</f>
        <v>-1050000</v>
      </c>
      <c r="BN87" s="40">
        <f t="shared" si="418"/>
        <v>2444.4807026387089</v>
      </c>
      <c r="BO87" s="197">
        <f t="shared" si="418"/>
        <v>0</v>
      </c>
      <c r="BP87" s="197">
        <f t="shared" si="418"/>
        <v>0</v>
      </c>
      <c r="BQ87" s="197">
        <f t="shared" ref="BQ87:BR87" si="419">BQ85+BQ86</f>
        <v>0</v>
      </c>
      <c r="BR87" s="197">
        <f t="shared" si="419"/>
        <v>0</v>
      </c>
      <c r="BS87" s="197">
        <f t="shared" si="418"/>
        <v>0</v>
      </c>
      <c r="BT87" s="197">
        <f t="shared" ref="BT87:BU87" si="420">BT85+BT86</f>
        <v>0</v>
      </c>
      <c r="BU87" s="197">
        <f t="shared" si="420"/>
        <v>0</v>
      </c>
      <c r="BV87" s="196">
        <f t="shared" ref="BV87" si="421">BV85+BV86</f>
        <v>0</v>
      </c>
      <c r="BW87" s="40">
        <f t="shared" ref="BW87" si="422">BW85+BW86</f>
        <v>0</v>
      </c>
      <c r="BX87" s="310">
        <f t="shared" ref="BX87" si="423">BX85+BX86</f>
        <v>0</v>
      </c>
      <c r="BY87" s="177"/>
    </row>
    <row r="88" spans="1:77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72"/>
    </row>
    <row r="89" spans="1:77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72"/>
    </row>
    <row r="90" spans="1:77" s="2" customFormat="1" x14ac:dyDescent="0.2">
      <c r="A90" s="198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280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72"/>
    </row>
    <row r="91" spans="1:77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72"/>
    </row>
    <row r="92" spans="1:77" s="2" customFormat="1" x14ac:dyDescent="0.2">
      <c r="A92" s="14"/>
      <c r="BY92" s="72"/>
    </row>
    <row r="93" spans="1:77" s="2" customFormat="1" x14ac:dyDescent="0.2">
      <c r="A93" s="199"/>
      <c r="BY93" s="72"/>
    </row>
  </sheetData>
  <mergeCells count="15">
    <mergeCell ref="BW7:BX7"/>
    <mergeCell ref="AH7:AK7"/>
    <mergeCell ref="C7:I7"/>
    <mergeCell ref="J7:K7"/>
    <mergeCell ref="L7:Q7"/>
    <mergeCell ref="R7:X7"/>
    <mergeCell ref="Y7:AC7"/>
    <mergeCell ref="AD7:AE7"/>
    <mergeCell ref="AF7:AG7"/>
    <mergeCell ref="AL7:AQ7"/>
    <mergeCell ref="AS7:AX7"/>
    <mergeCell ref="AY7:BA7"/>
    <mergeCell ref="BB7:BE7"/>
    <mergeCell ref="BF7:BM7"/>
    <mergeCell ref="BN7:BU7"/>
  </mergeCells>
  <phoneticPr fontId="3" type="noConversion"/>
  <pageMargins left="1" right="0.5" top="0.75" bottom="0.5" header="0.4" footer="0.5"/>
  <pageSetup scale="63" firstPageNumber="18" fitToWidth="0" orientation="portrait" useFirstPageNumber="1" r:id="rId1"/>
  <headerFooter alignWithMargins="0">
    <oddHeader xml:space="preserve">&amp;L&amp;12PacifiCorp
Washington General Rate Case - December 2013
Summary of Restating Adjustments&amp;10
&amp;R&amp;12Page 1.&amp;P
&amp;10
</oddHeader>
  </headerFooter>
  <colBreaks count="7" manualBreakCount="7">
    <brk id="9" min="6" max="86" man="1"/>
    <brk id="24" min="6" max="86" man="1"/>
    <brk id="31" min="6" max="86" man="1"/>
    <brk id="37" min="6" max="86" man="1"/>
    <brk id="43" min="6" max="86" man="1"/>
    <brk id="65" min="6" max="86" man="1"/>
    <brk id="73" min="6" max="86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Y93"/>
  <sheetViews>
    <sheetView view="pageBreakPreview" zoomScale="70" zoomScaleNormal="85" zoomScaleSheetLayoutView="70" workbookViewId="0">
      <pane xSplit="2" ySplit="9" topLeftCell="BV10" activePane="bottomRight" state="frozen"/>
      <selection activeCell="BV32" sqref="BV32"/>
      <selection pane="topRight" activeCell="BV32" sqref="BV32"/>
      <selection pane="bottomLeft" activeCell="BV32" sqref="BV32"/>
      <selection pane="bottomRight" activeCell="CH28" sqref="CH28"/>
    </sheetView>
  </sheetViews>
  <sheetFormatPr defaultRowHeight="12.75" x14ac:dyDescent="0.2"/>
  <cols>
    <col min="1" max="1" width="36" style="2" customWidth="1"/>
    <col min="2" max="2" width="12.85546875" style="15" customWidth="1"/>
    <col min="3" max="3" width="15.7109375" style="15" customWidth="1"/>
    <col min="4" max="4" width="13.5703125" style="15" customWidth="1"/>
    <col min="5" max="5" width="13.7109375" style="15" customWidth="1"/>
    <col min="6" max="6" width="14.42578125" style="15" bestFit="1" customWidth="1"/>
    <col min="7" max="7" width="13.7109375" style="15" customWidth="1"/>
    <col min="8" max="9" width="12.140625" style="2" bestFit="1" customWidth="1"/>
    <col min="10" max="10" width="10.7109375" style="2" customWidth="1"/>
    <col min="11" max="11" width="12.140625" style="15" bestFit="1" customWidth="1"/>
    <col min="12" max="12" width="14" style="15" customWidth="1"/>
    <col min="13" max="17" width="13.7109375" style="15" customWidth="1"/>
    <col min="18" max="19" width="13.7109375" style="2" customWidth="1"/>
    <col min="20" max="20" width="10.28515625" style="2" customWidth="1"/>
    <col min="21" max="21" width="12" style="2" customWidth="1"/>
    <col min="22" max="22" width="12.85546875" style="2" customWidth="1"/>
    <col min="23" max="24" width="16.140625" style="2" bestFit="1" customWidth="1"/>
    <col min="25" max="25" width="13.85546875" style="2" customWidth="1"/>
    <col min="26" max="26" width="13.42578125" style="2" customWidth="1"/>
    <col min="27" max="27" width="12.42578125" style="2" customWidth="1"/>
    <col min="28" max="28" width="13.140625" style="2" customWidth="1"/>
    <col min="29" max="29" width="14.140625" style="2" customWidth="1"/>
    <col min="30" max="30" width="13.7109375" style="2" customWidth="1"/>
    <col min="31" max="33" width="13.7109375" style="15" customWidth="1"/>
    <col min="34" max="37" width="18.28515625" style="2" bestFit="1" customWidth="1"/>
    <col min="38" max="38" width="16.7109375" style="15" customWidth="1"/>
    <col min="39" max="39" width="15.85546875" style="15" customWidth="1"/>
    <col min="40" max="40" width="16.7109375" style="15" customWidth="1"/>
    <col min="41" max="41" width="17" style="15" customWidth="1"/>
    <col min="42" max="42" width="18.28515625" style="15" customWidth="1"/>
    <col min="43" max="43" width="18.28515625" style="15" bestFit="1" customWidth="1"/>
    <col min="44" max="44" width="18.28515625" style="15" customWidth="1"/>
    <col min="45" max="51" width="13.7109375" style="15" customWidth="1"/>
    <col min="52" max="52" width="16.5703125" style="15" customWidth="1"/>
    <col min="53" max="54" width="13.7109375" style="15" customWidth="1"/>
    <col min="55" max="58" width="14.85546875" style="15" customWidth="1"/>
    <col min="59" max="60" width="13.140625" style="15" customWidth="1"/>
    <col min="61" max="61" width="12.85546875" style="15" customWidth="1"/>
    <col min="62" max="64" width="12.140625" style="15" customWidth="1"/>
    <col min="65" max="66" width="13.7109375" style="15" customWidth="1"/>
    <col min="67" max="72" width="12.7109375" style="15" customWidth="1"/>
    <col min="73" max="73" width="12.7109375" style="2" customWidth="1"/>
    <col min="74" max="74" width="13.7109375" style="15" customWidth="1"/>
    <col min="75" max="75" width="15" style="15" customWidth="1"/>
    <col min="76" max="76" width="16" style="15" customWidth="1"/>
    <col min="77" max="77" width="12.28515625" style="177" bestFit="1" customWidth="1"/>
    <col min="78" max="16384" width="9.140625" style="15"/>
  </cols>
  <sheetData>
    <row r="1" spans="1:77" x14ac:dyDescent="0.2">
      <c r="A1" s="4" t="s">
        <v>46</v>
      </c>
    </row>
    <row r="2" spans="1:77" s="2" customFormat="1" x14ac:dyDescent="0.2">
      <c r="A2" s="178" t="s">
        <v>292</v>
      </c>
      <c r="BY2" s="72"/>
    </row>
    <row r="3" spans="1:77" s="2" customFormat="1" x14ac:dyDescent="0.2">
      <c r="A3" s="179" t="s">
        <v>349</v>
      </c>
      <c r="BY3" s="72"/>
    </row>
    <row r="4" spans="1:77" s="2" customFormat="1" x14ac:dyDescent="0.2">
      <c r="A4" s="179" t="s">
        <v>387</v>
      </c>
      <c r="BY4" s="72"/>
    </row>
    <row r="5" spans="1:77" s="2" customFormat="1" x14ac:dyDescent="0.2">
      <c r="A5" s="178"/>
      <c r="BY5" s="72"/>
    </row>
    <row r="6" spans="1:77" s="4" customFormat="1" ht="13.5" thickBot="1" x14ac:dyDescent="0.25">
      <c r="A6" s="180"/>
      <c r="G6" s="69"/>
      <c r="H6" s="69"/>
      <c r="I6" s="69"/>
      <c r="J6" s="69"/>
      <c r="K6" s="69"/>
      <c r="P6" s="69"/>
      <c r="AS6" s="69"/>
      <c r="BB6" s="69"/>
      <c r="BY6" s="73"/>
    </row>
    <row r="7" spans="1:77" s="181" customFormat="1" ht="13.5" thickBot="1" x14ac:dyDescent="0.25">
      <c r="A7" s="4"/>
      <c r="B7" s="41"/>
      <c r="C7" s="312" t="s">
        <v>37</v>
      </c>
      <c r="D7" s="314"/>
      <c r="E7" s="314"/>
      <c r="F7" s="314"/>
      <c r="G7" s="314"/>
      <c r="H7" s="314"/>
      <c r="I7" s="313"/>
      <c r="J7" s="312" t="s">
        <v>37</v>
      </c>
      <c r="K7" s="313"/>
      <c r="L7" s="312" t="s">
        <v>271</v>
      </c>
      <c r="M7" s="314"/>
      <c r="N7" s="314"/>
      <c r="O7" s="314"/>
      <c r="P7" s="314"/>
      <c r="Q7" s="313"/>
      <c r="R7" s="312" t="s">
        <v>271</v>
      </c>
      <c r="S7" s="314"/>
      <c r="T7" s="314" t="s">
        <v>271</v>
      </c>
      <c r="U7" s="314"/>
      <c r="V7" s="314"/>
      <c r="W7" s="314"/>
      <c r="X7" s="313"/>
      <c r="Y7" s="312" t="s">
        <v>271</v>
      </c>
      <c r="Z7" s="314"/>
      <c r="AA7" s="314"/>
      <c r="AB7" s="314"/>
      <c r="AC7" s="313"/>
      <c r="AD7" s="312" t="s">
        <v>38</v>
      </c>
      <c r="AE7" s="313"/>
      <c r="AF7" s="312" t="s">
        <v>38</v>
      </c>
      <c r="AG7" s="314"/>
      <c r="AH7" s="312" t="s">
        <v>254</v>
      </c>
      <c r="AI7" s="314"/>
      <c r="AJ7" s="314" t="s">
        <v>254</v>
      </c>
      <c r="AK7" s="313"/>
      <c r="AL7" s="312" t="s">
        <v>254</v>
      </c>
      <c r="AM7" s="314"/>
      <c r="AN7" s="314"/>
      <c r="AO7" s="314"/>
      <c r="AP7" s="314"/>
      <c r="AQ7" s="313"/>
      <c r="AR7" s="304" t="s">
        <v>341</v>
      </c>
      <c r="AS7" s="312" t="s">
        <v>39</v>
      </c>
      <c r="AT7" s="314"/>
      <c r="AU7" s="314"/>
      <c r="AV7" s="314"/>
      <c r="AW7" s="314"/>
      <c r="AX7" s="314"/>
      <c r="AY7" s="314" t="s">
        <v>39</v>
      </c>
      <c r="AZ7" s="314"/>
      <c r="BA7" s="313"/>
      <c r="BB7" s="312" t="s">
        <v>40</v>
      </c>
      <c r="BC7" s="314"/>
      <c r="BD7" s="314"/>
      <c r="BE7" s="314"/>
      <c r="BF7" s="312" t="s">
        <v>40</v>
      </c>
      <c r="BG7" s="314"/>
      <c r="BH7" s="314"/>
      <c r="BI7" s="314"/>
      <c r="BJ7" s="314"/>
      <c r="BK7" s="314"/>
      <c r="BL7" s="314"/>
      <c r="BM7" s="314"/>
      <c r="BN7" s="314" t="s">
        <v>40</v>
      </c>
      <c r="BO7" s="314"/>
      <c r="BP7" s="314"/>
      <c r="BQ7" s="314"/>
      <c r="BR7" s="314"/>
      <c r="BS7" s="314"/>
      <c r="BT7" s="314"/>
      <c r="BU7" s="314"/>
      <c r="BV7" s="296" t="s">
        <v>346</v>
      </c>
      <c r="BW7" s="314" t="s">
        <v>312</v>
      </c>
      <c r="BX7" s="313"/>
      <c r="BY7" s="182"/>
    </row>
    <row r="8" spans="1:77" x14ac:dyDescent="0.2">
      <c r="B8" s="83"/>
      <c r="C8" s="84" t="str">
        <f>'Restating Adj'!C8</f>
        <v>3.1</v>
      </c>
      <c r="D8" s="79" t="str">
        <f>'Restating Adj'!D8</f>
        <v>3.2</v>
      </c>
      <c r="E8" s="79" t="str">
        <f>'Restating Adj'!E8</f>
        <v>3.3</v>
      </c>
      <c r="F8" s="79" t="str">
        <f>'Restating Adj'!F8</f>
        <v>3.4</v>
      </c>
      <c r="G8" s="79" t="str">
        <f>'Restating Adj'!G8</f>
        <v>3.5</v>
      </c>
      <c r="H8" s="79" t="str">
        <f>'Restating Adj'!H8</f>
        <v>3.6</v>
      </c>
      <c r="I8" s="80" t="str">
        <f>'Restating Adj'!I8</f>
        <v>3.7</v>
      </c>
      <c r="J8" s="84" t="str">
        <f>'Restating Adj'!J8</f>
        <v>3.8</v>
      </c>
      <c r="K8" s="80" t="str">
        <f>'Restating Adj'!K8</f>
        <v>3.9</v>
      </c>
      <c r="L8" s="28" t="str">
        <f>'Restating Adj'!L8</f>
        <v>4.1</v>
      </c>
      <c r="M8" s="81" t="str">
        <f>'Restating Adj'!M8</f>
        <v>4.2</v>
      </c>
      <c r="N8" s="81" t="str">
        <f>'Restating Adj'!N8</f>
        <v>4.3</v>
      </c>
      <c r="O8" s="81" t="str">
        <f>'Restating Adj'!O8</f>
        <v>4.4</v>
      </c>
      <c r="P8" s="81" t="str">
        <f>'Restating Adj'!P8</f>
        <v>4.5</v>
      </c>
      <c r="Q8" s="82" t="str">
        <f>'Restating Adj'!Q8</f>
        <v>4.6</v>
      </c>
      <c r="R8" s="28" t="str">
        <f>'Restating Adj'!R8</f>
        <v>4.7</v>
      </c>
      <c r="S8" s="81" t="str">
        <f>'Restating Adj'!S8</f>
        <v>4.8</v>
      </c>
      <c r="T8" s="81" t="str">
        <f>'Restating Adj'!T8</f>
        <v>4.9</v>
      </c>
      <c r="U8" s="81" t="str">
        <f>'Restating Adj'!U8</f>
        <v>4.10</v>
      </c>
      <c r="V8" s="81" t="str">
        <f>'Restating Adj'!V8</f>
        <v>4.11</v>
      </c>
      <c r="W8" s="81" t="str">
        <f>'Restating Adj'!W8</f>
        <v>4.11.1</v>
      </c>
      <c r="X8" s="82" t="str">
        <f>'Restating Adj'!X8</f>
        <v>4.12</v>
      </c>
      <c r="Y8" s="28" t="str">
        <f>'Restating Adj'!Y8</f>
        <v>4.13.1</v>
      </c>
      <c r="Z8" s="81" t="str">
        <f>'Restating Adj'!Z8</f>
        <v>4.13.2</v>
      </c>
      <c r="AA8" s="81" t="str">
        <f>'Restating Adj'!AA8</f>
        <v>4.13.3</v>
      </c>
      <c r="AB8" s="81" t="str">
        <f>'Restating Adj'!AB8</f>
        <v>4.13.4</v>
      </c>
      <c r="AC8" s="82" t="str">
        <f>'Restating Adj'!AC8</f>
        <v>4.13.5</v>
      </c>
      <c r="AD8" s="28" t="str">
        <f>'Restating Adj'!AD8</f>
        <v>5.1</v>
      </c>
      <c r="AE8" s="82" t="str">
        <f>'Restating Adj'!AE8</f>
        <v>5.1.1</v>
      </c>
      <c r="AF8" s="28" t="str">
        <f>'Restating Adj'!AF8</f>
        <v>5.2</v>
      </c>
      <c r="AG8" s="81" t="str">
        <f>'Restating Adj'!AG8</f>
        <v>5.3</v>
      </c>
      <c r="AH8" s="28" t="str">
        <f>'Restating Adj'!AH8</f>
        <v>6.1</v>
      </c>
      <c r="AI8" s="79" t="str">
        <f>'Restating Adj'!AI8</f>
        <v>6.2</v>
      </c>
      <c r="AJ8" s="79" t="str">
        <f>'Restating Adj'!AJ8</f>
        <v>6.2.1</v>
      </c>
      <c r="AK8" s="80" t="str">
        <f>'Restating Adj'!AK8</f>
        <v>6.2.2</v>
      </c>
      <c r="AL8" s="84" t="str">
        <f>'Restating Adj'!AL8</f>
        <v>6.3</v>
      </c>
      <c r="AM8" s="79" t="str">
        <f>'Restating Adj'!AM8</f>
        <v>6.3.1</v>
      </c>
      <c r="AN8" s="79" t="str">
        <f>'Restating Adj'!AN8</f>
        <v>6.3.2</v>
      </c>
      <c r="AO8" s="79" t="str">
        <f>'Restating Adj'!AO8</f>
        <v>6.4</v>
      </c>
      <c r="AP8" s="79" t="str">
        <f>'Restating Adj'!AP8</f>
        <v>6.4.1</v>
      </c>
      <c r="AQ8" s="80" t="str">
        <f>'Restating Adj'!AQ8</f>
        <v>6.4.2</v>
      </c>
      <c r="AR8" s="80" t="s">
        <v>340</v>
      </c>
      <c r="AS8" s="84" t="str">
        <f>'Restating Adj'!AS8</f>
        <v>7.1</v>
      </c>
      <c r="AT8" s="79" t="str">
        <f>'Restating Adj'!AT8</f>
        <v>7.2</v>
      </c>
      <c r="AU8" s="79" t="str">
        <f>'Restating Adj'!AU8</f>
        <v>7.3</v>
      </c>
      <c r="AV8" s="79" t="str">
        <f>'Restating Adj'!AV8</f>
        <v>7.4</v>
      </c>
      <c r="AW8" s="79" t="str">
        <f>'Restating Adj'!AW8</f>
        <v>7.5</v>
      </c>
      <c r="AX8" s="79" t="str">
        <f>'Restating Adj'!AX8</f>
        <v>7.6</v>
      </c>
      <c r="AY8" s="28" t="str">
        <f>'Restating Adj'!AY8</f>
        <v>7.6.1</v>
      </c>
      <c r="AZ8" s="79" t="str">
        <f>'Restating Adj'!AZ8</f>
        <v>7.7</v>
      </c>
      <c r="BA8" s="79" t="str">
        <f>'Restating Adj'!BA8</f>
        <v>7.8</v>
      </c>
      <c r="BB8" s="28" t="str">
        <f>'Restating Adj'!BB8</f>
        <v>8.1</v>
      </c>
      <c r="BC8" s="81" t="str">
        <f>'Restating Adj'!BC8</f>
        <v>8.2</v>
      </c>
      <c r="BD8" s="81" t="str">
        <f>'Restating Adj'!BD8</f>
        <v>8.3</v>
      </c>
      <c r="BE8" s="81" t="str">
        <f>'Restating Adj'!BE8</f>
        <v>8.4</v>
      </c>
      <c r="BF8" s="28" t="str">
        <f>'Restating Adj'!BF8</f>
        <v>8.4.1</v>
      </c>
      <c r="BG8" s="81" t="str">
        <f>'Restating Adj'!BG8</f>
        <v>8.5</v>
      </c>
      <c r="BH8" s="81" t="str">
        <f>'Restating Adj'!BH8</f>
        <v>8.5.1</v>
      </c>
      <c r="BI8" s="81" t="str">
        <f>'Restating Adj'!BI8</f>
        <v>8.6</v>
      </c>
      <c r="BJ8" s="81" t="str">
        <f>'Restating Adj'!BJ8</f>
        <v>8.7</v>
      </c>
      <c r="BK8" s="81" t="str">
        <f>'Restating Adj'!BK8</f>
        <v>8.8</v>
      </c>
      <c r="BL8" s="81" t="str">
        <f>'Restating Adj'!BL8</f>
        <v>8.9</v>
      </c>
      <c r="BM8" s="81" t="str">
        <f>'Restating Adj'!BM8</f>
        <v>8.10</v>
      </c>
      <c r="BN8" s="28" t="str">
        <f>'Restating Adj'!BN8</f>
        <v>8.11</v>
      </c>
      <c r="BO8" s="81" t="str">
        <f>'Restating Adj'!BO8</f>
        <v>8.12</v>
      </c>
      <c r="BP8" s="81" t="str">
        <f>'Restating Adj'!BP8</f>
        <v>8.12.1</v>
      </c>
      <c r="BQ8" s="81" t="str">
        <f>'Restating Adj'!BQ8</f>
        <v>8.12.2</v>
      </c>
      <c r="BR8" s="81" t="str">
        <f>'Restating Adj'!BR8</f>
        <v>8.12.3</v>
      </c>
      <c r="BS8" s="81" t="str">
        <f>'Restating Adj'!BS8</f>
        <v>8.12.4</v>
      </c>
      <c r="BT8" s="81" t="str">
        <f>'Restating Adj'!BT8</f>
        <v>8.12.5</v>
      </c>
      <c r="BU8" s="81" t="str">
        <f>'Restating Adj'!BU8</f>
        <v>8.12.6</v>
      </c>
      <c r="BV8" s="297" t="str">
        <f>'Restating Adj'!BV8</f>
        <v>8.13</v>
      </c>
      <c r="BW8" s="81" t="str">
        <f>'Restating Adj'!BW8</f>
        <v>9.1</v>
      </c>
      <c r="BX8" s="82" t="str">
        <f>'Restating Adj'!BX8</f>
        <v>9.1.1</v>
      </c>
    </row>
    <row r="9" spans="1:77" s="183" customFormat="1" ht="104.25" customHeight="1" x14ac:dyDescent="0.2">
      <c r="A9" s="14"/>
      <c r="B9" s="85" t="s">
        <v>342</v>
      </c>
      <c r="C9" s="113" t="str">
        <f>'Restating Adj'!C9</f>
        <v>Temperature Normalization</v>
      </c>
      <c r="D9" s="116" t="str">
        <f>'Restating Adj'!D9</f>
        <v>Revenue Normalization</v>
      </c>
      <c r="E9" s="116" t="str">
        <f>'Restating Adj'!E9</f>
        <v>Effective Price Change</v>
      </c>
      <c r="F9" s="116" t="str">
        <f>'Restating Adj'!F9</f>
        <v>SO2 Emission Allowance Sales</v>
      </c>
      <c r="G9" s="116" t="str">
        <f>'Restating Adj'!G9</f>
        <v>Renewable Energy Credit and Renewable Energy Attribute Revenue</v>
      </c>
      <c r="H9" s="116" t="str">
        <f>'Restating Adj'!H9</f>
        <v>Wheeling Revenue</v>
      </c>
      <c r="I9" s="114" t="str">
        <f>'Restating Adj'!I9</f>
        <v>Ancillary Revenue</v>
      </c>
      <c r="J9" s="113" t="str">
        <f>'Restating Adj'!J9</f>
        <v>Schedule 300 Fee Change</v>
      </c>
      <c r="K9" s="114" t="str">
        <f>'Restating Adj'!K9</f>
        <v>Wind Wake Loss Revenues</v>
      </c>
      <c r="L9" s="113" t="str">
        <f>'Restating Adj'!L9</f>
        <v>Miscellan -eous Expense &amp; Revenue</v>
      </c>
      <c r="M9" s="116" t="str">
        <f>'Restating Adj'!M9</f>
        <v>General Wage Increase - Restating</v>
      </c>
      <c r="N9" s="116" t="str">
        <f>'Restating Adj'!N9</f>
        <v>General Wage Increase - Pro Forma</v>
      </c>
      <c r="O9" s="116" t="str">
        <f>'Restating Adj'!O9</f>
        <v>Irrigation Load Control Program</v>
      </c>
      <c r="P9" s="116" t="str">
        <f>'Restating Adj'!P9</f>
        <v>Remove Non-Recurring Entries</v>
      </c>
      <c r="Q9" s="114" t="str">
        <f>'Restating Adj'!Q9</f>
        <v>DSM Revenue and Expense Removal</v>
      </c>
      <c r="R9" s="113" t="str">
        <f>'Restating Adj'!R9</f>
        <v>Insurance Expense</v>
      </c>
      <c r="S9" s="116" t="str">
        <f>'Restating Adj'!S9</f>
        <v>Advertising</v>
      </c>
      <c r="T9" s="116" t="str">
        <f>'Restating Adj'!T9</f>
        <v>Memberships &amp; Subscriptions</v>
      </c>
      <c r="U9" s="116" t="str">
        <f>'Restating Adj'!U9</f>
        <v>Uncollectible Expense</v>
      </c>
      <c r="V9" s="116" t="str">
        <f>'Restating Adj'!V9</f>
        <v>Legal Expenses</v>
      </c>
      <c r="W9" s="116" t="str">
        <f>'Restating Adj'!W9</f>
        <v>(Cont.) Legal Expenses</v>
      </c>
      <c r="X9" s="114" t="str">
        <f>'Restating Adj'!X9</f>
        <v xml:space="preserve">Collection Agency Fees </v>
      </c>
      <c r="Y9" s="113" t="str">
        <f>'Restating Adj'!Y9</f>
        <v xml:space="preserve">IHS Global Insight Escalation </v>
      </c>
      <c r="Z9" s="116" t="str">
        <f>'Restating Adj'!Z9</f>
        <v xml:space="preserve">(Cont.) IHS Global Insight Escalation </v>
      </c>
      <c r="AA9" s="116" t="str">
        <f>'Restating Adj'!AA9</f>
        <v>(Cont. 2) IHS Global Insight Escalation</v>
      </c>
      <c r="AB9" s="116" t="str">
        <f>'Restating Adj'!AB9</f>
        <v>(Cont. 3) IHS Global Insight Escalation</v>
      </c>
      <c r="AC9" s="114" t="str">
        <f>'Restating Adj'!AC9</f>
        <v xml:space="preserve">(Cont. 4) IHS Global Insight Escalation </v>
      </c>
      <c r="AD9" s="113" t="str">
        <f>'Restating Adj'!AD9</f>
        <v>Net Power Costs - Restating</v>
      </c>
      <c r="AE9" s="114" t="str">
        <f>'Restating Adj'!AE9</f>
        <v>Net Power Costs - Pro Forma</v>
      </c>
      <c r="AF9" s="113" t="str">
        <f>'Restating Adj'!AF9</f>
        <v>James River Royalty Offset</v>
      </c>
      <c r="AG9" s="116" t="str">
        <f>'Restating Adj'!AG9</f>
        <v>Colstrip #3 Removal</v>
      </c>
      <c r="AH9" s="113" t="str">
        <f>'Restating Adj'!AH9</f>
        <v>Hydro Decommission -ing</v>
      </c>
      <c r="AI9" s="116" t="str">
        <f>'Restating Adj'!AI9</f>
        <v>Depreciation and Amortization Reserve to December 2013 Balance</v>
      </c>
      <c r="AJ9" s="116" t="str">
        <f>'Restating Adj'!AJ9</f>
        <v>(cont.) Depreciation and Amortization Reserve to December 2013 Balance</v>
      </c>
      <c r="AK9" s="114" t="str">
        <f>'Restating Adj'!AK9</f>
        <v>(cont. 2) Depreciation and Amortization Reserve to December 2013 Balance</v>
      </c>
      <c r="AL9" s="113" t="str">
        <f>'Restating Adj'!AL9</f>
        <v>Depreciation Study &amp; Annual Depreciation</v>
      </c>
      <c r="AM9" s="116" t="str">
        <f>'Restating Adj'!AM9</f>
        <v>(Cont.) Depreciation Study</v>
      </c>
      <c r="AN9" s="116" t="str">
        <f>'Restating Adj'!AN9</f>
        <v>(Cont. 2) Depreciation Study</v>
      </c>
      <c r="AO9" s="116" t="str">
        <f>'Restating Adj'!AO9</f>
        <v>Vehicle Depreciation -  Depreciation Study</v>
      </c>
      <c r="AP9" s="116" t="str">
        <f>'Restating Adj'!AP9</f>
        <v>(Cont.) Vehicle Depreication - Depreciation Study</v>
      </c>
      <c r="AQ9" s="114" t="str">
        <f>'Restating Adj'!AQ9</f>
        <v>(Cont. 2) Vehicle Depreciation -  Depreciation Study</v>
      </c>
      <c r="AR9" s="116" t="str">
        <f>'Restating Adj'!AR9</f>
        <v xml:space="preserve">Retired Assets Depreciation Expense Removal </v>
      </c>
      <c r="AS9" s="308" t="str">
        <f>'Restating Adj'!AS9</f>
        <v>Interest True Up</v>
      </c>
      <c r="AT9" s="116" t="str">
        <f>'Restating Adj'!AT9</f>
        <v>Property Tax Expense</v>
      </c>
      <c r="AU9" s="116" t="str">
        <f>'Restating Adj'!AU9</f>
        <v>Renewable Energy Tax Credit</v>
      </c>
      <c r="AV9" s="116" t="str">
        <f>'Restating Adj'!AV9</f>
        <v>PowerTax ADIT Balance</v>
      </c>
      <c r="AW9" s="116" t="str">
        <f>'Restating Adj'!AW9</f>
        <v>WA Low Income Tax Credit</v>
      </c>
      <c r="AX9" s="116" t="str">
        <f>'Restating Adj'!AX9</f>
        <v>Flow-Through Adjustment</v>
      </c>
      <c r="AY9" s="113" t="str">
        <f>'Restating Adj'!AY9</f>
        <v>(cont.) Flow-Through Adjustment</v>
      </c>
      <c r="AZ9" s="116" t="str">
        <f>'Restating Adj'!AZ9</f>
        <v>Remove Deferred State Tax Expense &amp; Balance</v>
      </c>
      <c r="BA9" s="116" t="str">
        <f>'Restating Adj'!BA9</f>
        <v>WA Public Utility Tax Adjustment</v>
      </c>
      <c r="BB9" s="113" t="str">
        <f>'Restating Adj'!BB9</f>
        <v>Jim Bridger Mine Rate Base</v>
      </c>
      <c r="BC9" s="116" t="str">
        <f>'Restating Adj'!BC9</f>
        <v>Environmental Remediation</v>
      </c>
      <c r="BD9" s="116" t="str">
        <f>'Restating Adj'!BD9</f>
        <v>Customer Advances for Construction</v>
      </c>
      <c r="BE9" s="116" t="str">
        <f>'Restating Adj'!BE9</f>
        <v>Major Plant Additions</v>
      </c>
      <c r="BF9" s="113" t="str">
        <f>'Restating Adj'!BF9</f>
        <v>(Cont.) Major Plant Additions</v>
      </c>
      <c r="BG9" s="116" t="str">
        <f>'Restating Adj'!BG9</f>
        <v>Miscellan -eous Rate Base</v>
      </c>
      <c r="BH9" s="116" t="str">
        <f>'Restating Adj'!BH9</f>
        <v>(cont.) Miscellaneous Rate Base</v>
      </c>
      <c r="BI9" s="116" t="str">
        <f>'Restating Adj'!BI9</f>
        <v>Powerdale Hydro Removal</v>
      </c>
      <c r="BJ9" s="116" t="str">
        <f>'Restating Adj'!BJ9</f>
        <v>Removal of Colstrip #4 AFUDC</v>
      </c>
      <c r="BK9" s="116" t="str">
        <f>'Restating Adj'!BK9</f>
        <v>Trojan Unrecover -ed Plant</v>
      </c>
      <c r="BL9" s="116" t="str">
        <f>'Restating Adj'!BL9</f>
        <v>Customer Service Deposits</v>
      </c>
      <c r="BM9" s="116" t="str">
        <f>'Restating Adj'!BM9</f>
        <v>Reg Asset Amortiz -ation</v>
      </c>
      <c r="BN9" s="113" t="str">
        <f>'Restating Adj'!BN9</f>
        <v>Misc. Asset Sales and Removals</v>
      </c>
      <c r="BO9" s="116" t="str">
        <f>'Restating Adj'!BO9</f>
        <v>Adjust December 2013 AMA Plant Balances to December 2013 Balance</v>
      </c>
      <c r="BP9" s="116" t="str">
        <f>'Restating Adj'!BP9</f>
        <v>(cont.) Adjust December 2013 AMA Plant Balances to December 2013 Balance</v>
      </c>
      <c r="BQ9" s="116" t="str">
        <f>'Restating Adj'!BQ9</f>
        <v>(cont. 2) Adjust December 2013 AMA Plant Balances to December 2013 Balance</v>
      </c>
      <c r="BR9" s="116" t="str">
        <f>'Restating Adj'!BR9</f>
        <v>(cont. 3) Adjust December 2013 AMA Plant Balances to December 2013 Balance</v>
      </c>
      <c r="BS9" s="116" t="str">
        <f>'Restating Adj'!BS9</f>
        <v>(cont. 4) Adjust December 2013 AMA Plant Balances to December 2013 Balance</v>
      </c>
      <c r="BT9" s="116" t="str">
        <f>'Restating Adj'!BT9</f>
        <v>(cont. 5) Adjust December 2013 AMA Plant Balances to December 2013 Balance</v>
      </c>
      <c r="BU9" s="116" t="str">
        <f>'Restating Adj'!BU9</f>
        <v>(cont. 6) Adjust December 2013 AMA Plant Balances to December 2013 Balance</v>
      </c>
      <c r="BV9" s="298" t="str">
        <f>'Restating Adj'!BV9</f>
        <v>Investor Supplied Working Capital</v>
      </c>
      <c r="BW9" s="116" t="str">
        <f>'Restating Adj'!BW9</f>
        <v>Production Factor</v>
      </c>
      <c r="BX9" s="114" t="str">
        <f>'Restating Adj'!BX9</f>
        <v>(Cont.) Production Factor</v>
      </c>
      <c r="BY9" s="184"/>
    </row>
    <row r="10" spans="1:77" x14ac:dyDescent="0.2">
      <c r="B10" s="185"/>
      <c r="C10" s="39"/>
      <c r="D10" s="12"/>
      <c r="E10" s="12"/>
      <c r="F10" s="12"/>
      <c r="G10" s="12"/>
      <c r="H10" s="65"/>
      <c r="I10" s="87"/>
      <c r="J10" s="89"/>
      <c r="K10" s="87"/>
      <c r="L10" s="29"/>
      <c r="M10" s="12"/>
      <c r="N10" s="12"/>
      <c r="O10" s="12"/>
      <c r="P10" s="65"/>
      <c r="Q10" s="86"/>
      <c r="R10" s="89"/>
      <c r="S10" s="65"/>
      <c r="T10" s="65"/>
      <c r="U10" s="65"/>
      <c r="V10" s="65"/>
      <c r="W10" s="65"/>
      <c r="X10" s="87"/>
      <c r="Y10" s="89"/>
      <c r="Z10" s="65"/>
      <c r="AA10" s="65"/>
      <c r="AB10" s="65"/>
      <c r="AC10" s="87"/>
      <c r="AD10" s="29"/>
      <c r="AE10" s="86"/>
      <c r="AF10" s="29"/>
      <c r="AG10" s="12"/>
      <c r="AH10" s="29"/>
      <c r="AI10" s="12"/>
      <c r="AJ10" s="12"/>
      <c r="AK10" s="86"/>
      <c r="AL10" s="29"/>
      <c r="AM10" s="12"/>
      <c r="AN10" s="12"/>
      <c r="AO10" s="12"/>
      <c r="AP10" s="12"/>
      <c r="AQ10" s="86"/>
      <c r="AR10" s="12"/>
      <c r="AS10" s="89"/>
      <c r="AT10" s="65"/>
      <c r="AU10" s="12"/>
      <c r="AV10" s="12"/>
      <c r="AW10" s="12"/>
      <c r="AX10" s="12"/>
      <c r="AY10" s="29"/>
      <c r="AZ10" s="12"/>
      <c r="BA10" s="12"/>
      <c r="BB10" s="29"/>
      <c r="BC10" s="65"/>
      <c r="BD10" s="65"/>
      <c r="BE10" s="65"/>
      <c r="BF10" s="89"/>
      <c r="BG10" s="65"/>
      <c r="BH10" s="12"/>
      <c r="BI10" s="65"/>
      <c r="BJ10" s="65"/>
      <c r="BK10" s="65"/>
      <c r="BL10" s="65"/>
      <c r="BM10" s="65"/>
      <c r="BN10" s="89"/>
      <c r="BO10" s="65"/>
      <c r="BP10" s="65"/>
      <c r="BQ10" s="65"/>
      <c r="BR10" s="65"/>
      <c r="BS10" s="65"/>
      <c r="BT10" s="65"/>
      <c r="BU10" s="65"/>
      <c r="BV10" s="185"/>
      <c r="BW10" s="65"/>
      <c r="BX10" s="87"/>
    </row>
    <row r="11" spans="1:77" x14ac:dyDescent="0.2">
      <c r="A11" s="14" t="s">
        <v>49</v>
      </c>
      <c r="B11" s="88"/>
      <c r="C11" s="29"/>
      <c r="D11" s="12"/>
      <c r="E11" s="12"/>
      <c r="F11" s="12"/>
      <c r="G11" s="12"/>
      <c r="H11" s="12"/>
      <c r="I11" s="86"/>
      <c r="J11" s="29"/>
      <c r="K11" s="86"/>
      <c r="L11" s="29"/>
      <c r="M11" s="12"/>
      <c r="N11" s="12"/>
      <c r="O11" s="12"/>
      <c r="P11" s="12"/>
      <c r="Q11" s="86"/>
      <c r="R11" s="29"/>
      <c r="S11" s="12"/>
      <c r="T11" s="12"/>
      <c r="U11" s="12"/>
      <c r="V11" s="12"/>
      <c r="W11" s="12"/>
      <c r="X11" s="86"/>
      <c r="Y11" s="29"/>
      <c r="Z11" s="12"/>
      <c r="AA11" s="12"/>
      <c r="AB11" s="12"/>
      <c r="AC11" s="86"/>
      <c r="AD11" s="29"/>
      <c r="AE11" s="86"/>
      <c r="AF11" s="29"/>
      <c r="AG11" s="12"/>
      <c r="AH11" s="29"/>
      <c r="AI11" s="12"/>
      <c r="AJ11" s="12"/>
      <c r="AK11" s="86"/>
      <c r="AL11" s="29"/>
      <c r="AM11" s="12"/>
      <c r="AN11" s="12"/>
      <c r="AO11" s="12"/>
      <c r="AP11" s="12"/>
      <c r="AQ11" s="86"/>
      <c r="AR11" s="12"/>
      <c r="AS11" s="29"/>
      <c r="AT11" s="12"/>
      <c r="AU11" s="12"/>
      <c r="AV11" s="12"/>
      <c r="AW11" s="12"/>
      <c r="AX11" s="12"/>
      <c r="AY11" s="29"/>
      <c r="AZ11" s="12"/>
      <c r="BA11" s="12"/>
      <c r="BB11" s="29"/>
      <c r="BC11" s="12"/>
      <c r="BD11" s="12"/>
      <c r="BE11" s="12"/>
      <c r="BF11" s="29"/>
      <c r="BG11" s="12"/>
      <c r="BH11" s="12"/>
      <c r="BI11" s="12"/>
      <c r="BJ11" s="12"/>
      <c r="BK11" s="12"/>
      <c r="BL11" s="12"/>
      <c r="BM11" s="12"/>
      <c r="BN11" s="29"/>
      <c r="BO11" s="12"/>
      <c r="BP11" s="12"/>
      <c r="BQ11" s="12"/>
      <c r="BR11" s="12"/>
      <c r="BS11" s="12"/>
      <c r="BT11" s="12"/>
      <c r="BU11" s="12"/>
      <c r="BV11" s="88"/>
      <c r="BW11" s="12"/>
      <c r="BX11" s="86"/>
    </row>
    <row r="12" spans="1:77" x14ac:dyDescent="0.2">
      <c r="A12" s="14" t="s">
        <v>50</v>
      </c>
      <c r="B12" s="100">
        <f>SUM(C12:BX12)</f>
        <v>0</v>
      </c>
      <c r="C12" s="31"/>
      <c r="D12" s="90"/>
      <c r="E12" s="90"/>
      <c r="F12" s="90"/>
      <c r="G12" s="90"/>
      <c r="H12" s="90"/>
      <c r="I12" s="91"/>
      <c r="J12" s="30"/>
      <c r="K12" s="91"/>
      <c r="L12" s="30"/>
      <c r="M12" s="90"/>
      <c r="N12" s="90"/>
      <c r="O12" s="90"/>
      <c r="P12" s="92"/>
      <c r="Q12" s="91"/>
      <c r="R12" s="30"/>
      <c r="S12" s="90"/>
      <c r="T12" s="90"/>
      <c r="U12" s="90"/>
      <c r="V12" s="90"/>
      <c r="W12" s="90"/>
      <c r="X12" s="91"/>
      <c r="Y12" s="30"/>
      <c r="Z12" s="90"/>
      <c r="AA12" s="90"/>
      <c r="AB12" s="90"/>
      <c r="AC12" s="91"/>
      <c r="AD12" s="30"/>
      <c r="AE12" s="91"/>
      <c r="AF12" s="30"/>
      <c r="AG12" s="90"/>
      <c r="AH12" s="31"/>
      <c r="AI12" s="92"/>
      <c r="AJ12" s="92"/>
      <c r="AK12" s="93"/>
      <c r="AL12" s="31"/>
      <c r="AM12" s="92"/>
      <c r="AN12" s="92"/>
      <c r="AO12" s="92"/>
      <c r="AP12" s="92"/>
      <c r="AQ12" s="93"/>
      <c r="AR12" s="92"/>
      <c r="AS12" s="31"/>
      <c r="AT12" s="92"/>
      <c r="AU12" s="92"/>
      <c r="AV12" s="92"/>
      <c r="AW12" s="92"/>
      <c r="AX12" s="92"/>
      <c r="AY12" s="31"/>
      <c r="AZ12" s="92"/>
      <c r="BA12" s="92"/>
      <c r="BB12" s="30"/>
      <c r="BC12" s="90"/>
      <c r="BD12" s="90"/>
      <c r="BE12" s="90"/>
      <c r="BF12" s="30"/>
      <c r="BG12" s="90"/>
      <c r="BH12" s="12"/>
      <c r="BI12" s="90"/>
      <c r="BJ12" s="92"/>
      <c r="BK12" s="92"/>
      <c r="BL12" s="92"/>
      <c r="BM12" s="92"/>
      <c r="BN12" s="31"/>
      <c r="BO12" s="92"/>
      <c r="BP12" s="92"/>
      <c r="BQ12" s="92"/>
      <c r="BR12" s="92"/>
      <c r="BS12" s="92"/>
      <c r="BT12" s="92"/>
      <c r="BU12" s="92"/>
      <c r="BV12" s="299"/>
      <c r="BW12" s="92"/>
      <c r="BX12" s="93"/>
    </row>
    <row r="13" spans="1:77" x14ac:dyDescent="0.2">
      <c r="A13" s="14" t="s">
        <v>51</v>
      </c>
      <c r="B13" s="100">
        <f>SUM(C13:BX13)</f>
        <v>0</v>
      </c>
      <c r="C13" s="31"/>
      <c r="D13" s="92"/>
      <c r="E13" s="92"/>
      <c r="F13" s="92"/>
      <c r="G13" s="92"/>
      <c r="H13" s="90"/>
      <c r="I13" s="91"/>
      <c r="J13" s="30"/>
      <c r="K13" s="91"/>
      <c r="L13" s="31"/>
      <c r="M13" s="92"/>
      <c r="N13" s="92"/>
      <c r="O13" s="92"/>
      <c r="P13" s="92"/>
      <c r="Q13" s="93"/>
      <c r="R13" s="30"/>
      <c r="S13" s="90"/>
      <c r="T13" s="90"/>
      <c r="U13" s="90"/>
      <c r="V13" s="90"/>
      <c r="W13" s="90"/>
      <c r="X13" s="91"/>
      <c r="Y13" s="30"/>
      <c r="Z13" s="90"/>
      <c r="AA13" s="90"/>
      <c r="AB13" s="90"/>
      <c r="AC13" s="91"/>
      <c r="AD13" s="31"/>
      <c r="AE13" s="93"/>
      <c r="AF13" s="31"/>
      <c r="AG13" s="92"/>
      <c r="AH13" s="31"/>
      <c r="AI13" s="92"/>
      <c r="AJ13" s="92"/>
      <c r="AK13" s="93"/>
      <c r="AL13" s="31"/>
      <c r="AM13" s="92"/>
      <c r="AN13" s="92"/>
      <c r="AO13" s="92"/>
      <c r="AP13" s="92"/>
      <c r="AQ13" s="93"/>
      <c r="AR13" s="92"/>
      <c r="AS13" s="31"/>
      <c r="AT13" s="92"/>
      <c r="AU13" s="92"/>
      <c r="AV13" s="92"/>
      <c r="AW13" s="92"/>
      <c r="AX13" s="92"/>
      <c r="AY13" s="31"/>
      <c r="AZ13" s="92"/>
      <c r="BA13" s="92"/>
      <c r="BB13" s="31"/>
      <c r="BC13" s="90"/>
      <c r="BD13" s="90"/>
      <c r="BE13" s="90"/>
      <c r="BF13" s="30"/>
      <c r="BG13" s="90"/>
      <c r="BH13" s="12"/>
      <c r="BI13" s="90"/>
      <c r="BJ13" s="92"/>
      <c r="BK13" s="92"/>
      <c r="BL13" s="92"/>
      <c r="BM13" s="92"/>
      <c r="BN13" s="31"/>
      <c r="BO13" s="92"/>
      <c r="BP13" s="92"/>
      <c r="BQ13" s="92"/>
      <c r="BR13" s="92"/>
      <c r="BS13" s="92"/>
      <c r="BT13" s="92"/>
      <c r="BU13" s="92"/>
      <c r="BV13" s="299"/>
      <c r="BW13" s="92"/>
      <c r="BX13" s="93"/>
    </row>
    <row r="14" spans="1:77" x14ac:dyDescent="0.2">
      <c r="A14" s="14" t="s">
        <v>52</v>
      </c>
      <c r="B14" s="100">
        <f>SUM(C14:BX14)</f>
        <v>-45696518.794511281</v>
      </c>
      <c r="C14" s="31"/>
      <c r="D14" s="92"/>
      <c r="E14" s="92"/>
      <c r="F14" s="92"/>
      <c r="G14" s="92"/>
      <c r="H14" s="90"/>
      <c r="I14" s="91"/>
      <c r="J14" s="30"/>
      <c r="K14" s="91"/>
      <c r="L14" s="31"/>
      <c r="M14" s="92"/>
      <c r="N14" s="92"/>
      <c r="O14" s="92"/>
      <c r="P14" s="92"/>
      <c r="Q14" s="93"/>
      <c r="R14" s="30"/>
      <c r="S14" s="90"/>
      <c r="T14" s="90"/>
      <c r="U14" s="90"/>
      <c r="V14" s="90"/>
      <c r="W14" s="90"/>
      <c r="X14" s="91"/>
      <c r="Y14" s="30"/>
      <c r="Z14" s="90"/>
      <c r="AA14" s="90"/>
      <c r="AB14" s="90"/>
      <c r="AC14" s="91"/>
      <c r="AD14" s="31"/>
      <c r="AE14" s="93">
        <f>'[34]Lead Sheet - Pro Forma'!$I$13</f>
        <v>-45864562.417078793</v>
      </c>
      <c r="AF14" s="31"/>
      <c r="AG14" s="92"/>
      <c r="AH14" s="31"/>
      <c r="AI14" s="92"/>
      <c r="AJ14" s="92"/>
      <c r="AK14" s="93"/>
      <c r="AL14" s="31"/>
      <c r="AM14" s="92"/>
      <c r="AN14" s="92"/>
      <c r="AO14" s="92"/>
      <c r="AP14" s="92"/>
      <c r="AQ14" s="93"/>
      <c r="AR14" s="92"/>
      <c r="AS14" s="31"/>
      <c r="AT14" s="92"/>
      <c r="AU14" s="92"/>
      <c r="AV14" s="92"/>
      <c r="AW14" s="92"/>
      <c r="AX14" s="92"/>
      <c r="AY14" s="31"/>
      <c r="AZ14" s="92"/>
      <c r="BA14" s="92"/>
      <c r="BB14" s="31"/>
      <c r="BC14" s="90"/>
      <c r="BD14" s="90"/>
      <c r="BE14" s="90"/>
      <c r="BF14" s="30"/>
      <c r="BG14" s="90"/>
      <c r="BH14" s="12"/>
      <c r="BI14" s="90"/>
      <c r="BJ14" s="92"/>
      <c r="BK14" s="92"/>
      <c r="BL14" s="92"/>
      <c r="BM14" s="92"/>
      <c r="BN14" s="31"/>
      <c r="BO14" s="92"/>
      <c r="BP14" s="92"/>
      <c r="BQ14" s="92"/>
      <c r="BR14" s="92"/>
      <c r="BS14" s="92"/>
      <c r="BT14" s="92"/>
      <c r="BU14" s="92"/>
      <c r="BV14" s="299"/>
      <c r="BW14" s="92">
        <f>[14]ContractChange!$I$44</f>
        <v>168043.62256751209</v>
      </c>
      <c r="BX14" s="93"/>
    </row>
    <row r="15" spans="1:77" x14ac:dyDescent="0.2">
      <c r="A15" s="14" t="s">
        <v>53</v>
      </c>
      <c r="B15" s="100">
        <f>SUM(C15:BX15)</f>
        <v>1213135.1947180552</v>
      </c>
      <c r="C15" s="31"/>
      <c r="D15" s="92"/>
      <c r="E15" s="92"/>
      <c r="F15" s="92"/>
      <c r="G15" s="92"/>
      <c r="H15" s="90">
        <f>'[4]Page 3.6'!$I$11</f>
        <v>449017.00217965804</v>
      </c>
      <c r="I15" s="91">
        <f>'[35]Page 3.7'!$I$9</f>
        <v>41325.822449383042</v>
      </c>
      <c r="J15" s="30">
        <v>0</v>
      </c>
      <c r="K15" s="91">
        <f>'[5]Page 3.9'!$H$13</f>
        <v>37318.889935926461</v>
      </c>
      <c r="L15" s="31"/>
      <c r="M15" s="92"/>
      <c r="N15" s="92"/>
      <c r="O15" s="92"/>
      <c r="P15" s="92"/>
      <c r="Q15" s="93"/>
      <c r="R15" s="30"/>
      <c r="S15" s="90"/>
      <c r="T15" s="90"/>
      <c r="U15" s="90"/>
      <c r="V15" s="90"/>
      <c r="W15" s="90"/>
      <c r="X15" s="91"/>
      <c r="Y15" s="30"/>
      <c r="Z15" s="90"/>
      <c r="AA15" s="90"/>
      <c r="AB15" s="90"/>
      <c r="AC15" s="91"/>
      <c r="AD15" s="31"/>
      <c r="AE15" s="93"/>
      <c r="AF15" s="31">
        <f>'[36]Page 5.2'!$H$9</f>
        <v>679898.4167838149</v>
      </c>
      <c r="AG15" s="92"/>
      <c r="AH15" s="31"/>
      <c r="AI15" s="92"/>
      <c r="AJ15" s="92"/>
      <c r="AK15" s="93"/>
      <c r="AL15" s="31"/>
      <c r="AM15" s="92"/>
      <c r="AN15" s="92"/>
      <c r="AO15" s="92"/>
      <c r="AP15" s="92"/>
      <c r="AQ15" s="93"/>
      <c r="AR15" s="92"/>
      <c r="AS15" s="31"/>
      <c r="AT15" s="92"/>
      <c r="AU15" s="92"/>
      <c r="AV15" s="92"/>
      <c r="AW15" s="92"/>
      <c r="AX15" s="92"/>
      <c r="AY15" s="31"/>
      <c r="AZ15" s="92"/>
      <c r="BA15" s="92"/>
      <c r="BB15" s="31"/>
      <c r="BC15" s="90"/>
      <c r="BD15" s="90"/>
      <c r="BE15" s="90"/>
      <c r="BF15" s="30"/>
      <c r="BG15" s="90"/>
      <c r="BH15" s="12"/>
      <c r="BI15" s="90"/>
      <c r="BJ15" s="92"/>
      <c r="BK15" s="92"/>
      <c r="BL15" s="92"/>
      <c r="BM15" s="92"/>
      <c r="BN15" s="31"/>
      <c r="BO15" s="92"/>
      <c r="BP15" s="92"/>
      <c r="BQ15" s="92"/>
      <c r="BR15" s="92"/>
      <c r="BS15" s="92"/>
      <c r="BT15" s="92"/>
      <c r="BU15" s="92"/>
      <c r="BV15" s="299"/>
      <c r="BW15" s="92"/>
      <c r="BX15" s="93">
        <f>[14]ContractChange!$I$74+[14]ContractChange!$I$77</f>
        <v>5575.0633692726551</v>
      </c>
    </row>
    <row r="16" spans="1:77" x14ac:dyDescent="0.2">
      <c r="A16" s="14" t="s">
        <v>54</v>
      </c>
      <c r="B16" s="186">
        <f>SUM(C16:BX16)</f>
        <v>-44483383.599793226</v>
      </c>
      <c r="C16" s="32">
        <f>SUM(C12:C15)</f>
        <v>0</v>
      </c>
      <c r="D16" s="94">
        <f t="shared" ref="D16:BU16" si="0">SUM(D12:D15)</f>
        <v>0</v>
      </c>
      <c r="E16" s="94">
        <f t="shared" si="0"/>
        <v>0</v>
      </c>
      <c r="F16" s="94">
        <f t="shared" si="0"/>
        <v>0</v>
      </c>
      <c r="G16" s="94">
        <f t="shared" si="0"/>
        <v>0</v>
      </c>
      <c r="H16" s="94">
        <f t="shared" si="0"/>
        <v>449017.00217965804</v>
      </c>
      <c r="I16" s="95">
        <f t="shared" si="0"/>
        <v>41325.822449383042</v>
      </c>
      <c r="J16" s="32">
        <f t="shared" ref="J16:K16" si="1">SUM(J12:J15)</f>
        <v>0</v>
      </c>
      <c r="K16" s="95">
        <f t="shared" si="1"/>
        <v>37318.889935926461</v>
      </c>
      <c r="L16" s="32">
        <f t="shared" si="0"/>
        <v>0</v>
      </c>
      <c r="M16" s="94">
        <f t="shared" si="0"/>
        <v>0</v>
      </c>
      <c r="N16" s="94">
        <f t="shared" si="0"/>
        <v>0</v>
      </c>
      <c r="O16" s="94">
        <f t="shared" si="0"/>
        <v>0</v>
      </c>
      <c r="P16" s="94">
        <f t="shared" si="0"/>
        <v>0</v>
      </c>
      <c r="Q16" s="95">
        <f t="shared" si="0"/>
        <v>0</v>
      </c>
      <c r="R16" s="32">
        <f t="shared" si="0"/>
        <v>0</v>
      </c>
      <c r="S16" s="94">
        <f t="shared" si="0"/>
        <v>0</v>
      </c>
      <c r="T16" s="94">
        <f t="shared" si="0"/>
        <v>0</v>
      </c>
      <c r="U16" s="94">
        <f t="shared" si="0"/>
        <v>0</v>
      </c>
      <c r="V16" s="94">
        <f t="shared" si="0"/>
        <v>0</v>
      </c>
      <c r="W16" s="94">
        <f t="shared" si="0"/>
        <v>0</v>
      </c>
      <c r="X16" s="95">
        <f t="shared" si="0"/>
        <v>0</v>
      </c>
      <c r="Y16" s="32">
        <f t="shared" ref="Y16:AB16" si="2">SUM(Y12:Y15)</f>
        <v>0</v>
      </c>
      <c r="Z16" s="94">
        <f t="shared" si="2"/>
        <v>0</v>
      </c>
      <c r="AA16" s="94">
        <f t="shared" si="2"/>
        <v>0</v>
      </c>
      <c r="AB16" s="94">
        <f t="shared" si="2"/>
        <v>0</v>
      </c>
      <c r="AC16" s="95">
        <f t="shared" ref="AC16" si="3">SUM(AC12:AC15)</f>
        <v>0</v>
      </c>
      <c r="AD16" s="32">
        <f t="shared" si="0"/>
        <v>0</v>
      </c>
      <c r="AE16" s="95">
        <f t="shared" si="0"/>
        <v>-45864562.417078793</v>
      </c>
      <c r="AF16" s="32">
        <f t="shared" si="0"/>
        <v>679898.4167838149</v>
      </c>
      <c r="AG16" s="94">
        <f t="shared" si="0"/>
        <v>0</v>
      </c>
      <c r="AH16" s="32">
        <f t="shared" si="0"/>
        <v>0</v>
      </c>
      <c r="AI16" s="94">
        <f t="shared" si="0"/>
        <v>0</v>
      </c>
      <c r="AJ16" s="94">
        <f t="shared" si="0"/>
        <v>0</v>
      </c>
      <c r="AK16" s="95">
        <f t="shared" si="0"/>
        <v>0</v>
      </c>
      <c r="AL16" s="32">
        <f t="shared" si="0"/>
        <v>0</v>
      </c>
      <c r="AM16" s="94">
        <f t="shared" ref="AM16:AP16" si="4">SUM(AM12:AM15)</f>
        <v>0</v>
      </c>
      <c r="AN16" s="94">
        <f t="shared" si="4"/>
        <v>0</v>
      </c>
      <c r="AO16" s="94">
        <f t="shared" si="4"/>
        <v>0</v>
      </c>
      <c r="AP16" s="94">
        <f t="shared" si="4"/>
        <v>0</v>
      </c>
      <c r="AQ16" s="95">
        <f t="shared" ref="AQ16:AR16" si="5">SUM(AQ12:AQ15)</f>
        <v>0</v>
      </c>
      <c r="AR16" s="94">
        <f t="shared" si="5"/>
        <v>0</v>
      </c>
      <c r="AS16" s="32">
        <f t="shared" si="0"/>
        <v>0</v>
      </c>
      <c r="AT16" s="94">
        <f t="shared" si="0"/>
        <v>0</v>
      </c>
      <c r="AU16" s="94">
        <f t="shared" si="0"/>
        <v>0</v>
      </c>
      <c r="AV16" s="94">
        <f t="shared" si="0"/>
        <v>0</v>
      </c>
      <c r="AW16" s="94">
        <f t="shared" si="0"/>
        <v>0</v>
      </c>
      <c r="AX16" s="94">
        <f t="shared" si="0"/>
        <v>0</v>
      </c>
      <c r="AY16" s="32">
        <f t="shared" si="0"/>
        <v>0</v>
      </c>
      <c r="AZ16" s="94">
        <f t="shared" si="0"/>
        <v>0</v>
      </c>
      <c r="BA16" s="94">
        <f t="shared" si="0"/>
        <v>0</v>
      </c>
      <c r="BB16" s="32">
        <f t="shared" si="0"/>
        <v>0</v>
      </c>
      <c r="BC16" s="94">
        <f t="shared" si="0"/>
        <v>0</v>
      </c>
      <c r="BD16" s="94">
        <f t="shared" si="0"/>
        <v>0</v>
      </c>
      <c r="BE16" s="94">
        <f t="shared" si="0"/>
        <v>0</v>
      </c>
      <c r="BF16" s="32">
        <f t="shared" ref="BF16" si="6">SUM(BF12:BF15)</f>
        <v>0</v>
      </c>
      <c r="BG16" s="94">
        <f t="shared" si="0"/>
        <v>0</v>
      </c>
      <c r="BH16" s="94">
        <f t="shared" si="0"/>
        <v>0</v>
      </c>
      <c r="BI16" s="94">
        <f t="shared" si="0"/>
        <v>0</v>
      </c>
      <c r="BJ16" s="94">
        <f t="shared" si="0"/>
        <v>0</v>
      </c>
      <c r="BK16" s="94">
        <f t="shared" si="0"/>
        <v>0</v>
      </c>
      <c r="BL16" s="94">
        <f t="shared" si="0"/>
        <v>0</v>
      </c>
      <c r="BM16" s="94">
        <f t="shared" si="0"/>
        <v>0</v>
      </c>
      <c r="BN16" s="32">
        <f t="shared" si="0"/>
        <v>0</v>
      </c>
      <c r="BO16" s="94">
        <f t="shared" si="0"/>
        <v>0</v>
      </c>
      <c r="BP16" s="94">
        <f t="shared" si="0"/>
        <v>0</v>
      </c>
      <c r="BQ16" s="94">
        <f t="shared" si="0"/>
        <v>0</v>
      </c>
      <c r="BR16" s="94">
        <f t="shared" si="0"/>
        <v>0</v>
      </c>
      <c r="BS16" s="94">
        <f t="shared" si="0"/>
        <v>0</v>
      </c>
      <c r="BT16" s="94">
        <f t="shared" si="0"/>
        <v>0</v>
      </c>
      <c r="BU16" s="94">
        <f t="shared" si="0"/>
        <v>0</v>
      </c>
      <c r="BV16" s="186">
        <f t="shared" ref="BV16:BX16" si="7">SUM(BV12:BV15)</f>
        <v>0</v>
      </c>
      <c r="BW16" s="94">
        <f t="shared" si="7"/>
        <v>168043.62256751209</v>
      </c>
      <c r="BX16" s="95">
        <f t="shared" si="7"/>
        <v>5575.0633692726551</v>
      </c>
    </row>
    <row r="17" spans="1:77" x14ac:dyDescent="0.2">
      <c r="A17" s="14"/>
      <c r="B17" s="88"/>
      <c r="C17" s="29"/>
      <c r="D17" s="12"/>
      <c r="E17" s="12"/>
      <c r="F17" s="12"/>
      <c r="G17" s="12"/>
      <c r="H17" s="12"/>
      <c r="I17" s="86"/>
      <c r="J17" s="29"/>
      <c r="K17" s="86"/>
      <c r="L17" s="29"/>
      <c r="M17" s="12"/>
      <c r="N17" s="12"/>
      <c r="O17" s="12"/>
      <c r="P17" s="12"/>
      <c r="Q17" s="86"/>
      <c r="R17" s="29"/>
      <c r="S17" s="12"/>
      <c r="T17" s="12"/>
      <c r="U17" s="12"/>
      <c r="V17" s="12"/>
      <c r="W17" s="12"/>
      <c r="X17" s="86"/>
      <c r="Y17" s="29"/>
      <c r="Z17" s="12"/>
      <c r="AA17" s="12"/>
      <c r="AB17" s="12"/>
      <c r="AC17" s="86"/>
      <c r="AD17" s="29"/>
      <c r="AE17" s="86"/>
      <c r="AF17" s="29"/>
      <c r="AG17" s="12"/>
      <c r="AH17" s="29"/>
      <c r="AI17" s="12"/>
      <c r="AJ17" s="12"/>
      <c r="AK17" s="86"/>
      <c r="AL17" s="29"/>
      <c r="AM17" s="12"/>
      <c r="AN17" s="12"/>
      <c r="AO17" s="12"/>
      <c r="AP17" s="12"/>
      <c r="AQ17" s="86"/>
      <c r="AR17" s="12"/>
      <c r="AS17" s="29"/>
      <c r="AT17" s="12"/>
      <c r="AU17" s="12"/>
      <c r="AV17" s="12"/>
      <c r="AW17" s="12"/>
      <c r="AX17" s="12"/>
      <c r="AY17" s="29"/>
      <c r="AZ17" s="12"/>
      <c r="BA17" s="12"/>
      <c r="BB17" s="29"/>
      <c r="BC17" s="12"/>
      <c r="BD17" s="12"/>
      <c r="BE17" s="12"/>
      <c r="BF17" s="29"/>
      <c r="BG17" s="12"/>
      <c r="BH17" s="12"/>
      <c r="BI17" s="12"/>
      <c r="BJ17" s="12"/>
      <c r="BK17" s="12"/>
      <c r="BL17" s="12"/>
      <c r="BM17" s="12"/>
      <c r="BN17" s="29"/>
      <c r="BO17" s="12"/>
      <c r="BP17" s="12"/>
      <c r="BQ17" s="12"/>
      <c r="BR17" s="12"/>
      <c r="BS17" s="12"/>
      <c r="BT17" s="12"/>
      <c r="BU17" s="12"/>
      <c r="BV17" s="88"/>
      <c r="BW17" s="12"/>
      <c r="BX17" s="86"/>
      <c r="BY17" s="15"/>
    </row>
    <row r="18" spans="1:77" x14ac:dyDescent="0.2">
      <c r="A18" s="14" t="s">
        <v>55</v>
      </c>
      <c r="B18" s="88"/>
      <c r="C18" s="29"/>
      <c r="D18" s="12"/>
      <c r="E18" s="12"/>
      <c r="F18" s="12"/>
      <c r="G18" s="12"/>
      <c r="H18" s="12"/>
      <c r="I18" s="86"/>
      <c r="J18" s="29"/>
      <c r="K18" s="86"/>
      <c r="L18" s="29"/>
      <c r="M18" s="12"/>
      <c r="N18" s="12"/>
      <c r="O18" s="12"/>
      <c r="P18" s="12"/>
      <c r="Q18" s="86"/>
      <c r="R18" s="29"/>
      <c r="S18" s="12"/>
      <c r="T18" s="12"/>
      <c r="U18" s="12"/>
      <c r="V18" s="12"/>
      <c r="W18" s="12"/>
      <c r="X18" s="86"/>
      <c r="Y18" s="29"/>
      <c r="Z18" s="12"/>
      <c r="AA18" s="12"/>
      <c r="AB18" s="12"/>
      <c r="AC18" s="86"/>
      <c r="AD18" s="29"/>
      <c r="AE18" s="86"/>
      <c r="AF18" s="29"/>
      <c r="AG18" s="12"/>
      <c r="AH18" s="29"/>
      <c r="AI18" s="12"/>
      <c r="AJ18" s="12"/>
      <c r="AK18" s="86"/>
      <c r="AL18" s="29"/>
      <c r="AM18" s="12"/>
      <c r="AN18" s="12"/>
      <c r="AO18" s="12"/>
      <c r="AP18" s="12"/>
      <c r="AQ18" s="86"/>
      <c r="AR18" s="12"/>
      <c r="AS18" s="30"/>
      <c r="AT18" s="12"/>
      <c r="AU18" s="12"/>
      <c r="AV18" s="12"/>
      <c r="AW18" s="12"/>
      <c r="AX18" s="12"/>
      <c r="AY18" s="29"/>
      <c r="AZ18" s="12"/>
      <c r="BA18" s="12"/>
      <c r="BB18" s="29"/>
      <c r="BC18" s="12"/>
      <c r="BD18" s="12"/>
      <c r="BE18" s="12"/>
      <c r="BF18" s="29"/>
      <c r="BG18" s="12"/>
      <c r="BH18" s="12"/>
      <c r="BI18" s="12"/>
      <c r="BJ18" s="12"/>
      <c r="BK18" s="12"/>
      <c r="BL18" s="12"/>
      <c r="BM18" s="12"/>
      <c r="BN18" s="29"/>
      <c r="BO18" s="12"/>
      <c r="BP18" s="12"/>
      <c r="BQ18" s="12"/>
      <c r="BR18" s="12"/>
      <c r="BS18" s="12"/>
      <c r="BT18" s="12"/>
      <c r="BU18" s="12"/>
      <c r="BV18" s="88"/>
      <c r="BW18" s="12"/>
      <c r="BX18" s="86"/>
      <c r="BY18" s="15"/>
    </row>
    <row r="19" spans="1:77" x14ac:dyDescent="0.2">
      <c r="A19" s="14" t="s">
        <v>56</v>
      </c>
      <c r="B19" s="100">
        <f t="shared" ref="B19:B40" si="8">SUM(C19:BX19)</f>
        <v>10544366.101396032</v>
      </c>
      <c r="C19" s="31"/>
      <c r="D19" s="92"/>
      <c r="E19" s="92"/>
      <c r="F19" s="92"/>
      <c r="G19" s="92"/>
      <c r="H19" s="90"/>
      <c r="I19" s="91"/>
      <c r="J19" s="30"/>
      <c r="K19" s="91"/>
      <c r="L19" s="31"/>
      <c r="M19" s="92"/>
      <c r="N19" s="92">
        <f>SUM('[37]Page 4.3'!$I$10:$I$19)</f>
        <v>-126071.80094252861</v>
      </c>
      <c r="O19" s="92"/>
      <c r="P19" s="92"/>
      <c r="Q19" s="93"/>
      <c r="R19" s="30"/>
      <c r="S19" s="90"/>
      <c r="T19" s="90"/>
      <c r="U19" s="90"/>
      <c r="V19" s="90"/>
      <c r="W19" s="90"/>
      <c r="X19" s="91"/>
      <c r="Y19" s="30"/>
      <c r="Z19" s="90"/>
      <c r="AA19" s="90"/>
      <c r="AB19" s="90"/>
      <c r="AC19" s="91"/>
      <c r="AD19" s="31"/>
      <c r="AE19" s="93">
        <f>'[34]Lead Sheet - Pro Forma'!$I$30</f>
        <v>10228653.552479658</v>
      </c>
      <c r="AF19" s="31"/>
      <c r="AG19" s="92"/>
      <c r="AH19" s="31"/>
      <c r="AI19" s="92"/>
      <c r="AJ19" s="92"/>
      <c r="AK19" s="93"/>
      <c r="AL19" s="31"/>
      <c r="AM19" s="92"/>
      <c r="AN19" s="92"/>
      <c r="AO19" s="92"/>
      <c r="AP19" s="92"/>
      <c r="AQ19" s="93"/>
      <c r="AR19" s="92"/>
      <c r="AS19" s="31"/>
      <c r="AT19" s="92"/>
      <c r="AU19" s="92"/>
      <c r="AV19" s="92"/>
      <c r="AW19" s="92"/>
      <c r="AX19" s="92"/>
      <c r="AY19" s="31"/>
      <c r="AZ19" s="92"/>
      <c r="BA19" s="92"/>
      <c r="BB19" s="31"/>
      <c r="BC19" s="90"/>
      <c r="BD19" s="90"/>
      <c r="BE19" s="90"/>
      <c r="BF19" s="30"/>
      <c r="BG19" s="90"/>
      <c r="BH19" s="12"/>
      <c r="BI19" s="90"/>
      <c r="BJ19" s="92"/>
      <c r="BK19" s="92"/>
      <c r="BL19" s="92"/>
      <c r="BM19" s="92"/>
      <c r="BN19" s="31"/>
      <c r="BO19" s="92"/>
      <c r="BP19" s="92"/>
      <c r="BQ19" s="92"/>
      <c r="BR19" s="92"/>
      <c r="BS19" s="92"/>
      <c r="BT19" s="92"/>
      <c r="BU19" s="92"/>
      <c r="BV19" s="299"/>
      <c r="BW19" s="92">
        <f>[14]ContractChange!$I$49</f>
        <v>441784.34985890239</v>
      </c>
      <c r="BX19" s="93"/>
      <c r="BY19" s="15"/>
    </row>
    <row r="20" spans="1:77" x14ac:dyDescent="0.2">
      <c r="A20" s="14" t="s">
        <v>57</v>
      </c>
      <c r="B20" s="100">
        <f t="shared" si="8"/>
        <v>0</v>
      </c>
      <c r="C20" s="31"/>
      <c r="D20" s="92"/>
      <c r="E20" s="92"/>
      <c r="F20" s="92"/>
      <c r="G20" s="92"/>
      <c r="H20" s="90"/>
      <c r="I20" s="91"/>
      <c r="J20" s="30"/>
      <c r="K20" s="91"/>
      <c r="L20" s="31"/>
      <c r="M20" s="92"/>
      <c r="N20" s="92"/>
      <c r="O20" s="92"/>
      <c r="P20" s="92"/>
      <c r="Q20" s="93"/>
      <c r="R20" s="30"/>
      <c r="S20" s="90"/>
      <c r="T20" s="90"/>
      <c r="U20" s="90"/>
      <c r="V20" s="90"/>
      <c r="W20" s="90"/>
      <c r="X20" s="91"/>
      <c r="Y20" s="30"/>
      <c r="Z20" s="90"/>
      <c r="AA20" s="90"/>
      <c r="AB20" s="90"/>
      <c r="AC20" s="91"/>
      <c r="AD20" s="31"/>
      <c r="AE20" s="93"/>
      <c r="AF20" s="31"/>
      <c r="AG20" s="92"/>
      <c r="AH20" s="31"/>
      <c r="AI20" s="92"/>
      <c r="AJ20" s="92"/>
      <c r="AK20" s="93"/>
      <c r="AL20" s="31"/>
      <c r="AM20" s="92"/>
      <c r="AN20" s="92"/>
      <c r="AO20" s="92"/>
      <c r="AP20" s="92"/>
      <c r="AQ20" s="93"/>
      <c r="AR20" s="92"/>
      <c r="AS20" s="31"/>
      <c r="AT20" s="92"/>
      <c r="AU20" s="92"/>
      <c r="AV20" s="92"/>
      <c r="AW20" s="92"/>
      <c r="AX20" s="92"/>
      <c r="AY20" s="31"/>
      <c r="AZ20" s="92"/>
      <c r="BA20" s="92"/>
      <c r="BB20" s="31"/>
      <c r="BC20" s="90"/>
      <c r="BD20" s="90"/>
      <c r="BE20" s="90"/>
      <c r="BF20" s="30"/>
      <c r="BG20" s="90"/>
      <c r="BH20" s="12"/>
      <c r="BI20" s="90"/>
      <c r="BJ20" s="92"/>
      <c r="BK20" s="92"/>
      <c r="BL20" s="92"/>
      <c r="BM20" s="92"/>
      <c r="BN20" s="31"/>
      <c r="BO20" s="92"/>
      <c r="BP20" s="92"/>
      <c r="BQ20" s="92"/>
      <c r="BR20" s="92"/>
      <c r="BS20" s="92"/>
      <c r="BT20" s="92"/>
      <c r="BU20" s="92"/>
      <c r="BV20" s="299"/>
      <c r="BW20" s="92"/>
      <c r="BX20" s="93"/>
      <c r="BY20" s="15"/>
    </row>
    <row r="21" spans="1:77" x14ac:dyDescent="0.2">
      <c r="A21" s="14" t="s">
        <v>58</v>
      </c>
      <c r="B21" s="100">
        <f t="shared" si="8"/>
        <v>-58308.795913521913</v>
      </c>
      <c r="C21" s="31"/>
      <c r="D21" s="92"/>
      <c r="E21" s="92"/>
      <c r="F21" s="92"/>
      <c r="G21" s="92"/>
      <c r="H21" s="90"/>
      <c r="I21" s="91"/>
      <c r="J21" s="30"/>
      <c r="K21" s="91"/>
      <c r="L21" s="31"/>
      <c r="M21" s="92"/>
      <c r="N21" s="92">
        <f>SUM('[37]Page 4.3'!$I$20:$I$23)</f>
        <v>-58308.795913521913</v>
      </c>
      <c r="O21" s="92"/>
      <c r="P21" s="92"/>
      <c r="Q21" s="93"/>
      <c r="R21" s="39"/>
      <c r="X21" s="309"/>
      <c r="Y21" s="39"/>
      <c r="AC21" s="309"/>
      <c r="AD21" s="31"/>
      <c r="AE21" s="93"/>
      <c r="AF21" s="31"/>
      <c r="AG21" s="92"/>
      <c r="AH21" s="31"/>
      <c r="AI21" s="92"/>
      <c r="AJ21" s="92"/>
      <c r="AK21" s="93"/>
      <c r="AL21" s="31"/>
      <c r="AM21" s="92"/>
      <c r="AN21" s="92"/>
      <c r="AO21" s="92"/>
      <c r="AP21" s="92"/>
      <c r="AQ21" s="93"/>
      <c r="AR21" s="92"/>
      <c r="AS21" s="31"/>
      <c r="AT21" s="92"/>
      <c r="AU21" s="92"/>
      <c r="AV21" s="92"/>
      <c r="AW21" s="92"/>
      <c r="AX21" s="92"/>
      <c r="AY21" s="31"/>
      <c r="AZ21" s="92"/>
      <c r="BA21" s="92"/>
      <c r="BB21" s="31"/>
      <c r="BC21" s="90"/>
      <c r="BD21" s="90"/>
      <c r="BE21" s="90"/>
      <c r="BF21" s="30"/>
      <c r="BG21" s="90"/>
      <c r="BH21" s="12"/>
      <c r="BI21" s="90"/>
      <c r="BJ21" s="92"/>
      <c r="BK21" s="92"/>
      <c r="BL21" s="92"/>
      <c r="BM21" s="92"/>
      <c r="BN21" s="31"/>
      <c r="BO21" s="92"/>
      <c r="BP21" s="92"/>
      <c r="BQ21" s="92"/>
      <c r="BR21" s="92"/>
      <c r="BS21" s="92"/>
      <c r="BT21" s="92"/>
      <c r="BU21" s="92"/>
      <c r="BV21" s="299"/>
      <c r="BW21" s="92"/>
      <c r="BX21" s="93"/>
      <c r="BY21" s="15"/>
    </row>
    <row r="22" spans="1:77" x14ac:dyDescent="0.2">
      <c r="A22" s="14" t="s">
        <v>59</v>
      </c>
      <c r="B22" s="100">
        <f t="shared" si="8"/>
        <v>-54135459.210119531</v>
      </c>
      <c r="C22" s="31"/>
      <c r="D22" s="92"/>
      <c r="E22" s="92"/>
      <c r="F22" s="92"/>
      <c r="G22" s="92"/>
      <c r="H22" s="90"/>
      <c r="I22" s="91"/>
      <c r="J22" s="30"/>
      <c r="K22" s="91"/>
      <c r="L22" s="31"/>
      <c r="M22" s="92"/>
      <c r="N22" s="92">
        <f>SUM('[37]Page 4.3'!$I$24:$I$33)</f>
        <v>-70353.115519119441</v>
      </c>
      <c r="O22" s="92"/>
      <c r="P22" s="92"/>
      <c r="Q22" s="93"/>
      <c r="R22" s="30"/>
      <c r="S22" s="90"/>
      <c r="T22" s="90"/>
      <c r="U22" s="90"/>
      <c r="V22" s="90"/>
      <c r="W22" s="90"/>
      <c r="X22" s="91"/>
      <c r="Y22" s="30"/>
      <c r="Z22" s="90"/>
      <c r="AA22" s="90"/>
      <c r="AB22" s="90"/>
      <c r="AC22" s="91"/>
      <c r="AD22" s="31"/>
      <c r="AE22" s="93">
        <f>'[34]Lead Sheet - Pro Forma'!$I$21+'[34]Lead Sheet - Pro Forma'!$I$31</f>
        <v>-54573974.500770301</v>
      </c>
      <c r="AF22" s="31"/>
      <c r="AG22" s="92"/>
      <c r="AH22" s="31"/>
      <c r="AI22" s="92"/>
      <c r="AJ22" s="92"/>
      <c r="AK22" s="93"/>
      <c r="AL22" s="31"/>
      <c r="AM22" s="92"/>
      <c r="AN22" s="92"/>
      <c r="AO22" s="92"/>
      <c r="AP22" s="92"/>
      <c r="AQ22" s="93"/>
      <c r="AR22" s="92"/>
      <c r="AS22" s="31"/>
      <c r="AT22" s="92"/>
      <c r="AU22" s="92"/>
      <c r="AV22" s="92"/>
      <c r="AW22" s="92"/>
      <c r="AX22" s="92"/>
      <c r="AY22" s="31"/>
      <c r="AZ22" s="92"/>
      <c r="BA22" s="92"/>
      <c r="BB22" s="31"/>
      <c r="BC22" s="90"/>
      <c r="BD22" s="90"/>
      <c r="BE22" s="90"/>
      <c r="BF22" s="30"/>
      <c r="BG22" s="90"/>
      <c r="BH22" s="12"/>
      <c r="BI22" s="90"/>
      <c r="BJ22" s="92"/>
      <c r="BK22" s="92"/>
      <c r="BL22" s="92"/>
      <c r="BM22" s="92"/>
      <c r="BN22" s="31"/>
      <c r="BO22" s="92"/>
      <c r="BP22" s="92"/>
      <c r="BQ22" s="92"/>
      <c r="BR22" s="92"/>
      <c r="BS22" s="92"/>
      <c r="BT22" s="92"/>
      <c r="BU22" s="92"/>
      <c r="BV22" s="299"/>
      <c r="BW22" s="92">
        <f>SUM([14]ContractChange!$I$45:$I$47,[14]ContractChange!$I$50)</f>
        <v>508868.4061698888</v>
      </c>
      <c r="BX22" s="93"/>
      <c r="BY22" s="15"/>
    </row>
    <row r="23" spans="1:77" x14ac:dyDescent="0.2">
      <c r="A23" s="14" t="s">
        <v>60</v>
      </c>
      <c r="B23" s="100">
        <f t="shared" si="8"/>
        <v>3360508.3664367702</v>
      </c>
      <c r="C23" s="31"/>
      <c r="D23" s="92"/>
      <c r="E23" s="92"/>
      <c r="F23" s="92"/>
      <c r="G23" s="92"/>
      <c r="H23" s="90"/>
      <c r="I23" s="91"/>
      <c r="J23" s="30"/>
      <c r="K23" s="91"/>
      <c r="L23" s="31"/>
      <c r="M23" s="92"/>
      <c r="N23" s="92">
        <f>SUM('[37]Page 4.3'!$I$34:$I$41)</f>
        <v>-36344.178439036783</v>
      </c>
      <c r="O23" s="92"/>
      <c r="P23" s="92"/>
      <c r="Q23" s="93"/>
      <c r="R23" s="30"/>
      <c r="S23" s="90"/>
      <c r="T23" s="90"/>
      <c r="U23" s="90"/>
      <c r="V23" s="90"/>
      <c r="W23" s="90"/>
      <c r="X23" s="91"/>
      <c r="Y23" s="30"/>
      <c r="Z23" s="90"/>
      <c r="AA23" s="90"/>
      <c r="AB23" s="90"/>
      <c r="AC23" s="91"/>
      <c r="AD23" s="31"/>
      <c r="AE23" s="93">
        <f>'[34]Lead Sheet - Pro Forma'!$I$27</f>
        <v>3202485.3886923781</v>
      </c>
      <c r="AF23" s="31"/>
      <c r="AG23" s="92"/>
      <c r="AH23" s="31"/>
      <c r="AI23" s="92"/>
      <c r="AJ23" s="92"/>
      <c r="AK23" s="93"/>
      <c r="AL23" s="31"/>
      <c r="AM23" s="92"/>
      <c r="AN23" s="92"/>
      <c r="AO23" s="92"/>
      <c r="AP23" s="92"/>
      <c r="AQ23" s="93"/>
      <c r="AR23" s="92"/>
      <c r="AS23" s="31"/>
      <c r="AT23" s="92"/>
      <c r="AU23" s="92"/>
      <c r="AV23" s="92"/>
      <c r="AW23" s="92"/>
      <c r="AX23" s="92"/>
      <c r="AY23" s="31"/>
      <c r="AZ23" s="92"/>
      <c r="BA23" s="92"/>
      <c r="BB23" s="31"/>
      <c r="BC23" s="90"/>
      <c r="BD23" s="90"/>
      <c r="BE23" s="90"/>
      <c r="BF23" s="30"/>
      <c r="BG23" s="90"/>
      <c r="BH23" s="12"/>
      <c r="BI23" s="90"/>
      <c r="BJ23" s="92"/>
      <c r="BK23" s="92"/>
      <c r="BL23" s="92"/>
      <c r="BM23" s="92"/>
      <c r="BN23" s="31"/>
      <c r="BO23" s="92"/>
      <c r="BP23" s="92"/>
      <c r="BQ23" s="92"/>
      <c r="BR23" s="92"/>
      <c r="BS23" s="92"/>
      <c r="BT23" s="92"/>
      <c r="BU23" s="92"/>
      <c r="BV23" s="299"/>
      <c r="BW23" s="92">
        <f>[14]ContractChange!$I$48</f>
        <v>194367.15618342906</v>
      </c>
      <c r="BX23" s="93"/>
      <c r="BY23" s="15"/>
    </row>
    <row r="24" spans="1:77" x14ac:dyDescent="0.2">
      <c r="A24" s="14" t="s">
        <v>61</v>
      </c>
      <c r="B24" s="100">
        <f t="shared" si="8"/>
        <v>-144589.8911580951</v>
      </c>
      <c r="C24" s="31"/>
      <c r="D24" s="92"/>
      <c r="E24" s="92"/>
      <c r="F24" s="92"/>
      <c r="G24" s="92"/>
      <c r="H24" s="90"/>
      <c r="I24" s="91"/>
      <c r="J24" s="30"/>
      <c r="K24" s="91"/>
      <c r="L24" s="31"/>
      <c r="M24" s="92"/>
      <c r="N24" s="92">
        <f>SUM('[37]Page 4.3'!$I$42:$I$46)</f>
        <v>-144589.8911580951</v>
      </c>
      <c r="O24" s="92"/>
      <c r="P24" s="92"/>
      <c r="Q24" s="93"/>
      <c r="R24" s="30"/>
      <c r="S24" s="90"/>
      <c r="T24" s="90"/>
      <c r="U24" s="90"/>
      <c r="V24" s="90"/>
      <c r="W24" s="90"/>
      <c r="X24" s="91"/>
      <c r="Y24" s="30"/>
      <c r="Z24" s="90"/>
      <c r="AA24" s="90"/>
      <c r="AB24" s="90"/>
      <c r="AC24" s="91"/>
      <c r="AD24" s="31"/>
      <c r="AE24" s="93"/>
      <c r="AF24" s="31"/>
      <c r="AG24" s="92"/>
      <c r="AH24" s="31"/>
      <c r="AI24" s="92"/>
      <c r="AJ24" s="92"/>
      <c r="AK24" s="93"/>
      <c r="AL24" s="31"/>
      <c r="AM24" s="92"/>
      <c r="AN24" s="92"/>
      <c r="AO24" s="92"/>
      <c r="AP24" s="92"/>
      <c r="AQ24" s="93"/>
      <c r="AR24" s="92"/>
      <c r="AS24" s="31"/>
      <c r="AT24" s="92"/>
      <c r="AU24" s="92"/>
      <c r="AV24" s="92"/>
      <c r="AW24" s="92"/>
      <c r="AX24" s="92"/>
      <c r="AY24" s="31"/>
      <c r="AZ24" s="92"/>
      <c r="BA24" s="92"/>
      <c r="BB24" s="31"/>
      <c r="BC24" s="90"/>
      <c r="BD24" s="90"/>
      <c r="BE24" s="90"/>
      <c r="BF24" s="30"/>
      <c r="BG24" s="90"/>
      <c r="BH24" s="12"/>
      <c r="BI24" s="90"/>
      <c r="BJ24" s="92"/>
      <c r="BK24" s="92"/>
      <c r="BL24" s="92"/>
      <c r="BM24" s="92"/>
      <c r="BN24" s="31"/>
      <c r="BO24" s="92"/>
      <c r="BP24" s="92"/>
      <c r="BQ24" s="92"/>
      <c r="BR24" s="92"/>
      <c r="BS24" s="92"/>
      <c r="BT24" s="92"/>
      <c r="BU24" s="92"/>
      <c r="BV24" s="299"/>
      <c r="BW24" s="92"/>
      <c r="BX24" s="93"/>
      <c r="BY24" s="15"/>
    </row>
    <row r="25" spans="1:77" x14ac:dyDescent="0.2">
      <c r="A25" s="14" t="s">
        <v>62</v>
      </c>
      <c r="B25" s="100">
        <f t="shared" si="8"/>
        <v>-78277.368777593787</v>
      </c>
      <c r="C25" s="31"/>
      <c r="D25" s="92"/>
      <c r="E25" s="92"/>
      <c r="F25" s="92"/>
      <c r="G25" s="92"/>
      <c r="H25" s="90"/>
      <c r="I25" s="91"/>
      <c r="J25" s="30"/>
      <c r="K25" s="91"/>
      <c r="L25" s="31"/>
      <c r="M25" s="92"/>
      <c r="N25" s="92">
        <f>SUM('[37]Page 4.3'!$I$47:$I$48)</f>
        <v>-78277.368777593787</v>
      </c>
      <c r="O25" s="92"/>
      <c r="P25" s="92"/>
      <c r="Q25" s="93"/>
      <c r="R25" s="30"/>
      <c r="S25" s="90"/>
      <c r="T25" s="90"/>
      <c r="U25" s="90"/>
      <c r="V25" s="90"/>
      <c r="W25" s="90"/>
      <c r="X25" s="91">
        <f>'[38]Page 4.12'!$I$10</f>
        <v>0</v>
      </c>
      <c r="Y25" s="30"/>
      <c r="Z25" s="90"/>
      <c r="AA25" s="90"/>
      <c r="AB25" s="90"/>
      <c r="AC25" s="91"/>
      <c r="AD25" s="31"/>
      <c r="AE25" s="93"/>
      <c r="AF25" s="31"/>
      <c r="AG25" s="92"/>
      <c r="AH25" s="31"/>
      <c r="AI25" s="92"/>
      <c r="AJ25" s="92"/>
      <c r="AK25" s="93"/>
      <c r="AL25" s="31"/>
      <c r="AM25" s="92"/>
      <c r="AN25" s="92"/>
      <c r="AO25" s="92"/>
      <c r="AP25" s="92"/>
      <c r="AQ25" s="93"/>
      <c r="AR25" s="92"/>
      <c r="AS25" s="31"/>
      <c r="AT25" s="92"/>
      <c r="AU25" s="92"/>
      <c r="AV25" s="92"/>
      <c r="AW25" s="92"/>
      <c r="AX25" s="92"/>
      <c r="AY25" s="31"/>
      <c r="AZ25" s="92"/>
      <c r="BA25" s="92"/>
      <c r="BB25" s="31"/>
      <c r="BC25" s="90"/>
      <c r="BD25" s="90"/>
      <c r="BE25" s="90"/>
      <c r="BF25" s="30"/>
      <c r="BG25" s="90"/>
      <c r="BH25" s="12"/>
      <c r="BI25" s="90"/>
      <c r="BJ25" s="92"/>
      <c r="BK25" s="92"/>
      <c r="BL25" s="92"/>
      <c r="BM25" s="92"/>
      <c r="BN25" s="31"/>
      <c r="BO25" s="92"/>
      <c r="BP25" s="92"/>
      <c r="BQ25" s="92"/>
      <c r="BR25" s="92"/>
      <c r="BS25" s="92"/>
      <c r="BT25" s="92"/>
      <c r="BU25" s="92"/>
      <c r="BV25" s="299"/>
      <c r="BW25" s="92"/>
      <c r="BX25" s="93"/>
      <c r="BY25" s="15"/>
    </row>
    <row r="26" spans="1:77" x14ac:dyDescent="0.2">
      <c r="A26" s="14" t="s">
        <v>63</v>
      </c>
      <c r="B26" s="100">
        <f t="shared" si="8"/>
        <v>-12011.355707270053</v>
      </c>
      <c r="C26" s="31"/>
      <c r="D26" s="92"/>
      <c r="E26" s="92"/>
      <c r="F26" s="92"/>
      <c r="G26" s="92"/>
      <c r="H26" s="90"/>
      <c r="I26" s="91"/>
      <c r="J26" s="30"/>
      <c r="K26" s="91"/>
      <c r="L26" s="31"/>
      <c r="M26" s="92"/>
      <c r="N26" s="92">
        <f>SUM('[37]Page 4.3'!$I$49:$I$51)</f>
        <v>-12011.355707270053</v>
      </c>
      <c r="O26" s="92"/>
      <c r="P26" s="92"/>
      <c r="Q26" s="93"/>
      <c r="R26" s="30"/>
      <c r="S26" s="90"/>
      <c r="T26" s="90"/>
      <c r="U26" s="90"/>
      <c r="V26" s="90"/>
      <c r="W26" s="90"/>
      <c r="X26" s="91"/>
      <c r="Y26" s="30"/>
      <c r="Z26" s="90"/>
      <c r="AA26" s="90"/>
      <c r="AB26" s="90"/>
      <c r="AC26" s="91"/>
      <c r="AD26" s="31"/>
      <c r="AE26" s="93"/>
      <c r="AF26" s="31"/>
      <c r="AG26" s="92"/>
      <c r="AH26" s="31"/>
      <c r="AI26" s="92"/>
      <c r="AJ26" s="92"/>
      <c r="AK26" s="93"/>
      <c r="AL26" s="31"/>
      <c r="AM26" s="92"/>
      <c r="AN26" s="92"/>
      <c r="AO26" s="92"/>
      <c r="AP26" s="92"/>
      <c r="AQ26" s="93"/>
      <c r="AR26" s="92"/>
      <c r="AS26" s="31"/>
      <c r="AT26" s="92"/>
      <c r="AU26" s="92"/>
      <c r="AV26" s="92"/>
      <c r="AW26" s="92"/>
      <c r="AX26" s="92"/>
      <c r="AY26" s="31"/>
      <c r="AZ26" s="92"/>
      <c r="BA26" s="92"/>
      <c r="BB26" s="31"/>
      <c r="BC26" s="90"/>
      <c r="BD26" s="90"/>
      <c r="BE26" s="90"/>
      <c r="BF26" s="30"/>
      <c r="BG26" s="90"/>
      <c r="BH26" s="12"/>
      <c r="BI26" s="90"/>
      <c r="BJ26" s="92"/>
      <c r="BK26" s="92"/>
      <c r="BL26" s="92"/>
      <c r="BM26" s="92"/>
      <c r="BN26" s="31"/>
      <c r="BO26" s="92"/>
      <c r="BP26" s="92"/>
      <c r="BQ26" s="92"/>
      <c r="BR26" s="92"/>
      <c r="BS26" s="92"/>
      <c r="BT26" s="92"/>
      <c r="BU26" s="92"/>
      <c r="BV26" s="299"/>
      <c r="BW26" s="92"/>
      <c r="BX26" s="93"/>
      <c r="BY26" s="15"/>
    </row>
    <row r="27" spans="1:77" x14ac:dyDescent="0.2">
      <c r="A27" s="14" t="s">
        <v>64</v>
      </c>
      <c r="B27" s="100">
        <f t="shared" si="8"/>
        <v>0</v>
      </c>
      <c r="C27" s="31"/>
      <c r="D27" s="92"/>
      <c r="E27" s="92"/>
      <c r="F27" s="92"/>
      <c r="G27" s="92"/>
      <c r="H27" s="90"/>
      <c r="I27" s="91"/>
      <c r="J27" s="30"/>
      <c r="K27" s="91"/>
      <c r="L27" s="31"/>
      <c r="M27" s="92"/>
      <c r="N27" s="92"/>
      <c r="O27" s="92"/>
      <c r="P27" s="92"/>
      <c r="Q27" s="93"/>
      <c r="R27" s="30"/>
      <c r="S27" s="90"/>
      <c r="T27" s="90"/>
      <c r="U27" s="90"/>
      <c r="V27" s="90"/>
      <c r="W27" s="90"/>
      <c r="X27" s="91"/>
      <c r="Y27" s="30"/>
      <c r="Z27" s="90"/>
      <c r="AA27" s="90"/>
      <c r="AB27" s="90"/>
      <c r="AC27" s="91"/>
      <c r="AD27" s="31"/>
      <c r="AE27" s="93"/>
      <c r="AF27" s="31"/>
      <c r="AG27" s="92"/>
      <c r="AH27" s="31"/>
      <c r="AI27" s="92"/>
      <c r="AJ27" s="92"/>
      <c r="AK27" s="93"/>
      <c r="AL27" s="31"/>
      <c r="AM27" s="92"/>
      <c r="AN27" s="92"/>
      <c r="AO27" s="92"/>
      <c r="AP27" s="92"/>
      <c r="AQ27" s="93"/>
      <c r="AR27" s="92"/>
      <c r="AS27" s="31"/>
      <c r="AT27" s="92"/>
      <c r="AU27" s="92"/>
      <c r="AV27" s="92"/>
      <c r="AW27" s="92"/>
      <c r="AX27" s="92"/>
      <c r="AY27" s="31"/>
      <c r="AZ27" s="92"/>
      <c r="BA27" s="92"/>
      <c r="BB27" s="31"/>
      <c r="BC27" s="90"/>
      <c r="BD27" s="90"/>
      <c r="BE27" s="90"/>
      <c r="BF27" s="30"/>
      <c r="BG27" s="90"/>
      <c r="BH27" s="12"/>
      <c r="BI27" s="90"/>
      <c r="BJ27" s="92"/>
      <c r="BK27" s="92"/>
      <c r="BL27" s="92"/>
      <c r="BM27" s="92"/>
      <c r="BN27" s="31"/>
      <c r="BO27" s="92"/>
      <c r="BP27" s="92"/>
      <c r="BQ27" s="92"/>
      <c r="BR27" s="92"/>
      <c r="BS27" s="92"/>
      <c r="BT27" s="92"/>
      <c r="BU27" s="92"/>
      <c r="BV27" s="299"/>
      <c r="BW27" s="92"/>
      <c r="BX27" s="93"/>
      <c r="BY27" s="15"/>
    </row>
    <row r="28" spans="1:77" x14ac:dyDescent="0.2">
      <c r="A28" s="14" t="s">
        <v>65</v>
      </c>
      <c r="B28" s="100">
        <f t="shared" si="8"/>
        <v>-140950.66735937251</v>
      </c>
      <c r="C28" s="33"/>
      <c r="D28" s="96"/>
      <c r="E28" s="96"/>
      <c r="F28" s="96"/>
      <c r="G28" s="96"/>
      <c r="H28" s="97"/>
      <c r="I28" s="109"/>
      <c r="J28" s="108"/>
      <c r="K28" s="109"/>
      <c r="L28" s="33"/>
      <c r="M28" s="96"/>
      <c r="N28" s="96">
        <f>SUM('[37]Page 4.3'!$I$52:$I$55)</f>
        <v>-162686.28305115245</v>
      </c>
      <c r="O28" s="96"/>
      <c r="P28" s="96"/>
      <c r="Q28" s="98"/>
      <c r="R28" s="33">
        <f>[14]OM!$I$391+[14]OM!$I$392</f>
        <v>21735.615691779938</v>
      </c>
      <c r="S28" s="96"/>
      <c r="T28" s="96"/>
      <c r="U28" s="96"/>
      <c r="V28" s="96"/>
      <c r="W28" s="96"/>
      <c r="X28" s="98"/>
      <c r="Y28" s="33"/>
      <c r="Z28" s="96"/>
      <c r="AA28" s="96"/>
      <c r="AB28" s="96"/>
      <c r="AC28" s="98"/>
      <c r="AD28" s="33"/>
      <c r="AE28" s="98"/>
      <c r="AF28" s="33"/>
      <c r="AG28" s="96"/>
      <c r="AH28" s="33"/>
      <c r="AI28" s="96"/>
      <c r="AJ28" s="96"/>
      <c r="AK28" s="98"/>
      <c r="AL28" s="33"/>
      <c r="AM28" s="96"/>
      <c r="AN28" s="96"/>
      <c r="AO28" s="96"/>
      <c r="AP28" s="96"/>
      <c r="AQ28" s="98"/>
      <c r="AR28" s="96"/>
      <c r="AS28" s="33"/>
      <c r="AT28" s="96"/>
      <c r="AU28" s="96"/>
      <c r="AV28" s="96"/>
      <c r="AW28" s="96"/>
      <c r="AX28" s="96"/>
      <c r="AY28" s="33"/>
      <c r="AZ28" s="96"/>
      <c r="BA28" s="96"/>
      <c r="BB28" s="33"/>
      <c r="BC28" s="96"/>
      <c r="BD28" s="96"/>
      <c r="BE28" s="96"/>
      <c r="BF28" s="33"/>
      <c r="BG28" s="96"/>
      <c r="BH28" s="99"/>
      <c r="BI28" s="97"/>
      <c r="BJ28" s="96"/>
      <c r="BK28" s="96"/>
      <c r="BL28" s="96"/>
      <c r="BM28" s="96"/>
      <c r="BN28" s="33"/>
      <c r="BO28" s="96"/>
      <c r="BP28" s="96"/>
      <c r="BQ28" s="96"/>
      <c r="BR28" s="96"/>
      <c r="BS28" s="96"/>
      <c r="BT28" s="96"/>
      <c r="BU28" s="96"/>
      <c r="BV28" s="300"/>
      <c r="BW28" s="96"/>
      <c r="BX28" s="98"/>
      <c r="BY28" s="15"/>
    </row>
    <row r="29" spans="1:77" x14ac:dyDescent="0.2">
      <c r="A29" s="14" t="s">
        <v>66</v>
      </c>
      <c r="B29" s="187">
        <f t="shared" si="8"/>
        <v>-40664722.821202584</v>
      </c>
      <c r="C29" s="29">
        <f>SUM(C19:C28)</f>
        <v>0</v>
      </c>
      <c r="D29" s="12">
        <f t="shared" ref="D29:BU29" si="9">SUM(D19:D28)</f>
        <v>0</v>
      </c>
      <c r="E29" s="12">
        <f t="shared" si="9"/>
        <v>0</v>
      </c>
      <c r="F29" s="12">
        <f t="shared" si="9"/>
        <v>0</v>
      </c>
      <c r="G29" s="12">
        <f t="shared" si="9"/>
        <v>0</v>
      </c>
      <c r="H29" s="12">
        <f t="shared" si="9"/>
        <v>0</v>
      </c>
      <c r="I29" s="86">
        <f t="shared" si="9"/>
        <v>0</v>
      </c>
      <c r="J29" s="29">
        <f t="shared" ref="J29:K29" si="10">SUM(J19:J28)</f>
        <v>0</v>
      </c>
      <c r="K29" s="86">
        <f t="shared" si="10"/>
        <v>0</v>
      </c>
      <c r="L29" s="29">
        <f>SUM(L19:L28)</f>
        <v>0</v>
      </c>
      <c r="M29" s="12">
        <f t="shared" si="9"/>
        <v>0</v>
      </c>
      <c r="N29" s="12">
        <f t="shared" si="9"/>
        <v>-688642.78950831818</v>
      </c>
      <c r="O29" s="12">
        <f t="shared" si="9"/>
        <v>0</v>
      </c>
      <c r="P29" s="12">
        <f t="shared" si="9"/>
        <v>0</v>
      </c>
      <c r="Q29" s="86">
        <f t="shared" si="9"/>
        <v>0</v>
      </c>
      <c r="R29" s="29">
        <f t="shared" si="9"/>
        <v>21735.615691779938</v>
      </c>
      <c r="S29" s="12">
        <f t="shared" si="9"/>
        <v>0</v>
      </c>
      <c r="T29" s="12">
        <f t="shared" si="9"/>
        <v>0</v>
      </c>
      <c r="U29" s="12">
        <f t="shared" si="9"/>
        <v>0</v>
      </c>
      <c r="V29" s="12">
        <f t="shared" si="9"/>
        <v>0</v>
      </c>
      <c r="W29" s="12">
        <f t="shared" si="9"/>
        <v>0</v>
      </c>
      <c r="X29" s="86">
        <f t="shared" si="9"/>
        <v>0</v>
      </c>
      <c r="Y29" s="29">
        <f t="shared" ref="Y29:AB29" si="11">SUM(Y19:Y28)</f>
        <v>0</v>
      </c>
      <c r="Z29" s="12">
        <f t="shared" si="11"/>
        <v>0</v>
      </c>
      <c r="AA29" s="12">
        <f t="shared" si="11"/>
        <v>0</v>
      </c>
      <c r="AB29" s="12">
        <f t="shared" si="11"/>
        <v>0</v>
      </c>
      <c r="AC29" s="86">
        <f t="shared" ref="AC29" si="12">SUM(AC19:AC28)</f>
        <v>0</v>
      </c>
      <c r="AD29" s="29">
        <f t="shared" si="9"/>
        <v>0</v>
      </c>
      <c r="AE29" s="86">
        <f t="shared" si="9"/>
        <v>-41142835.559598267</v>
      </c>
      <c r="AF29" s="29">
        <f t="shared" si="9"/>
        <v>0</v>
      </c>
      <c r="AG29" s="12">
        <f t="shared" si="9"/>
        <v>0</v>
      </c>
      <c r="AH29" s="29">
        <f t="shared" si="9"/>
        <v>0</v>
      </c>
      <c r="AI29" s="12">
        <f t="shared" si="9"/>
        <v>0</v>
      </c>
      <c r="AJ29" s="12">
        <f t="shared" si="9"/>
        <v>0</v>
      </c>
      <c r="AK29" s="86">
        <f t="shared" si="9"/>
        <v>0</v>
      </c>
      <c r="AL29" s="29">
        <f t="shared" si="9"/>
        <v>0</v>
      </c>
      <c r="AM29" s="12">
        <f t="shared" ref="AM29:AP29" si="13">SUM(AM19:AM28)</f>
        <v>0</v>
      </c>
      <c r="AN29" s="12">
        <f t="shared" si="13"/>
        <v>0</v>
      </c>
      <c r="AO29" s="12">
        <f t="shared" si="13"/>
        <v>0</v>
      </c>
      <c r="AP29" s="12">
        <f t="shared" si="13"/>
        <v>0</v>
      </c>
      <c r="AQ29" s="86">
        <f t="shared" ref="AQ29:AR29" si="14">SUM(AQ19:AQ28)</f>
        <v>0</v>
      </c>
      <c r="AR29" s="12">
        <f t="shared" si="14"/>
        <v>0</v>
      </c>
      <c r="AS29" s="29">
        <f t="shared" si="9"/>
        <v>0</v>
      </c>
      <c r="AT29" s="12">
        <f t="shared" si="9"/>
        <v>0</v>
      </c>
      <c r="AU29" s="12">
        <f t="shared" si="9"/>
        <v>0</v>
      </c>
      <c r="AV29" s="12">
        <f t="shared" si="9"/>
        <v>0</v>
      </c>
      <c r="AW29" s="12">
        <f t="shared" si="9"/>
        <v>0</v>
      </c>
      <c r="AX29" s="12">
        <f t="shared" si="9"/>
        <v>0</v>
      </c>
      <c r="AY29" s="29">
        <f t="shared" si="9"/>
        <v>0</v>
      </c>
      <c r="AZ29" s="12">
        <f t="shared" si="9"/>
        <v>0</v>
      </c>
      <c r="BA29" s="12">
        <f t="shared" si="9"/>
        <v>0</v>
      </c>
      <c r="BB29" s="29">
        <f t="shared" si="9"/>
        <v>0</v>
      </c>
      <c r="BC29" s="12">
        <f t="shared" si="9"/>
        <v>0</v>
      </c>
      <c r="BD29" s="12">
        <f t="shared" si="9"/>
        <v>0</v>
      </c>
      <c r="BE29" s="12">
        <f t="shared" si="9"/>
        <v>0</v>
      </c>
      <c r="BF29" s="29">
        <f t="shared" ref="BF29" si="15">SUM(BF19:BF28)</f>
        <v>0</v>
      </c>
      <c r="BG29" s="12">
        <f t="shared" si="9"/>
        <v>0</v>
      </c>
      <c r="BH29" s="12">
        <f t="shared" si="9"/>
        <v>0</v>
      </c>
      <c r="BI29" s="12">
        <f t="shared" si="9"/>
        <v>0</v>
      </c>
      <c r="BJ29" s="12">
        <f t="shared" si="9"/>
        <v>0</v>
      </c>
      <c r="BK29" s="12">
        <f t="shared" si="9"/>
        <v>0</v>
      </c>
      <c r="BL29" s="12">
        <f t="shared" si="9"/>
        <v>0</v>
      </c>
      <c r="BM29" s="12">
        <f t="shared" si="9"/>
        <v>0</v>
      </c>
      <c r="BN29" s="29">
        <f t="shared" si="9"/>
        <v>0</v>
      </c>
      <c r="BO29" s="12">
        <f t="shared" si="9"/>
        <v>0</v>
      </c>
      <c r="BP29" s="12">
        <f t="shared" si="9"/>
        <v>0</v>
      </c>
      <c r="BQ29" s="12">
        <f t="shared" si="9"/>
        <v>0</v>
      </c>
      <c r="BR29" s="12">
        <f t="shared" si="9"/>
        <v>0</v>
      </c>
      <c r="BS29" s="12">
        <f t="shared" si="9"/>
        <v>0</v>
      </c>
      <c r="BT29" s="12">
        <f t="shared" si="9"/>
        <v>0</v>
      </c>
      <c r="BU29" s="12">
        <f t="shared" si="9"/>
        <v>0</v>
      </c>
      <c r="BV29" s="88">
        <f t="shared" ref="BV29:BX29" si="16">SUM(BV19:BV28)</f>
        <v>0</v>
      </c>
      <c r="BW29" s="12">
        <f t="shared" si="16"/>
        <v>1145019.9122122203</v>
      </c>
      <c r="BX29" s="86">
        <f t="shared" si="16"/>
        <v>0</v>
      </c>
      <c r="BY29" s="15"/>
    </row>
    <row r="30" spans="1:77" x14ac:dyDescent="0.2">
      <c r="A30" s="14" t="s">
        <v>67</v>
      </c>
      <c r="B30" s="100">
        <f t="shared" si="8"/>
        <v>469966.6203837858</v>
      </c>
      <c r="C30" s="31"/>
      <c r="D30" s="92"/>
      <c r="E30" s="92"/>
      <c r="F30" s="92"/>
      <c r="G30" s="92"/>
      <c r="H30" s="90"/>
      <c r="I30" s="91"/>
      <c r="J30" s="30"/>
      <c r="K30" s="91"/>
      <c r="L30" s="31"/>
      <c r="M30" s="92"/>
      <c r="N30" s="92"/>
      <c r="O30" s="92"/>
      <c r="P30" s="92"/>
      <c r="Q30" s="93"/>
      <c r="R30" s="30"/>
      <c r="S30" s="90"/>
      <c r="T30" s="90"/>
      <c r="U30" s="90"/>
      <c r="V30" s="90"/>
      <c r="W30" s="90"/>
      <c r="X30" s="91"/>
      <c r="Y30" s="30"/>
      <c r="Z30" s="90"/>
      <c r="AA30" s="90"/>
      <c r="AB30" s="90"/>
      <c r="AC30" s="91"/>
      <c r="AD30" s="31"/>
      <c r="AE30" s="93"/>
      <c r="AF30" s="31"/>
      <c r="AG30" s="92"/>
      <c r="AH30" s="29"/>
      <c r="AI30" s="12"/>
      <c r="AJ30" s="12"/>
      <c r="AK30" s="86"/>
      <c r="AL30" s="29"/>
      <c r="AM30" s="12"/>
      <c r="AN30" s="12"/>
      <c r="AO30" s="12"/>
      <c r="AP30" s="12"/>
      <c r="AQ30" s="86"/>
      <c r="AR30" s="12"/>
      <c r="AS30" s="31"/>
      <c r="AT30" s="92"/>
      <c r="AU30" s="92"/>
      <c r="AV30" s="92"/>
      <c r="AW30" s="92"/>
      <c r="AX30" s="92"/>
      <c r="AY30" s="31"/>
      <c r="AZ30" s="92"/>
      <c r="BA30" s="92"/>
      <c r="BB30" s="31"/>
      <c r="BC30" s="90"/>
      <c r="BD30" s="90"/>
      <c r="BE30" s="90">
        <f>[14]RB!$I$352</f>
        <v>466361.64486894885</v>
      </c>
      <c r="BF30" s="30"/>
      <c r="BG30" s="90"/>
      <c r="BH30" s="12"/>
      <c r="BI30" s="90"/>
      <c r="BJ30" s="92"/>
      <c r="BK30" s="92"/>
      <c r="BL30" s="92"/>
      <c r="BM30" s="92"/>
      <c r="BN30" s="31"/>
      <c r="BO30" s="92"/>
      <c r="BP30" s="92"/>
      <c r="BQ30" s="92"/>
      <c r="BR30" s="92"/>
      <c r="BS30" s="92"/>
      <c r="BT30" s="92"/>
      <c r="BU30" s="92"/>
      <c r="BV30" s="299"/>
      <c r="BW30" s="92">
        <f>[14]ContractChange!$I$41</f>
        <v>3604.9755148369586</v>
      </c>
      <c r="BX30" s="93"/>
      <c r="BY30" s="15"/>
    </row>
    <row r="31" spans="1:77" x14ac:dyDescent="0.2">
      <c r="A31" s="14" t="s">
        <v>68</v>
      </c>
      <c r="B31" s="100">
        <f t="shared" si="8"/>
        <v>82361.759263031505</v>
      </c>
      <c r="C31" s="31"/>
      <c r="D31" s="92"/>
      <c r="E31" s="92"/>
      <c r="F31" s="92"/>
      <c r="G31" s="92"/>
      <c r="H31" s="90"/>
      <c r="I31" s="91"/>
      <c r="J31" s="30"/>
      <c r="K31" s="91"/>
      <c r="L31" s="31"/>
      <c r="M31" s="92"/>
      <c r="N31" s="92"/>
      <c r="O31" s="92"/>
      <c r="P31" s="92"/>
      <c r="Q31" s="93"/>
      <c r="R31" s="30"/>
      <c r="S31" s="90"/>
      <c r="T31" s="90"/>
      <c r="U31" s="90"/>
      <c r="V31" s="90"/>
      <c r="W31" s="90"/>
      <c r="X31" s="91"/>
      <c r="Y31" s="30"/>
      <c r="Z31" s="90"/>
      <c r="AA31" s="90"/>
      <c r="AB31" s="90"/>
      <c r="AC31" s="91"/>
      <c r="AD31" s="31"/>
      <c r="AE31" s="93"/>
      <c r="AF31" s="31"/>
      <c r="AG31" s="92"/>
      <c r="AH31" s="29"/>
      <c r="AI31" s="12"/>
      <c r="AJ31" s="12"/>
      <c r="AK31" s="86"/>
      <c r="AL31" s="29"/>
      <c r="AM31" s="12"/>
      <c r="AN31" s="12"/>
      <c r="AO31" s="12"/>
      <c r="AP31" s="12"/>
      <c r="AQ31" s="86"/>
      <c r="AR31" s="12"/>
      <c r="AS31" s="31"/>
      <c r="AT31" s="92"/>
      <c r="AU31" s="92"/>
      <c r="AV31" s="92"/>
      <c r="AW31" s="92"/>
      <c r="AX31" s="92"/>
      <c r="AY31" s="31"/>
      <c r="AZ31" s="92"/>
      <c r="BA31" s="92"/>
      <c r="BB31" s="31"/>
      <c r="BC31" s="90"/>
      <c r="BD31" s="90"/>
      <c r="BE31" s="90"/>
      <c r="BF31" s="30"/>
      <c r="BG31" s="90"/>
      <c r="BH31" s="12"/>
      <c r="BI31" s="90">
        <f>'[39]Page 8.6'!$I$9</f>
        <v>82361.759263031505</v>
      </c>
      <c r="BJ31" s="92"/>
      <c r="BK31" s="92"/>
      <c r="BL31" s="92"/>
      <c r="BM31" s="92"/>
      <c r="BN31" s="31"/>
      <c r="BO31" s="92"/>
      <c r="BP31" s="92"/>
      <c r="BQ31" s="92"/>
      <c r="BR31" s="92"/>
      <c r="BS31" s="92"/>
      <c r="BT31" s="92"/>
      <c r="BU31" s="92"/>
      <c r="BV31" s="299"/>
      <c r="BW31" s="92"/>
      <c r="BX31" s="93"/>
      <c r="BY31" s="15"/>
    </row>
    <row r="32" spans="1:77" x14ac:dyDescent="0.2">
      <c r="A32" s="14" t="s">
        <v>69</v>
      </c>
      <c r="B32" s="100">
        <f t="shared" si="8"/>
        <v>-659185.04000000097</v>
      </c>
      <c r="C32" s="31"/>
      <c r="D32" s="92"/>
      <c r="E32" s="92"/>
      <c r="F32" s="92"/>
      <c r="G32" s="92"/>
      <c r="H32" s="90"/>
      <c r="I32" s="91"/>
      <c r="J32" s="30"/>
      <c r="K32" s="91"/>
      <c r="L32" s="31"/>
      <c r="M32" s="92"/>
      <c r="N32" s="92"/>
      <c r="O32" s="92"/>
      <c r="P32" s="92"/>
      <c r="Q32" s="93"/>
      <c r="R32" s="30"/>
      <c r="S32" s="90"/>
      <c r="T32" s="90"/>
      <c r="U32" s="90"/>
      <c r="V32" s="90"/>
      <c r="W32" s="90"/>
      <c r="X32" s="91"/>
      <c r="Y32" s="30"/>
      <c r="Z32" s="90"/>
      <c r="AA32" s="90"/>
      <c r="AB32" s="90"/>
      <c r="AC32" s="91"/>
      <c r="AD32" s="31"/>
      <c r="AE32" s="93"/>
      <c r="AF32" s="31"/>
      <c r="AG32" s="92"/>
      <c r="AH32" s="29"/>
      <c r="AI32" s="12"/>
      <c r="AJ32" s="12"/>
      <c r="AK32" s="86"/>
      <c r="AL32" s="29"/>
      <c r="AM32" s="12"/>
      <c r="AN32" s="12"/>
      <c r="AO32" s="12"/>
      <c r="AP32" s="12"/>
      <c r="AQ32" s="86"/>
      <c r="AR32" s="12"/>
      <c r="AS32" s="31"/>
      <c r="AT32" s="92">
        <f>'[40]Page 7.2'!$I$9</f>
        <v>108255</v>
      </c>
      <c r="AU32" s="92"/>
      <c r="AV32" s="92"/>
      <c r="AW32" s="92">
        <f>'[41]Page 7.5'!$I$9</f>
        <v>39804</v>
      </c>
      <c r="AX32" s="92"/>
      <c r="AY32" s="31"/>
      <c r="AZ32" s="92"/>
      <c r="BA32" s="92">
        <f>'[42]Lead Sheet '!$I$9</f>
        <v>-807244.04000000097</v>
      </c>
      <c r="BB32" s="31"/>
      <c r="BC32" s="90"/>
      <c r="BD32" s="90"/>
      <c r="BE32" s="90"/>
      <c r="BF32" s="30"/>
      <c r="BG32" s="90"/>
      <c r="BH32" s="12"/>
      <c r="BI32" s="90"/>
      <c r="BJ32" s="92"/>
      <c r="BK32" s="92"/>
      <c r="BL32" s="92"/>
      <c r="BM32" s="92"/>
      <c r="BN32" s="31"/>
      <c r="BO32" s="92"/>
      <c r="BP32" s="92"/>
      <c r="BQ32" s="92"/>
      <c r="BR32" s="92"/>
      <c r="BS32" s="92"/>
      <c r="BT32" s="92"/>
      <c r="BU32" s="92"/>
      <c r="BV32" s="299">
        <v>0</v>
      </c>
      <c r="BW32" s="92"/>
      <c r="BX32" s="93"/>
      <c r="BY32" s="2"/>
    </row>
    <row r="33" spans="1:77" x14ac:dyDescent="0.2">
      <c r="A33" s="14" t="s">
        <v>70</v>
      </c>
      <c r="B33" s="100">
        <f t="shared" si="8"/>
        <v>-3785846.5704205637</v>
      </c>
      <c r="C33" s="31">
        <f>C87</f>
        <v>0</v>
      </c>
      <c r="D33" s="92">
        <f t="shared" ref="D33:BU33" si="17">D87</f>
        <v>0</v>
      </c>
      <c r="E33" s="92">
        <f t="shared" si="17"/>
        <v>0</v>
      </c>
      <c r="F33" s="92">
        <f t="shared" si="17"/>
        <v>-680.61800753751299</v>
      </c>
      <c r="G33" s="92">
        <f t="shared" si="17"/>
        <v>0</v>
      </c>
      <c r="H33" s="90">
        <f t="shared" si="17"/>
        <v>157155.9507628803</v>
      </c>
      <c r="I33" s="91">
        <f t="shared" si="17"/>
        <v>14464.037857284064</v>
      </c>
      <c r="J33" s="30">
        <f t="shared" ref="J33:K33" si="18">J87</f>
        <v>0</v>
      </c>
      <c r="K33" s="91">
        <f t="shared" si="18"/>
        <v>13061.611477574261</v>
      </c>
      <c r="L33" s="31">
        <f t="shared" si="17"/>
        <v>0</v>
      </c>
      <c r="M33" s="92">
        <f t="shared" si="17"/>
        <v>0</v>
      </c>
      <c r="N33" s="92">
        <f t="shared" si="17"/>
        <v>241024.97632791134</v>
      </c>
      <c r="O33" s="92">
        <f t="shared" si="17"/>
        <v>0</v>
      </c>
      <c r="P33" s="92">
        <f t="shared" si="17"/>
        <v>0</v>
      </c>
      <c r="Q33" s="93">
        <f t="shared" si="17"/>
        <v>0</v>
      </c>
      <c r="R33" s="30">
        <f t="shared" si="17"/>
        <v>-7607.4654921229776</v>
      </c>
      <c r="S33" s="90">
        <f t="shared" si="17"/>
        <v>0</v>
      </c>
      <c r="T33" s="90">
        <f t="shared" si="17"/>
        <v>0</v>
      </c>
      <c r="U33" s="90">
        <f t="shared" si="17"/>
        <v>0</v>
      </c>
      <c r="V33" s="90">
        <f t="shared" si="17"/>
        <v>0</v>
      </c>
      <c r="W33" s="90">
        <f t="shared" si="17"/>
        <v>0</v>
      </c>
      <c r="X33" s="91">
        <f t="shared" si="17"/>
        <v>0</v>
      </c>
      <c r="Y33" s="30">
        <f t="shared" ref="Y33:AB33" si="19">Y87</f>
        <v>0</v>
      </c>
      <c r="Z33" s="90">
        <f t="shared" si="19"/>
        <v>0</v>
      </c>
      <c r="AA33" s="90">
        <f t="shared" si="19"/>
        <v>0</v>
      </c>
      <c r="AB33" s="90">
        <f t="shared" si="19"/>
        <v>0</v>
      </c>
      <c r="AC33" s="91">
        <f t="shared" ref="AC33" si="20">AC87</f>
        <v>0</v>
      </c>
      <c r="AD33" s="31">
        <f t="shared" si="17"/>
        <v>0</v>
      </c>
      <c r="AE33" s="93">
        <f t="shared" si="17"/>
        <v>-1652604.400118184</v>
      </c>
      <c r="AF33" s="31">
        <f t="shared" si="17"/>
        <v>237964.44587433519</v>
      </c>
      <c r="AG33" s="92">
        <f t="shared" si="17"/>
        <v>0</v>
      </c>
      <c r="AH33" s="29">
        <f t="shared" si="17"/>
        <v>-44842.390369071087</v>
      </c>
      <c r="AI33" s="12">
        <f t="shared" si="17"/>
        <v>0</v>
      </c>
      <c r="AJ33" s="12">
        <f t="shared" si="17"/>
        <v>0</v>
      </c>
      <c r="AK33" s="86">
        <f t="shared" si="17"/>
        <v>0</v>
      </c>
      <c r="AL33" s="29">
        <f t="shared" si="17"/>
        <v>0</v>
      </c>
      <c r="AM33" s="12">
        <f t="shared" ref="AM33:AP33" si="21">AM87</f>
        <v>0</v>
      </c>
      <c r="AN33" s="12">
        <f t="shared" si="21"/>
        <v>0</v>
      </c>
      <c r="AO33" s="12">
        <f t="shared" si="21"/>
        <v>0</v>
      </c>
      <c r="AP33" s="12">
        <f t="shared" si="21"/>
        <v>0</v>
      </c>
      <c r="AQ33" s="86">
        <f t="shared" ref="AQ33:AR33" si="22">AQ87</f>
        <v>0</v>
      </c>
      <c r="AR33" s="12">
        <f t="shared" si="22"/>
        <v>0</v>
      </c>
      <c r="AS33" s="31">
        <f t="shared" si="17"/>
        <v>-167365.29492900017</v>
      </c>
      <c r="AT33" s="92">
        <f t="shared" si="17"/>
        <v>-37889.25</v>
      </c>
      <c r="AU33" s="92">
        <f t="shared" si="17"/>
        <v>-661916.82775972039</v>
      </c>
      <c r="AV33" s="92">
        <f t="shared" si="17"/>
        <v>0</v>
      </c>
      <c r="AW33" s="92">
        <f t="shared" si="17"/>
        <v>-13931.4</v>
      </c>
      <c r="AX33" s="92">
        <f t="shared" si="17"/>
        <v>0</v>
      </c>
      <c r="AY33" s="31">
        <f t="shared" si="17"/>
        <v>0</v>
      </c>
      <c r="AZ33" s="92">
        <f t="shared" si="17"/>
        <v>0</v>
      </c>
      <c r="BA33" s="92">
        <f t="shared" si="17"/>
        <v>282536</v>
      </c>
      <c r="BB33" s="31">
        <f t="shared" si="17"/>
        <v>0</v>
      </c>
      <c r="BC33" s="90">
        <f t="shared" si="17"/>
        <v>0</v>
      </c>
      <c r="BD33" s="90">
        <f t="shared" si="17"/>
        <v>0</v>
      </c>
      <c r="BE33" s="90">
        <f t="shared" si="17"/>
        <v>-163226.57570413209</v>
      </c>
      <c r="BF33" s="30">
        <f t="shared" ref="BF33" si="23">BF87</f>
        <v>-1501520.0109886399</v>
      </c>
      <c r="BG33" s="90">
        <f t="shared" si="17"/>
        <v>0</v>
      </c>
      <c r="BH33" s="12">
        <f t="shared" si="17"/>
        <v>0</v>
      </c>
      <c r="BI33" s="90">
        <f t="shared" si="17"/>
        <v>-86067.544480454977</v>
      </c>
      <c r="BJ33" s="92">
        <f t="shared" si="17"/>
        <v>0</v>
      </c>
      <c r="BK33" s="92">
        <f t="shared" si="17"/>
        <v>0</v>
      </c>
      <c r="BL33" s="92">
        <f t="shared" si="17"/>
        <v>0</v>
      </c>
      <c r="BM33" s="92">
        <f t="shared" si="17"/>
        <v>0</v>
      </c>
      <c r="BN33" s="31">
        <f t="shared" si="17"/>
        <v>0</v>
      </c>
      <c r="BO33" s="92">
        <f t="shared" si="17"/>
        <v>0</v>
      </c>
      <c r="BP33" s="92">
        <f t="shared" si="17"/>
        <v>0</v>
      </c>
      <c r="BQ33" s="92">
        <f t="shared" si="17"/>
        <v>0</v>
      </c>
      <c r="BR33" s="92">
        <f t="shared" si="17"/>
        <v>0</v>
      </c>
      <c r="BS33" s="92">
        <f t="shared" si="17"/>
        <v>0</v>
      </c>
      <c r="BT33" s="92">
        <f t="shared" si="17"/>
        <v>0</v>
      </c>
      <c r="BU33" s="92">
        <f t="shared" si="17"/>
        <v>0</v>
      </c>
      <c r="BV33" s="299">
        <f t="shared" ref="BV33:BX33" si="24">BV87</f>
        <v>0</v>
      </c>
      <c r="BW33" s="92">
        <f t="shared" si="24"/>
        <v>-343203.44280584075</v>
      </c>
      <c r="BX33" s="93">
        <f t="shared" si="24"/>
        <v>-51198.372065845419</v>
      </c>
      <c r="BY33" s="15"/>
    </row>
    <row r="34" spans="1:77" x14ac:dyDescent="0.2">
      <c r="A34" s="14" t="s">
        <v>71</v>
      </c>
      <c r="B34" s="100">
        <f t="shared" si="8"/>
        <v>0</v>
      </c>
      <c r="C34" s="3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1">
        <v>0</v>
      </c>
      <c r="J34" s="30">
        <v>0</v>
      </c>
      <c r="K34" s="91">
        <v>0</v>
      </c>
      <c r="L34" s="30">
        <v>0</v>
      </c>
      <c r="M34" s="90">
        <v>0</v>
      </c>
      <c r="N34" s="90">
        <v>0</v>
      </c>
      <c r="O34" s="90">
        <v>0</v>
      </c>
      <c r="P34" s="90">
        <v>0</v>
      </c>
      <c r="Q34" s="91">
        <v>0</v>
      </c>
      <c r="R34" s="3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1">
        <v>0</v>
      </c>
      <c r="Y34" s="30">
        <v>0</v>
      </c>
      <c r="Z34" s="90">
        <v>0</v>
      </c>
      <c r="AA34" s="90">
        <v>0</v>
      </c>
      <c r="AB34" s="90">
        <v>0</v>
      </c>
      <c r="AC34" s="91">
        <v>0</v>
      </c>
      <c r="AD34" s="30">
        <v>0</v>
      </c>
      <c r="AE34" s="91">
        <v>0</v>
      </c>
      <c r="AF34" s="30">
        <v>0</v>
      </c>
      <c r="AG34" s="90">
        <v>0</v>
      </c>
      <c r="AH34" s="30">
        <v>0</v>
      </c>
      <c r="AI34" s="90">
        <v>0</v>
      </c>
      <c r="AJ34" s="90">
        <v>0</v>
      </c>
      <c r="AK34" s="91">
        <v>0</v>
      </c>
      <c r="AL34" s="30">
        <v>0</v>
      </c>
      <c r="AM34" s="90">
        <v>0</v>
      </c>
      <c r="AN34" s="90">
        <v>0</v>
      </c>
      <c r="AO34" s="90">
        <v>0</v>
      </c>
      <c r="AP34" s="90">
        <v>0</v>
      </c>
      <c r="AQ34" s="91">
        <v>0</v>
      </c>
      <c r="AR34" s="90">
        <v>0</v>
      </c>
      <c r="AS34" s="30">
        <v>0</v>
      </c>
      <c r="AT34" s="90">
        <v>0</v>
      </c>
      <c r="AU34" s="90">
        <v>0</v>
      </c>
      <c r="AV34" s="90">
        <v>0</v>
      </c>
      <c r="AW34" s="90">
        <v>0</v>
      </c>
      <c r="AX34" s="90">
        <v>0</v>
      </c>
      <c r="AY34" s="30">
        <v>0</v>
      </c>
      <c r="AZ34" s="90">
        <v>0</v>
      </c>
      <c r="BA34" s="90">
        <v>0</v>
      </c>
      <c r="BB34" s="30">
        <v>0</v>
      </c>
      <c r="BC34" s="90">
        <v>0</v>
      </c>
      <c r="BD34" s="90">
        <v>0</v>
      </c>
      <c r="BE34" s="90">
        <v>0</v>
      </c>
      <c r="BF34" s="30">
        <v>0</v>
      </c>
      <c r="BG34" s="90">
        <v>0</v>
      </c>
      <c r="BH34" s="12">
        <v>0</v>
      </c>
      <c r="BI34" s="90">
        <v>0</v>
      </c>
      <c r="BJ34" s="90">
        <v>0</v>
      </c>
      <c r="BK34" s="90">
        <v>0</v>
      </c>
      <c r="BL34" s="90">
        <v>0</v>
      </c>
      <c r="BM34" s="90">
        <v>0</v>
      </c>
      <c r="BN34" s="30">
        <v>0</v>
      </c>
      <c r="BO34" s="90">
        <v>0</v>
      </c>
      <c r="BP34" s="90">
        <v>0</v>
      </c>
      <c r="BQ34" s="90">
        <v>0</v>
      </c>
      <c r="BR34" s="90">
        <v>0</v>
      </c>
      <c r="BS34" s="90">
        <v>0</v>
      </c>
      <c r="BT34" s="90">
        <v>0</v>
      </c>
      <c r="BU34" s="90">
        <v>0</v>
      </c>
      <c r="BV34" s="100">
        <v>0</v>
      </c>
      <c r="BW34" s="90">
        <v>0</v>
      </c>
      <c r="BX34" s="91">
        <v>0</v>
      </c>
      <c r="BY34" s="15"/>
    </row>
    <row r="35" spans="1:77" x14ac:dyDescent="0.2">
      <c r="A35" s="14" t="s">
        <v>72</v>
      </c>
      <c r="B35" s="100">
        <f t="shared" si="8"/>
        <v>2086148.6571185363</v>
      </c>
      <c r="C35" s="31"/>
      <c r="D35" s="92"/>
      <c r="E35" s="92"/>
      <c r="F35" s="92">
        <f>'[43]Page 3.4'!$I$23+'[43]Page 3.4'!$I$24</f>
        <v>295256.29879283818</v>
      </c>
      <c r="G35" s="92"/>
      <c r="H35" s="90"/>
      <c r="I35" s="91"/>
      <c r="J35" s="30"/>
      <c r="K35" s="91"/>
      <c r="L35" s="31"/>
      <c r="M35" s="92"/>
      <c r="N35" s="92"/>
      <c r="O35" s="92"/>
      <c r="P35" s="92"/>
      <c r="Q35" s="93"/>
      <c r="R35" s="30"/>
      <c r="S35" s="90"/>
      <c r="T35" s="90"/>
      <c r="U35" s="90"/>
      <c r="V35" s="90"/>
      <c r="W35" s="90"/>
      <c r="X35" s="91"/>
      <c r="Y35" s="30"/>
      <c r="Z35" s="90"/>
      <c r="AA35" s="90"/>
      <c r="AB35" s="90"/>
      <c r="AC35" s="91"/>
      <c r="AD35" s="31"/>
      <c r="AE35" s="93"/>
      <c r="AF35" s="31"/>
      <c r="AG35" s="92"/>
      <c r="AH35" s="31">
        <f>'[44]Page 6.1'!$I$16</f>
        <v>48623.232940317663</v>
      </c>
      <c r="AI35" s="92"/>
      <c r="AJ35" s="92"/>
      <c r="AK35" s="93"/>
      <c r="AL35" s="31"/>
      <c r="AM35" s="92"/>
      <c r="AN35" s="92"/>
      <c r="AO35" s="92"/>
      <c r="AP35" s="92"/>
      <c r="AQ35" s="93"/>
      <c r="AR35" s="92"/>
      <c r="AS35" s="31"/>
      <c r="AT35" s="92"/>
      <c r="AU35" s="92"/>
      <c r="AV35" s="92"/>
      <c r="AW35" s="92"/>
      <c r="AX35" s="92"/>
      <c r="AY35" s="31"/>
      <c r="AZ35" s="92"/>
      <c r="BA35" s="92"/>
      <c r="BB35" s="31"/>
      <c r="BC35" s="90"/>
      <c r="BD35" s="90"/>
      <c r="BE35" s="90"/>
      <c r="BF35" s="30">
        <f>[14]RB!$I$1386+[14]RB!$I$1391+[14]RB!$I$1396</f>
        <v>1628119.1735514146</v>
      </c>
      <c r="BG35" s="90"/>
      <c r="BH35" s="12"/>
      <c r="BI35" s="90">
        <f>'[39]Page 8.6'!$I$16+'[39]Page 8.6'!$I$20+'[39]Page 8.6'!$I$24</f>
        <v>62067.059303965914</v>
      </c>
      <c r="BJ35" s="92"/>
      <c r="BK35" s="92"/>
      <c r="BL35" s="92"/>
      <c r="BM35" s="92"/>
      <c r="BN35" s="31"/>
      <c r="BO35" s="92"/>
      <c r="BP35" s="92"/>
      <c r="BQ35" s="92"/>
      <c r="BR35" s="92"/>
      <c r="BS35" s="92"/>
      <c r="BT35" s="92"/>
      <c r="BU35" s="92"/>
      <c r="BV35" s="299"/>
      <c r="BW35" s="92"/>
      <c r="BX35" s="93">
        <f>SUM([14]ContractChange!$I$94:$I$97)</f>
        <v>52082.892530000099</v>
      </c>
      <c r="BY35" s="15"/>
    </row>
    <row r="36" spans="1:77" x14ac:dyDescent="0.2">
      <c r="A36" s="14" t="s">
        <v>73</v>
      </c>
      <c r="B36" s="100">
        <f t="shared" si="8"/>
        <v>0</v>
      </c>
      <c r="C36" s="31"/>
      <c r="D36" s="92"/>
      <c r="E36" s="92"/>
      <c r="F36" s="92"/>
      <c r="G36" s="92"/>
      <c r="H36" s="90"/>
      <c r="I36" s="91"/>
      <c r="J36" s="30"/>
      <c r="K36" s="91"/>
      <c r="L36" s="31"/>
      <c r="M36" s="92"/>
      <c r="N36" s="92"/>
      <c r="O36" s="92"/>
      <c r="P36" s="92"/>
      <c r="Q36" s="93"/>
      <c r="R36" s="30"/>
      <c r="S36" s="90"/>
      <c r="T36" s="90"/>
      <c r="U36" s="90"/>
      <c r="V36" s="90"/>
      <c r="W36" s="90"/>
      <c r="X36" s="91"/>
      <c r="Y36" s="30"/>
      <c r="Z36" s="90"/>
      <c r="AA36" s="90"/>
      <c r="AB36" s="90"/>
      <c r="AC36" s="91"/>
      <c r="AD36" s="31"/>
      <c r="AE36" s="93"/>
      <c r="AF36" s="31"/>
      <c r="AG36" s="92"/>
      <c r="AH36" s="31"/>
      <c r="AI36" s="92"/>
      <c r="AJ36" s="92"/>
      <c r="AK36" s="93"/>
      <c r="AL36" s="31"/>
      <c r="AM36" s="92"/>
      <c r="AN36" s="92"/>
      <c r="AO36" s="92"/>
      <c r="AP36" s="92"/>
      <c r="AQ36" s="93"/>
      <c r="AR36" s="92"/>
      <c r="AS36" s="31"/>
      <c r="AT36" s="92"/>
      <c r="AU36" s="92"/>
      <c r="AV36" s="92"/>
      <c r="AW36" s="92"/>
      <c r="AX36" s="92"/>
      <c r="AY36" s="31"/>
      <c r="AZ36" s="92"/>
      <c r="BA36" s="92"/>
      <c r="BB36" s="31"/>
      <c r="BC36" s="90"/>
      <c r="BD36" s="90"/>
      <c r="BE36" s="90"/>
      <c r="BF36" s="30"/>
      <c r="BG36" s="90"/>
      <c r="BH36" s="12"/>
      <c r="BI36" s="90"/>
      <c r="BJ36" s="92"/>
      <c r="BK36" s="92"/>
      <c r="BL36" s="92"/>
      <c r="BM36" s="92"/>
      <c r="BN36" s="31"/>
      <c r="BO36" s="92"/>
      <c r="BP36" s="92"/>
      <c r="BQ36" s="92"/>
      <c r="BR36" s="92"/>
      <c r="BS36" s="92"/>
      <c r="BT36" s="92"/>
      <c r="BU36" s="92"/>
      <c r="BV36" s="299"/>
      <c r="BW36" s="92"/>
      <c r="BX36" s="93"/>
      <c r="BY36" s="15"/>
    </row>
    <row r="37" spans="1:77" x14ac:dyDescent="0.2">
      <c r="A37" s="14" t="s">
        <v>74</v>
      </c>
      <c r="B37" s="100">
        <f t="shared" si="8"/>
        <v>-776048.95839665306</v>
      </c>
      <c r="C37" s="31"/>
      <c r="D37" s="92"/>
      <c r="E37" s="92"/>
      <c r="F37" s="92">
        <f>'[43]Page 3.4'!$I$12</f>
        <v>-776048.95839665306</v>
      </c>
      <c r="G37" s="92"/>
      <c r="H37" s="90"/>
      <c r="I37" s="91"/>
      <c r="J37" s="30"/>
      <c r="K37" s="91"/>
      <c r="L37" s="31"/>
      <c r="M37" s="92"/>
      <c r="N37" s="92"/>
      <c r="O37" s="92"/>
      <c r="P37" s="92"/>
      <c r="Q37" s="93"/>
      <c r="R37" s="31"/>
      <c r="S37" s="92"/>
      <c r="T37" s="92"/>
      <c r="U37" s="92"/>
      <c r="V37" s="92"/>
      <c r="W37" s="92"/>
      <c r="X37" s="93"/>
      <c r="Y37" s="31"/>
      <c r="Z37" s="92"/>
      <c r="AA37" s="92"/>
      <c r="AB37" s="92"/>
      <c r="AC37" s="93"/>
      <c r="AD37" s="31"/>
      <c r="AE37" s="93"/>
      <c r="AF37" s="31"/>
      <c r="AG37" s="92"/>
      <c r="AH37" s="31"/>
      <c r="AI37" s="92"/>
      <c r="AJ37" s="92"/>
      <c r="AK37" s="93"/>
      <c r="AL37" s="31"/>
      <c r="AM37" s="92"/>
      <c r="AN37" s="92"/>
      <c r="AO37" s="92"/>
      <c r="AP37" s="92"/>
      <c r="AQ37" s="93"/>
      <c r="AR37" s="92"/>
      <c r="AS37" s="31"/>
      <c r="AT37" s="92"/>
      <c r="AU37" s="92"/>
      <c r="AV37" s="92"/>
      <c r="AW37" s="92"/>
      <c r="AX37" s="92"/>
      <c r="AY37" s="31"/>
      <c r="AZ37" s="92"/>
      <c r="BA37" s="92"/>
      <c r="BB37" s="31"/>
      <c r="BC37" s="90"/>
      <c r="BD37" s="90"/>
      <c r="BE37" s="90"/>
      <c r="BF37" s="30"/>
      <c r="BG37" s="90"/>
      <c r="BH37" s="12"/>
      <c r="BI37" s="90"/>
      <c r="BJ37" s="92"/>
      <c r="BK37" s="92"/>
      <c r="BL37" s="92"/>
      <c r="BM37" s="92"/>
      <c r="BN37" s="31"/>
      <c r="BO37" s="92"/>
      <c r="BP37" s="92"/>
      <c r="BQ37" s="92"/>
      <c r="BR37" s="92"/>
      <c r="BS37" s="92"/>
      <c r="BT37" s="92"/>
      <c r="BU37" s="92"/>
      <c r="BV37" s="299"/>
      <c r="BW37" s="92"/>
      <c r="BX37" s="93"/>
      <c r="BY37" s="15"/>
    </row>
    <row r="38" spans="1:77" x14ac:dyDescent="0.2">
      <c r="A38" s="14" t="s">
        <v>75</v>
      </c>
      <c r="B38" s="186">
        <f t="shared" si="8"/>
        <v>-43247327.313254453</v>
      </c>
      <c r="C38" s="32">
        <f>SUM(C29:C37)</f>
        <v>0</v>
      </c>
      <c r="D38" s="94">
        <f t="shared" ref="D38:BU38" si="25">SUM(D29:D37)</f>
        <v>0</v>
      </c>
      <c r="E38" s="94">
        <f t="shared" si="25"/>
        <v>0</v>
      </c>
      <c r="F38" s="94">
        <f t="shared" si="25"/>
        <v>-481473.27761135239</v>
      </c>
      <c r="G38" s="94">
        <f t="shared" si="25"/>
        <v>0</v>
      </c>
      <c r="H38" s="94">
        <f t="shared" si="25"/>
        <v>157155.9507628803</v>
      </c>
      <c r="I38" s="95">
        <f t="shared" si="25"/>
        <v>14464.037857284064</v>
      </c>
      <c r="J38" s="32">
        <f t="shared" ref="J38:K38" si="26">SUM(J29:J37)</f>
        <v>0</v>
      </c>
      <c r="K38" s="95">
        <f t="shared" si="26"/>
        <v>13061.611477574261</v>
      </c>
      <c r="L38" s="32">
        <f t="shared" si="25"/>
        <v>0</v>
      </c>
      <c r="M38" s="94">
        <f t="shared" si="25"/>
        <v>0</v>
      </c>
      <c r="N38" s="94">
        <f t="shared" si="25"/>
        <v>-447617.81318040681</v>
      </c>
      <c r="O38" s="94">
        <f t="shared" si="25"/>
        <v>0</v>
      </c>
      <c r="P38" s="94">
        <f t="shared" si="25"/>
        <v>0</v>
      </c>
      <c r="Q38" s="95">
        <f t="shared" si="25"/>
        <v>0</v>
      </c>
      <c r="R38" s="32">
        <f t="shared" si="25"/>
        <v>14128.15019965696</v>
      </c>
      <c r="S38" s="94">
        <f t="shared" si="25"/>
        <v>0</v>
      </c>
      <c r="T38" s="94">
        <f t="shared" si="25"/>
        <v>0</v>
      </c>
      <c r="U38" s="94">
        <f t="shared" si="25"/>
        <v>0</v>
      </c>
      <c r="V38" s="94">
        <f t="shared" si="25"/>
        <v>0</v>
      </c>
      <c r="W38" s="94">
        <f t="shared" si="25"/>
        <v>0</v>
      </c>
      <c r="X38" s="95">
        <f t="shared" si="25"/>
        <v>0</v>
      </c>
      <c r="Y38" s="32">
        <f t="shared" ref="Y38:AB38" si="27">SUM(Y29:Y37)</f>
        <v>0</v>
      </c>
      <c r="Z38" s="94">
        <f t="shared" si="27"/>
        <v>0</v>
      </c>
      <c r="AA38" s="94">
        <f t="shared" si="27"/>
        <v>0</v>
      </c>
      <c r="AB38" s="94">
        <f t="shared" si="27"/>
        <v>0</v>
      </c>
      <c r="AC38" s="95">
        <f t="shared" ref="AC38" si="28">SUM(AC29:AC37)</f>
        <v>0</v>
      </c>
      <c r="AD38" s="32">
        <f t="shared" si="25"/>
        <v>0</v>
      </c>
      <c r="AE38" s="95">
        <f t="shared" si="25"/>
        <v>-42795439.959716454</v>
      </c>
      <c r="AF38" s="32">
        <f t="shared" si="25"/>
        <v>237964.44587433519</v>
      </c>
      <c r="AG38" s="94">
        <f t="shared" si="25"/>
        <v>0</v>
      </c>
      <c r="AH38" s="32">
        <f t="shared" si="25"/>
        <v>3780.842571246576</v>
      </c>
      <c r="AI38" s="94">
        <f t="shared" si="25"/>
        <v>0</v>
      </c>
      <c r="AJ38" s="94">
        <f t="shared" si="25"/>
        <v>0</v>
      </c>
      <c r="AK38" s="95">
        <f t="shared" si="25"/>
        <v>0</v>
      </c>
      <c r="AL38" s="32">
        <f t="shared" si="25"/>
        <v>0</v>
      </c>
      <c r="AM38" s="94">
        <f t="shared" ref="AM38:AP38" si="29">SUM(AM29:AM37)</f>
        <v>0</v>
      </c>
      <c r="AN38" s="94">
        <f t="shared" si="29"/>
        <v>0</v>
      </c>
      <c r="AO38" s="94">
        <f t="shared" si="29"/>
        <v>0</v>
      </c>
      <c r="AP38" s="94">
        <f t="shared" si="29"/>
        <v>0</v>
      </c>
      <c r="AQ38" s="95">
        <f t="shared" ref="AQ38:AR38" si="30">SUM(AQ29:AQ37)</f>
        <v>0</v>
      </c>
      <c r="AR38" s="94">
        <f t="shared" si="30"/>
        <v>0</v>
      </c>
      <c r="AS38" s="32">
        <f t="shared" si="25"/>
        <v>-167365.29492900017</v>
      </c>
      <c r="AT38" s="94">
        <f t="shared" si="25"/>
        <v>70365.75</v>
      </c>
      <c r="AU38" s="94">
        <f t="shared" si="25"/>
        <v>-661916.82775972039</v>
      </c>
      <c r="AV38" s="94">
        <f t="shared" si="25"/>
        <v>0</v>
      </c>
      <c r="AW38" s="94">
        <f t="shared" si="25"/>
        <v>25872.6</v>
      </c>
      <c r="AX38" s="94">
        <f t="shared" si="25"/>
        <v>0</v>
      </c>
      <c r="AY38" s="32">
        <f t="shared" si="25"/>
        <v>0</v>
      </c>
      <c r="AZ38" s="94">
        <f t="shared" si="25"/>
        <v>0</v>
      </c>
      <c r="BA38" s="94">
        <f>ROUNDUP(SUM(BA29:BA37),0)</f>
        <v>-524709</v>
      </c>
      <c r="BB38" s="32">
        <f t="shared" si="25"/>
        <v>0</v>
      </c>
      <c r="BC38" s="94">
        <f t="shared" si="25"/>
        <v>0</v>
      </c>
      <c r="BD38" s="94">
        <f t="shared" si="25"/>
        <v>0</v>
      </c>
      <c r="BE38" s="94">
        <f t="shared" si="25"/>
        <v>303135.06916481676</v>
      </c>
      <c r="BF38" s="32">
        <f t="shared" ref="BF38" si="31">SUM(BF29:BF37)</f>
        <v>126599.16256277473</v>
      </c>
      <c r="BG38" s="94">
        <f t="shared" si="25"/>
        <v>0</v>
      </c>
      <c r="BH38" s="94">
        <f t="shared" si="25"/>
        <v>0</v>
      </c>
      <c r="BI38" s="94">
        <f t="shared" si="25"/>
        <v>58361.274086542442</v>
      </c>
      <c r="BJ38" s="94">
        <f t="shared" si="25"/>
        <v>0</v>
      </c>
      <c r="BK38" s="94">
        <f t="shared" si="25"/>
        <v>0</v>
      </c>
      <c r="BL38" s="94">
        <f t="shared" si="25"/>
        <v>0</v>
      </c>
      <c r="BM38" s="94">
        <f t="shared" si="25"/>
        <v>0</v>
      </c>
      <c r="BN38" s="32">
        <f t="shared" si="25"/>
        <v>0</v>
      </c>
      <c r="BO38" s="94">
        <f t="shared" si="25"/>
        <v>0</v>
      </c>
      <c r="BP38" s="94">
        <f t="shared" si="25"/>
        <v>0</v>
      </c>
      <c r="BQ38" s="94">
        <f t="shared" si="25"/>
        <v>0</v>
      </c>
      <c r="BR38" s="94">
        <f t="shared" si="25"/>
        <v>0</v>
      </c>
      <c r="BS38" s="94">
        <f t="shared" si="25"/>
        <v>0</v>
      </c>
      <c r="BT38" s="94">
        <f t="shared" si="25"/>
        <v>0</v>
      </c>
      <c r="BU38" s="94">
        <f t="shared" si="25"/>
        <v>0</v>
      </c>
      <c r="BV38" s="186">
        <f t="shared" ref="BV38:BX38" si="32">SUM(BV29:BV37)</f>
        <v>0</v>
      </c>
      <c r="BW38" s="94">
        <f t="shared" si="32"/>
        <v>805421.44492121635</v>
      </c>
      <c r="BX38" s="95">
        <f t="shared" si="32"/>
        <v>884.52046415468067</v>
      </c>
      <c r="BY38" s="15"/>
    </row>
    <row r="39" spans="1:77" x14ac:dyDescent="0.2">
      <c r="A39" s="14"/>
      <c r="B39" s="88">
        <f t="shared" si="8"/>
        <v>0</v>
      </c>
      <c r="C39" s="29"/>
      <c r="D39" s="12"/>
      <c r="E39" s="12"/>
      <c r="F39" s="12"/>
      <c r="G39" s="12"/>
      <c r="H39" s="12"/>
      <c r="I39" s="86"/>
      <c r="J39" s="29"/>
      <c r="K39" s="86"/>
      <c r="L39" s="29"/>
      <c r="M39" s="12"/>
      <c r="N39" s="12"/>
      <c r="O39" s="12"/>
      <c r="P39" s="12"/>
      <c r="Q39" s="86"/>
      <c r="R39" s="29"/>
      <c r="S39" s="12"/>
      <c r="T39" s="12"/>
      <c r="U39" s="12"/>
      <c r="V39" s="12"/>
      <c r="W39" s="12"/>
      <c r="X39" s="86"/>
      <c r="Y39" s="29"/>
      <c r="Z39" s="12"/>
      <c r="AA39" s="12"/>
      <c r="AB39" s="12"/>
      <c r="AC39" s="86"/>
      <c r="AD39" s="29"/>
      <c r="AE39" s="86"/>
      <c r="AF39" s="29"/>
      <c r="AG39" s="12"/>
      <c r="AH39" s="29"/>
      <c r="AI39" s="12"/>
      <c r="AJ39" s="12"/>
      <c r="AK39" s="86"/>
      <c r="AL39" s="29"/>
      <c r="AM39" s="12"/>
      <c r="AN39" s="12"/>
      <c r="AO39" s="12"/>
      <c r="AP39" s="12"/>
      <c r="AQ39" s="86"/>
      <c r="AR39" s="12"/>
      <c r="AS39" s="29"/>
      <c r="AT39" s="12"/>
      <c r="AU39" s="12"/>
      <c r="AV39" s="12"/>
      <c r="AW39" s="12"/>
      <c r="AX39" s="12"/>
      <c r="AY39" s="29"/>
      <c r="AZ39" s="12"/>
      <c r="BA39" s="12"/>
      <c r="BB39" s="29"/>
      <c r="BC39" s="12"/>
      <c r="BD39" s="12"/>
      <c r="BE39" s="12"/>
      <c r="BF39" s="29"/>
      <c r="BG39" s="12"/>
      <c r="BH39" s="12"/>
      <c r="BI39" s="12"/>
      <c r="BJ39" s="12"/>
      <c r="BK39" s="12"/>
      <c r="BL39" s="12"/>
      <c r="BM39" s="12"/>
      <c r="BN39" s="29"/>
      <c r="BO39" s="12"/>
      <c r="BP39" s="12"/>
      <c r="BQ39" s="12"/>
      <c r="BR39" s="12"/>
      <c r="BS39" s="12"/>
      <c r="BT39" s="12"/>
      <c r="BU39" s="12"/>
      <c r="BV39" s="88"/>
      <c r="BW39" s="12"/>
      <c r="BX39" s="86"/>
      <c r="BY39" s="15"/>
    </row>
    <row r="40" spans="1:77" ht="13.5" thickBot="1" x14ac:dyDescent="0.25">
      <c r="A40" s="14" t="s">
        <v>76</v>
      </c>
      <c r="B40" s="188">
        <f t="shared" si="8"/>
        <v>-1236056.2865387741</v>
      </c>
      <c r="C40" s="34">
        <f t="shared" ref="C40:BU40" si="33">C16-C38</f>
        <v>0</v>
      </c>
      <c r="D40" s="101">
        <f t="shared" si="33"/>
        <v>0</v>
      </c>
      <c r="E40" s="101">
        <f t="shared" si="33"/>
        <v>0</v>
      </c>
      <c r="F40" s="101">
        <f t="shared" si="33"/>
        <v>481473.27761135239</v>
      </c>
      <c r="G40" s="101">
        <f t="shared" si="33"/>
        <v>0</v>
      </c>
      <c r="H40" s="101">
        <f t="shared" si="33"/>
        <v>291861.05141677777</v>
      </c>
      <c r="I40" s="102">
        <f t="shared" si="33"/>
        <v>26861.784592098978</v>
      </c>
      <c r="J40" s="34">
        <f t="shared" ref="J40:K40" si="34">J16-J38</f>
        <v>0</v>
      </c>
      <c r="K40" s="102">
        <f t="shared" si="34"/>
        <v>24257.278458352201</v>
      </c>
      <c r="L40" s="34">
        <f t="shared" si="33"/>
        <v>0</v>
      </c>
      <c r="M40" s="101">
        <f t="shared" si="33"/>
        <v>0</v>
      </c>
      <c r="N40" s="101">
        <f t="shared" si="33"/>
        <v>447617.81318040681</v>
      </c>
      <c r="O40" s="101">
        <f t="shared" si="33"/>
        <v>0</v>
      </c>
      <c r="P40" s="101">
        <f t="shared" si="33"/>
        <v>0</v>
      </c>
      <c r="Q40" s="102">
        <f t="shared" si="33"/>
        <v>0</v>
      </c>
      <c r="R40" s="34">
        <f t="shared" si="33"/>
        <v>-14128.15019965696</v>
      </c>
      <c r="S40" s="101">
        <f t="shared" si="33"/>
        <v>0</v>
      </c>
      <c r="T40" s="101">
        <f t="shared" si="33"/>
        <v>0</v>
      </c>
      <c r="U40" s="101">
        <f t="shared" si="33"/>
        <v>0</v>
      </c>
      <c r="V40" s="101">
        <f t="shared" si="33"/>
        <v>0</v>
      </c>
      <c r="W40" s="101">
        <f t="shared" si="33"/>
        <v>0</v>
      </c>
      <c r="X40" s="102">
        <f t="shared" si="33"/>
        <v>0</v>
      </c>
      <c r="Y40" s="34">
        <f t="shared" ref="Y40:AB40" si="35">Y16-Y38</f>
        <v>0</v>
      </c>
      <c r="Z40" s="101">
        <f t="shared" si="35"/>
        <v>0</v>
      </c>
      <c r="AA40" s="101">
        <f t="shared" si="35"/>
        <v>0</v>
      </c>
      <c r="AB40" s="101">
        <f t="shared" si="35"/>
        <v>0</v>
      </c>
      <c r="AC40" s="102">
        <f t="shared" ref="AC40" si="36">AC16-AC38</f>
        <v>0</v>
      </c>
      <c r="AD40" s="34">
        <f t="shared" si="33"/>
        <v>0</v>
      </c>
      <c r="AE40" s="102">
        <f t="shared" si="33"/>
        <v>-3069122.4573623389</v>
      </c>
      <c r="AF40" s="34">
        <f t="shared" si="33"/>
        <v>441933.97090947971</v>
      </c>
      <c r="AG40" s="101">
        <f t="shared" si="33"/>
        <v>0</v>
      </c>
      <c r="AH40" s="34">
        <f t="shared" si="33"/>
        <v>-3780.842571246576</v>
      </c>
      <c r="AI40" s="101">
        <f t="shared" si="33"/>
        <v>0</v>
      </c>
      <c r="AJ40" s="101">
        <f t="shared" si="33"/>
        <v>0</v>
      </c>
      <c r="AK40" s="102">
        <f t="shared" si="33"/>
        <v>0</v>
      </c>
      <c r="AL40" s="34">
        <f t="shared" si="33"/>
        <v>0</v>
      </c>
      <c r="AM40" s="101">
        <f t="shared" ref="AM40:AP40" si="37">AM16-AM38</f>
        <v>0</v>
      </c>
      <c r="AN40" s="101">
        <f t="shared" si="37"/>
        <v>0</v>
      </c>
      <c r="AO40" s="101">
        <f t="shared" si="37"/>
        <v>0</v>
      </c>
      <c r="AP40" s="101">
        <f t="shared" si="37"/>
        <v>0</v>
      </c>
      <c r="AQ40" s="102">
        <f t="shared" ref="AQ40:AR40" si="38">AQ16-AQ38</f>
        <v>0</v>
      </c>
      <c r="AR40" s="101">
        <f t="shared" si="38"/>
        <v>0</v>
      </c>
      <c r="AS40" s="34">
        <f t="shared" si="33"/>
        <v>167365.29492900017</v>
      </c>
      <c r="AT40" s="101">
        <f t="shared" si="33"/>
        <v>-70365.75</v>
      </c>
      <c r="AU40" s="101">
        <f t="shared" si="33"/>
        <v>661916.82775972039</v>
      </c>
      <c r="AV40" s="101">
        <f t="shared" si="33"/>
        <v>0</v>
      </c>
      <c r="AW40" s="101">
        <f t="shared" si="33"/>
        <v>-25872.6</v>
      </c>
      <c r="AX40" s="101">
        <f t="shared" si="33"/>
        <v>0</v>
      </c>
      <c r="AY40" s="34">
        <f t="shared" si="33"/>
        <v>0</v>
      </c>
      <c r="AZ40" s="101">
        <f t="shared" si="33"/>
        <v>0</v>
      </c>
      <c r="BA40" s="101">
        <f t="shared" si="33"/>
        <v>524709</v>
      </c>
      <c r="BB40" s="34">
        <f t="shared" si="33"/>
        <v>0</v>
      </c>
      <c r="BC40" s="101">
        <f t="shared" si="33"/>
        <v>0</v>
      </c>
      <c r="BD40" s="101">
        <f t="shared" si="33"/>
        <v>0</v>
      </c>
      <c r="BE40" s="101">
        <f t="shared" si="33"/>
        <v>-303135.06916481676</v>
      </c>
      <c r="BF40" s="34">
        <f t="shared" ref="BF40" si="39">BF16-BF38</f>
        <v>-126599.16256277473</v>
      </c>
      <c r="BG40" s="101">
        <f t="shared" si="33"/>
        <v>0</v>
      </c>
      <c r="BH40" s="101">
        <f t="shared" si="33"/>
        <v>0</v>
      </c>
      <c r="BI40" s="101">
        <f t="shared" si="33"/>
        <v>-58361.274086542442</v>
      </c>
      <c r="BJ40" s="101">
        <f t="shared" si="33"/>
        <v>0</v>
      </c>
      <c r="BK40" s="101">
        <f t="shared" si="33"/>
        <v>0</v>
      </c>
      <c r="BL40" s="101">
        <f t="shared" si="33"/>
        <v>0</v>
      </c>
      <c r="BM40" s="101">
        <f t="shared" si="33"/>
        <v>0</v>
      </c>
      <c r="BN40" s="34">
        <f t="shared" si="33"/>
        <v>0</v>
      </c>
      <c r="BO40" s="101">
        <f t="shared" si="33"/>
        <v>0</v>
      </c>
      <c r="BP40" s="101">
        <f t="shared" si="33"/>
        <v>0</v>
      </c>
      <c r="BQ40" s="101">
        <f t="shared" si="33"/>
        <v>0</v>
      </c>
      <c r="BR40" s="101">
        <f t="shared" si="33"/>
        <v>0</v>
      </c>
      <c r="BS40" s="101">
        <f t="shared" si="33"/>
        <v>0</v>
      </c>
      <c r="BT40" s="101">
        <f t="shared" si="33"/>
        <v>0</v>
      </c>
      <c r="BU40" s="101">
        <f t="shared" si="33"/>
        <v>0</v>
      </c>
      <c r="BV40" s="188">
        <f t="shared" ref="BV40:BX40" si="40">BV16-BV38</f>
        <v>0</v>
      </c>
      <c r="BW40" s="101">
        <f t="shared" si="40"/>
        <v>-637377.82235370425</v>
      </c>
      <c r="BX40" s="102">
        <f t="shared" si="40"/>
        <v>4690.5429051179744</v>
      </c>
      <c r="BY40" s="15"/>
    </row>
    <row r="41" spans="1:77" ht="13.5" thickTop="1" x14ac:dyDescent="0.2">
      <c r="A41" s="14"/>
      <c r="B41" s="88"/>
      <c r="C41" s="29"/>
      <c r="D41" s="12"/>
      <c r="E41" s="12"/>
      <c r="F41" s="12"/>
      <c r="G41" s="12"/>
      <c r="H41" s="12"/>
      <c r="I41" s="86"/>
      <c r="J41" s="29"/>
      <c r="K41" s="86"/>
      <c r="L41" s="29"/>
      <c r="M41" s="12"/>
      <c r="N41" s="12"/>
      <c r="O41" s="12"/>
      <c r="P41" s="12"/>
      <c r="Q41" s="86"/>
      <c r="R41" s="29"/>
      <c r="S41" s="12"/>
      <c r="T41" s="12"/>
      <c r="U41" s="12"/>
      <c r="V41" s="12"/>
      <c r="W41" s="12"/>
      <c r="X41" s="86"/>
      <c r="Y41" s="29"/>
      <c r="Z41" s="12"/>
      <c r="AA41" s="12"/>
      <c r="AB41" s="12"/>
      <c r="AC41" s="86"/>
      <c r="AD41" s="29"/>
      <c r="AE41" s="86"/>
      <c r="AF41" s="29"/>
      <c r="AG41" s="12"/>
      <c r="AH41" s="29"/>
      <c r="AI41" s="12"/>
      <c r="AJ41" s="12"/>
      <c r="AK41" s="86"/>
      <c r="AL41" s="29"/>
      <c r="AM41" s="12"/>
      <c r="AN41" s="12"/>
      <c r="AO41" s="12"/>
      <c r="AP41" s="12"/>
      <c r="AQ41" s="86"/>
      <c r="AR41" s="12"/>
      <c r="AS41" s="29"/>
      <c r="AT41" s="12"/>
      <c r="AU41" s="12"/>
      <c r="AV41" s="12"/>
      <c r="AW41" s="12"/>
      <c r="AX41" s="12"/>
      <c r="AY41" s="29"/>
      <c r="AZ41" s="12"/>
      <c r="BA41" s="12"/>
      <c r="BB41" s="29"/>
      <c r="BC41" s="12"/>
      <c r="BD41" s="12"/>
      <c r="BE41" s="12"/>
      <c r="BF41" s="29"/>
      <c r="BG41" s="12"/>
      <c r="BH41" s="12"/>
      <c r="BI41" s="12"/>
      <c r="BJ41" s="12"/>
      <c r="BK41" s="12"/>
      <c r="BL41" s="12"/>
      <c r="BM41" s="12"/>
      <c r="BN41" s="29"/>
      <c r="BO41" s="12"/>
      <c r="BP41" s="12"/>
      <c r="BQ41" s="12"/>
      <c r="BR41" s="12"/>
      <c r="BS41" s="12"/>
      <c r="BT41" s="12"/>
      <c r="BU41" s="12"/>
      <c r="BV41" s="88"/>
      <c r="BW41" s="12"/>
      <c r="BX41" s="86"/>
      <c r="BY41" s="15"/>
    </row>
    <row r="42" spans="1:77" x14ac:dyDescent="0.2">
      <c r="A42" s="14" t="s">
        <v>77</v>
      </c>
      <c r="B42" s="88"/>
      <c r="C42" s="29"/>
      <c r="D42" s="12"/>
      <c r="E42" s="12"/>
      <c r="F42" s="12"/>
      <c r="G42" s="12"/>
      <c r="H42" s="12"/>
      <c r="I42" s="86"/>
      <c r="J42" s="29"/>
      <c r="K42" s="86"/>
      <c r="L42" s="29"/>
      <c r="M42" s="12"/>
      <c r="N42" s="12"/>
      <c r="O42" s="12"/>
      <c r="P42" s="12"/>
      <c r="Q42" s="86"/>
      <c r="R42" s="29"/>
      <c r="S42" s="12"/>
      <c r="T42" s="12"/>
      <c r="U42" s="12"/>
      <c r="V42" s="12"/>
      <c r="W42" s="12"/>
      <c r="X42" s="86"/>
      <c r="Y42" s="29"/>
      <c r="Z42" s="12"/>
      <c r="AA42" s="12"/>
      <c r="AB42" s="12"/>
      <c r="AC42" s="86"/>
      <c r="AD42" s="29"/>
      <c r="AE42" s="86"/>
      <c r="AF42" s="29"/>
      <c r="AG42" s="12"/>
      <c r="AH42" s="29"/>
      <c r="AI42" s="12"/>
      <c r="AJ42" s="12"/>
      <c r="AK42" s="86"/>
      <c r="AL42" s="29"/>
      <c r="AM42" s="12"/>
      <c r="AN42" s="12"/>
      <c r="AO42" s="12"/>
      <c r="AP42" s="12"/>
      <c r="AQ42" s="86"/>
      <c r="AR42" s="12"/>
      <c r="AS42" s="29"/>
      <c r="AT42" s="12"/>
      <c r="AU42" s="12"/>
      <c r="AV42" s="12"/>
      <c r="AW42" s="12"/>
      <c r="AX42" s="12"/>
      <c r="AY42" s="29"/>
      <c r="AZ42" s="12"/>
      <c r="BA42" s="12"/>
      <c r="BB42" s="29"/>
      <c r="BC42" s="12"/>
      <c r="BD42" s="12"/>
      <c r="BE42" s="12"/>
      <c r="BF42" s="29"/>
      <c r="BG42" s="12"/>
      <c r="BH42" s="12"/>
      <c r="BI42" s="12"/>
      <c r="BJ42" s="12"/>
      <c r="BK42" s="12"/>
      <c r="BL42" s="12"/>
      <c r="BM42" s="12"/>
      <c r="BN42" s="29"/>
      <c r="BO42" s="12"/>
      <c r="BP42" s="12"/>
      <c r="BQ42" s="12"/>
      <c r="BR42" s="12"/>
      <c r="BS42" s="12"/>
      <c r="BT42" s="12"/>
      <c r="BU42" s="12"/>
      <c r="BV42" s="88"/>
      <c r="BW42" s="12"/>
      <c r="BX42" s="86"/>
      <c r="BY42" s="15"/>
    </row>
    <row r="43" spans="1:77" x14ac:dyDescent="0.2">
      <c r="A43" s="14" t="s">
        <v>78</v>
      </c>
      <c r="B43" s="100">
        <f t="shared" ref="B43:B54" si="41">SUM(C43:BX43)</f>
        <v>21260243.746936575</v>
      </c>
      <c r="C43" s="31"/>
      <c r="D43" s="92"/>
      <c r="E43" s="92"/>
      <c r="F43" s="92"/>
      <c r="G43" s="92"/>
      <c r="H43" s="90"/>
      <c r="I43" s="91"/>
      <c r="J43" s="30"/>
      <c r="K43" s="91"/>
      <c r="L43" s="31"/>
      <c r="M43" s="92"/>
      <c r="N43" s="92"/>
      <c r="O43" s="92"/>
      <c r="P43" s="92"/>
      <c r="Q43" s="93"/>
      <c r="R43" s="30"/>
      <c r="S43" s="90"/>
      <c r="T43" s="90"/>
      <c r="U43" s="90"/>
      <c r="V43" s="90"/>
      <c r="W43" s="90"/>
      <c r="X43" s="91"/>
      <c r="Y43" s="30"/>
      <c r="Z43" s="90"/>
      <c r="AA43" s="90"/>
      <c r="AB43" s="90"/>
      <c r="AC43" s="91"/>
      <c r="AD43" s="31"/>
      <c r="AE43" s="93"/>
      <c r="AF43" s="31"/>
      <c r="AG43" s="92"/>
      <c r="AH43" s="31"/>
      <c r="AI43" s="92"/>
      <c r="AJ43" s="92"/>
      <c r="AK43" s="93"/>
      <c r="AL43" s="31"/>
      <c r="AM43" s="92"/>
      <c r="AN43" s="92"/>
      <c r="AO43" s="92"/>
      <c r="AP43" s="92"/>
      <c r="AQ43" s="93"/>
      <c r="AR43" s="92"/>
      <c r="AS43" s="31"/>
      <c r="AT43" s="92"/>
      <c r="AU43" s="92"/>
      <c r="AV43" s="92"/>
      <c r="AW43" s="92"/>
      <c r="AX43" s="92"/>
      <c r="AY43" s="31"/>
      <c r="AZ43" s="92"/>
      <c r="BA43" s="92"/>
      <c r="BB43" s="31"/>
      <c r="BC43" s="90"/>
      <c r="BD43" s="90"/>
      <c r="BE43" s="90">
        <f>[14]RB!$I$330</f>
        <v>21097162.679424621</v>
      </c>
      <c r="BF43" s="30"/>
      <c r="BG43" s="90"/>
      <c r="BH43" s="12"/>
      <c r="BI43" s="90"/>
      <c r="BJ43" s="92"/>
      <c r="BK43" s="92"/>
      <c r="BL43" s="92"/>
      <c r="BM43" s="92"/>
      <c r="BN43" s="31"/>
      <c r="BO43" s="92"/>
      <c r="BP43" s="92"/>
      <c r="BQ43" s="92"/>
      <c r="BR43" s="92"/>
      <c r="BS43" s="92"/>
      <c r="BT43" s="92"/>
      <c r="BU43" s="92"/>
      <c r="BV43" s="299"/>
      <c r="BW43" s="92">
        <f>[14]ContractChange!$I$19</f>
        <v>163081.06751195365</v>
      </c>
      <c r="BX43" s="93"/>
      <c r="BY43" s="15"/>
    </row>
    <row r="44" spans="1:77" x14ac:dyDescent="0.2">
      <c r="A44" s="14" t="s">
        <v>79</v>
      </c>
      <c r="B44" s="100">
        <f t="shared" si="41"/>
        <v>0</v>
      </c>
      <c r="C44" s="31"/>
      <c r="D44" s="92"/>
      <c r="E44" s="92"/>
      <c r="F44" s="92"/>
      <c r="G44" s="92"/>
      <c r="H44" s="90"/>
      <c r="I44" s="91"/>
      <c r="J44" s="30"/>
      <c r="K44" s="91"/>
      <c r="L44" s="31"/>
      <c r="M44" s="92"/>
      <c r="N44" s="92"/>
      <c r="O44" s="92"/>
      <c r="P44" s="92"/>
      <c r="Q44" s="93"/>
      <c r="R44" s="30"/>
      <c r="S44" s="90"/>
      <c r="T44" s="90"/>
      <c r="U44" s="90"/>
      <c r="V44" s="90"/>
      <c r="W44" s="90"/>
      <c r="X44" s="91"/>
      <c r="Y44" s="30"/>
      <c r="Z44" s="90"/>
      <c r="AA44" s="90"/>
      <c r="AB44" s="90"/>
      <c r="AC44" s="91"/>
      <c r="AD44" s="31"/>
      <c r="AE44" s="93"/>
      <c r="AF44" s="31"/>
      <c r="AG44" s="92"/>
      <c r="AH44" s="31"/>
      <c r="AI44" s="92"/>
      <c r="AJ44" s="92"/>
      <c r="AK44" s="93"/>
      <c r="AL44" s="31"/>
      <c r="AM44" s="92"/>
      <c r="AN44" s="92"/>
      <c r="AO44" s="92"/>
      <c r="AP44" s="92"/>
      <c r="AQ44" s="93"/>
      <c r="AR44" s="92"/>
      <c r="AS44" s="31"/>
      <c r="AT44" s="92"/>
      <c r="AU44" s="92"/>
      <c r="AV44" s="92"/>
      <c r="AW44" s="92"/>
      <c r="AX44" s="92"/>
      <c r="AY44" s="31"/>
      <c r="AZ44" s="92"/>
      <c r="BA44" s="92"/>
      <c r="BB44" s="31"/>
      <c r="BC44" s="90"/>
      <c r="BD44" s="90"/>
      <c r="BE44" s="90"/>
      <c r="BF44" s="30"/>
      <c r="BG44" s="90"/>
      <c r="BH44" s="12"/>
      <c r="BI44" s="90"/>
      <c r="BJ44" s="92"/>
      <c r="BK44" s="92"/>
      <c r="BL44" s="92"/>
      <c r="BM44" s="92"/>
      <c r="BN44" s="31"/>
      <c r="BO44" s="92"/>
      <c r="BP44" s="92"/>
      <c r="BQ44" s="92"/>
      <c r="BR44" s="92"/>
      <c r="BS44" s="92"/>
      <c r="BT44" s="92"/>
      <c r="BU44" s="92"/>
      <c r="BV44" s="299"/>
      <c r="BW44" s="92"/>
      <c r="BX44" s="93"/>
      <c r="BY44" s="15"/>
    </row>
    <row r="45" spans="1:77" x14ac:dyDescent="0.2">
      <c r="A45" s="14" t="s">
        <v>80</v>
      </c>
      <c r="B45" s="100">
        <f t="shared" si="41"/>
        <v>-202651.71009212057</v>
      </c>
      <c r="C45" s="31"/>
      <c r="D45" s="92"/>
      <c r="E45" s="92"/>
      <c r="F45" s="92"/>
      <c r="G45" s="92"/>
      <c r="H45" s="90"/>
      <c r="I45" s="91"/>
      <c r="J45" s="30"/>
      <c r="K45" s="91"/>
      <c r="L45" s="31"/>
      <c r="M45" s="92"/>
      <c r="N45" s="92"/>
      <c r="O45" s="92"/>
      <c r="P45" s="92"/>
      <c r="Q45" s="93"/>
      <c r="R45" s="30"/>
      <c r="S45" s="90"/>
      <c r="T45" s="90"/>
      <c r="U45" s="90"/>
      <c r="V45" s="90"/>
      <c r="W45" s="90"/>
      <c r="X45" s="91"/>
      <c r="Y45" s="30"/>
      <c r="Z45" s="90"/>
      <c r="AA45" s="90"/>
      <c r="AB45" s="90"/>
      <c r="AC45" s="91"/>
      <c r="AD45" s="31"/>
      <c r="AE45" s="93"/>
      <c r="AF45" s="31"/>
      <c r="AG45" s="92"/>
      <c r="AH45" s="31"/>
      <c r="AI45" s="92"/>
      <c r="AJ45" s="92"/>
      <c r="AK45" s="93"/>
      <c r="AL45" s="31"/>
      <c r="AM45" s="92"/>
      <c r="AN45" s="92"/>
      <c r="AO45" s="92"/>
      <c r="AP45" s="92"/>
      <c r="AQ45" s="93"/>
      <c r="AR45" s="92"/>
      <c r="AS45" s="31"/>
      <c r="AT45" s="92"/>
      <c r="AU45" s="92"/>
      <c r="AV45" s="92"/>
      <c r="AW45" s="92"/>
      <c r="AX45" s="92"/>
      <c r="AY45" s="31"/>
      <c r="AZ45" s="92"/>
      <c r="BA45" s="92"/>
      <c r="BB45" s="31"/>
      <c r="BC45" s="90"/>
      <c r="BD45" s="90"/>
      <c r="BE45" s="90"/>
      <c r="BF45" s="30"/>
      <c r="BG45" s="90"/>
      <c r="BH45" s="12"/>
      <c r="BI45" s="90">
        <f>'[39]Page 8.6'!$I$12+'[39]Page 8.6'!$I$10</f>
        <v>-202651.71009212057</v>
      </c>
      <c r="BJ45" s="92"/>
      <c r="BK45" s="92"/>
      <c r="BL45" s="92"/>
      <c r="BM45" s="92"/>
      <c r="BN45" s="31"/>
      <c r="BO45" s="92"/>
      <c r="BP45" s="92"/>
      <c r="BQ45" s="92"/>
      <c r="BR45" s="92"/>
      <c r="BS45" s="92"/>
      <c r="BT45" s="92"/>
      <c r="BU45" s="92"/>
      <c r="BV45" s="299"/>
      <c r="BW45" s="92"/>
      <c r="BX45" s="93"/>
      <c r="BY45" s="15"/>
    </row>
    <row r="46" spans="1:77" x14ac:dyDescent="0.2">
      <c r="A46" s="14" t="s">
        <v>81</v>
      </c>
      <c r="B46" s="100">
        <f t="shared" si="41"/>
        <v>0</v>
      </c>
      <c r="C46" s="31"/>
      <c r="D46" s="92"/>
      <c r="E46" s="92"/>
      <c r="F46" s="92"/>
      <c r="G46" s="92"/>
      <c r="H46" s="90"/>
      <c r="I46" s="91"/>
      <c r="J46" s="30"/>
      <c r="K46" s="91"/>
      <c r="L46" s="31"/>
      <c r="M46" s="92"/>
      <c r="N46" s="92"/>
      <c r="O46" s="92"/>
      <c r="P46" s="92"/>
      <c r="Q46" s="93"/>
      <c r="R46" s="30"/>
      <c r="S46" s="90"/>
      <c r="T46" s="90"/>
      <c r="U46" s="90"/>
      <c r="V46" s="90"/>
      <c r="W46" s="90"/>
      <c r="X46" s="91"/>
      <c r="Y46" s="30"/>
      <c r="Z46" s="90"/>
      <c r="AA46" s="90"/>
      <c r="AB46" s="90"/>
      <c r="AC46" s="91"/>
      <c r="AD46" s="31"/>
      <c r="AE46" s="93"/>
      <c r="AF46" s="31"/>
      <c r="AG46" s="92"/>
      <c r="AH46" s="31"/>
      <c r="AI46" s="92"/>
      <c r="AJ46" s="92"/>
      <c r="AK46" s="93"/>
      <c r="AL46" s="31"/>
      <c r="AM46" s="92"/>
      <c r="AN46" s="92"/>
      <c r="AO46" s="92"/>
      <c r="AP46" s="92"/>
      <c r="AQ46" s="93"/>
      <c r="AR46" s="92"/>
      <c r="AS46" s="31"/>
      <c r="AT46" s="92"/>
      <c r="AU46" s="92"/>
      <c r="AV46" s="92"/>
      <c r="AW46" s="92"/>
      <c r="AX46" s="92"/>
      <c r="AY46" s="31"/>
      <c r="AZ46" s="92"/>
      <c r="BA46" s="92"/>
      <c r="BB46" s="31"/>
      <c r="BC46" s="90"/>
      <c r="BD46" s="90"/>
      <c r="BE46" s="90"/>
      <c r="BF46" s="30"/>
      <c r="BG46" s="90"/>
      <c r="BH46" s="12"/>
      <c r="BI46" s="90"/>
      <c r="BJ46" s="92"/>
      <c r="BK46" s="92"/>
      <c r="BL46" s="92"/>
      <c r="BM46" s="92"/>
      <c r="BN46" s="31"/>
      <c r="BO46" s="92"/>
      <c r="BP46" s="92"/>
      <c r="BQ46" s="92"/>
      <c r="BR46" s="92"/>
      <c r="BS46" s="92"/>
      <c r="BT46" s="92"/>
      <c r="BU46" s="92"/>
      <c r="BV46" s="299"/>
      <c r="BW46" s="92"/>
      <c r="BX46" s="93"/>
      <c r="BY46" s="15"/>
    </row>
    <row r="47" spans="1:77" x14ac:dyDescent="0.2">
      <c r="A47" s="14" t="s">
        <v>82</v>
      </c>
      <c r="B47" s="100">
        <f t="shared" si="41"/>
        <v>0</v>
      </c>
      <c r="C47" s="31"/>
      <c r="D47" s="92"/>
      <c r="E47" s="92"/>
      <c r="F47" s="92"/>
      <c r="G47" s="92"/>
      <c r="H47" s="90"/>
      <c r="I47" s="91"/>
      <c r="J47" s="30"/>
      <c r="K47" s="91"/>
      <c r="L47" s="31"/>
      <c r="M47" s="92"/>
      <c r="N47" s="92"/>
      <c r="O47" s="92"/>
      <c r="P47" s="92"/>
      <c r="Q47" s="93"/>
      <c r="R47" s="30"/>
      <c r="S47" s="90"/>
      <c r="T47" s="90"/>
      <c r="U47" s="90"/>
      <c r="V47" s="90"/>
      <c r="W47" s="90"/>
      <c r="X47" s="91"/>
      <c r="Y47" s="30"/>
      <c r="Z47" s="90"/>
      <c r="AA47" s="90"/>
      <c r="AB47" s="90"/>
      <c r="AC47" s="91"/>
      <c r="AD47" s="31"/>
      <c r="AE47" s="93"/>
      <c r="AF47" s="31"/>
      <c r="AG47" s="92"/>
      <c r="AH47" s="31"/>
      <c r="AI47" s="92"/>
      <c r="AJ47" s="92"/>
      <c r="AK47" s="93"/>
      <c r="AL47" s="31"/>
      <c r="AM47" s="92"/>
      <c r="AN47" s="92"/>
      <c r="AO47" s="92"/>
      <c r="AP47" s="92"/>
      <c r="AQ47" s="93"/>
      <c r="AR47" s="92"/>
      <c r="AS47" s="31"/>
      <c r="AT47" s="92"/>
      <c r="AU47" s="92"/>
      <c r="AV47" s="92"/>
      <c r="AW47" s="92"/>
      <c r="AX47" s="92"/>
      <c r="AY47" s="31"/>
      <c r="AZ47" s="92"/>
      <c r="BA47" s="92"/>
      <c r="BB47" s="31"/>
      <c r="BC47" s="90"/>
      <c r="BD47" s="90"/>
      <c r="BE47" s="90"/>
      <c r="BF47" s="30"/>
      <c r="BG47" s="90"/>
      <c r="BH47" s="12"/>
      <c r="BI47" s="90"/>
      <c r="BJ47" s="92"/>
      <c r="BK47" s="92"/>
      <c r="BL47" s="92"/>
      <c r="BM47" s="92"/>
      <c r="BN47" s="31"/>
      <c r="BO47" s="92"/>
      <c r="BP47" s="92"/>
      <c r="BQ47" s="92"/>
      <c r="BR47" s="92"/>
      <c r="BS47" s="92"/>
      <c r="BT47" s="92"/>
      <c r="BU47" s="92"/>
      <c r="BV47" s="299"/>
      <c r="BW47" s="92"/>
      <c r="BX47" s="93"/>
      <c r="BY47" s="15"/>
    </row>
    <row r="48" spans="1:77" x14ac:dyDescent="0.2">
      <c r="A48" s="14" t="s">
        <v>83</v>
      </c>
      <c r="B48" s="100">
        <f t="shared" si="41"/>
        <v>0</v>
      </c>
      <c r="C48" s="31"/>
      <c r="D48" s="92"/>
      <c r="E48" s="92"/>
      <c r="F48" s="92"/>
      <c r="G48" s="92"/>
      <c r="H48" s="90"/>
      <c r="I48" s="91"/>
      <c r="J48" s="30"/>
      <c r="K48" s="91"/>
      <c r="L48" s="31"/>
      <c r="M48" s="92"/>
      <c r="N48" s="92"/>
      <c r="O48" s="92"/>
      <c r="P48" s="92"/>
      <c r="Q48" s="93"/>
      <c r="R48" s="30"/>
      <c r="S48" s="90"/>
      <c r="T48" s="90"/>
      <c r="U48" s="90"/>
      <c r="V48" s="90"/>
      <c r="W48" s="90"/>
      <c r="X48" s="91"/>
      <c r="Y48" s="30"/>
      <c r="Z48" s="90"/>
      <c r="AA48" s="90"/>
      <c r="AB48" s="90"/>
      <c r="AC48" s="91"/>
      <c r="AD48" s="31"/>
      <c r="AE48" s="93"/>
      <c r="AF48" s="31"/>
      <c r="AG48" s="92"/>
      <c r="AH48" s="31"/>
      <c r="AI48" s="92"/>
      <c r="AJ48" s="92"/>
      <c r="AK48" s="93"/>
      <c r="AL48" s="31"/>
      <c r="AM48" s="92"/>
      <c r="AN48" s="92"/>
      <c r="AO48" s="92"/>
      <c r="AP48" s="92"/>
      <c r="AQ48" s="93"/>
      <c r="AR48" s="92"/>
      <c r="AS48" s="31"/>
      <c r="AT48" s="92"/>
      <c r="AU48" s="92"/>
      <c r="AV48" s="92"/>
      <c r="AW48" s="92"/>
      <c r="AX48" s="92"/>
      <c r="AY48" s="31"/>
      <c r="AZ48" s="92"/>
      <c r="BA48" s="92"/>
      <c r="BB48" s="31"/>
      <c r="BC48" s="90"/>
      <c r="BD48" s="90"/>
      <c r="BE48" s="90"/>
      <c r="BF48" s="30"/>
      <c r="BG48" s="90"/>
      <c r="BH48" s="12"/>
      <c r="BI48" s="90"/>
      <c r="BJ48" s="92"/>
      <c r="BK48" s="92"/>
      <c r="BL48" s="92"/>
      <c r="BM48" s="92"/>
      <c r="BN48" s="31"/>
      <c r="BO48" s="92"/>
      <c r="BP48" s="92"/>
      <c r="BQ48" s="92"/>
      <c r="BR48" s="92"/>
      <c r="BS48" s="92"/>
      <c r="BT48" s="92"/>
      <c r="BU48" s="92"/>
      <c r="BV48" s="299"/>
      <c r="BW48" s="92"/>
      <c r="BX48" s="93"/>
      <c r="BY48" s="15"/>
    </row>
    <row r="49" spans="1:77" x14ac:dyDescent="0.2">
      <c r="A49" s="14" t="s">
        <v>84</v>
      </c>
      <c r="B49" s="100">
        <f t="shared" si="41"/>
        <v>0</v>
      </c>
      <c r="C49" s="31"/>
      <c r="D49" s="92"/>
      <c r="E49" s="92"/>
      <c r="F49" s="92"/>
      <c r="G49" s="92"/>
      <c r="H49" s="90"/>
      <c r="I49" s="91"/>
      <c r="J49" s="30"/>
      <c r="K49" s="91"/>
      <c r="L49" s="31"/>
      <c r="M49" s="92"/>
      <c r="N49" s="92"/>
      <c r="O49" s="92"/>
      <c r="P49" s="92"/>
      <c r="Q49" s="93"/>
      <c r="R49" s="30"/>
      <c r="S49" s="90"/>
      <c r="T49" s="90"/>
      <c r="U49" s="90"/>
      <c r="V49" s="90"/>
      <c r="W49" s="90"/>
      <c r="X49" s="91"/>
      <c r="Y49" s="30"/>
      <c r="Z49" s="90"/>
      <c r="AA49" s="90"/>
      <c r="AB49" s="90"/>
      <c r="AC49" s="91"/>
      <c r="AD49" s="31"/>
      <c r="AE49" s="93"/>
      <c r="AF49" s="31"/>
      <c r="AG49" s="92"/>
      <c r="AH49" s="31"/>
      <c r="AI49" s="92"/>
      <c r="AJ49" s="92"/>
      <c r="AK49" s="93"/>
      <c r="AL49" s="31"/>
      <c r="AM49" s="92"/>
      <c r="AN49" s="92"/>
      <c r="AO49" s="92"/>
      <c r="AP49" s="92"/>
      <c r="AQ49" s="93"/>
      <c r="AR49" s="92"/>
      <c r="AS49" s="31"/>
      <c r="AT49" s="92"/>
      <c r="AU49" s="92"/>
      <c r="AV49" s="92"/>
      <c r="AW49" s="92"/>
      <c r="AX49" s="92"/>
      <c r="AY49" s="31"/>
      <c r="AZ49" s="92"/>
      <c r="BA49" s="92"/>
      <c r="BB49" s="31"/>
      <c r="BC49" s="90"/>
      <c r="BD49" s="90"/>
      <c r="BE49" s="90"/>
      <c r="BF49" s="30"/>
      <c r="BG49" s="90"/>
      <c r="BH49" s="12"/>
      <c r="BI49" s="90"/>
      <c r="BJ49" s="92"/>
      <c r="BK49" s="92"/>
      <c r="BL49" s="92"/>
      <c r="BM49" s="92"/>
      <c r="BN49" s="31"/>
      <c r="BO49" s="92"/>
      <c r="BP49" s="92"/>
      <c r="BQ49" s="92"/>
      <c r="BR49" s="92"/>
      <c r="BS49" s="92"/>
      <c r="BT49" s="92"/>
      <c r="BU49" s="92"/>
      <c r="BV49" s="299"/>
      <c r="BW49" s="92"/>
      <c r="BX49" s="93"/>
      <c r="BY49" s="15"/>
    </row>
    <row r="50" spans="1:77" x14ac:dyDescent="0.2">
      <c r="A50" s="14" t="s">
        <v>85</v>
      </c>
      <c r="B50" s="100">
        <f t="shared" si="41"/>
        <v>0</v>
      </c>
      <c r="C50" s="31"/>
      <c r="D50" s="92"/>
      <c r="E50" s="92"/>
      <c r="F50" s="92"/>
      <c r="G50" s="92"/>
      <c r="H50" s="90"/>
      <c r="I50" s="91"/>
      <c r="J50" s="30"/>
      <c r="K50" s="91"/>
      <c r="L50" s="31"/>
      <c r="M50" s="92"/>
      <c r="N50" s="92"/>
      <c r="O50" s="92"/>
      <c r="P50" s="92"/>
      <c r="Q50" s="93"/>
      <c r="R50" s="30"/>
      <c r="S50" s="90"/>
      <c r="T50" s="90"/>
      <c r="U50" s="90"/>
      <c r="V50" s="90"/>
      <c r="W50" s="90"/>
      <c r="X50" s="91"/>
      <c r="Y50" s="30"/>
      <c r="Z50" s="90"/>
      <c r="AA50" s="90"/>
      <c r="AB50" s="90"/>
      <c r="AC50" s="91"/>
      <c r="AD50" s="31"/>
      <c r="AE50" s="93"/>
      <c r="AF50" s="31"/>
      <c r="AG50" s="92"/>
      <c r="AH50" s="31"/>
      <c r="AI50" s="92"/>
      <c r="AJ50" s="92"/>
      <c r="AK50" s="93"/>
      <c r="AL50" s="31"/>
      <c r="AM50" s="92"/>
      <c r="AN50" s="92"/>
      <c r="AO50" s="92"/>
      <c r="AP50" s="92"/>
      <c r="AQ50" s="93"/>
      <c r="AR50" s="92"/>
      <c r="AS50" s="31"/>
      <c r="AT50" s="92"/>
      <c r="AU50" s="92"/>
      <c r="AV50" s="92"/>
      <c r="AW50" s="92"/>
      <c r="AX50" s="92"/>
      <c r="AY50" s="31"/>
      <c r="AZ50" s="92"/>
      <c r="BA50" s="92"/>
      <c r="BB50" s="31"/>
      <c r="BC50" s="90"/>
      <c r="BD50" s="90"/>
      <c r="BE50" s="90"/>
      <c r="BF50" s="30"/>
      <c r="BG50" s="90"/>
      <c r="BH50" s="12"/>
      <c r="BI50" s="90"/>
      <c r="BJ50" s="92"/>
      <c r="BK50" s="92"/>
      <c r="BL50" s="92"/>
      <c r="BM50" s="92"/>
      <c r="BN50" s="31"/>
      <c r="BO50" s="92"/>
      <c r="BP50" s="92"/>
      <c r="BQ50" s="92"/>
      <c r="BR50" s="92"/>
      <c r="BS50" s="92"/>
      <c r="BT50" s="92"/>
      <c r="BU50" s="92"/>
      <c r="BV50" s="299"/>
      <c r="BW50" s="92"/>
      <c r="BX50" s="93"/>
      <c r="BY50" s="15"/>
    </row>
    <row r="51" spans="1:77" x14ac:dyDescent="0.2">
      <c r="A51" s="14" t="s">
        <v>86</v>
      </c>
      <c r="B51" s="100">
        <f t="shared" si="41"/>
        <v>0</v>
      </c>
      <c r="C51" s="31"/>
      <c r="D51" s="92"/>
      <c r="E51" s="92"/>
      <c r="F51" s="92"/>
      <c r="G51" s="92"/>
      <c r="H51" s="90"/>
      <c r="I51" s="91"/>
      <c r="J51" s="30"/>
      <c r="K51" s="91"/>
      <c r="L51" s="31"/>
      <c r="M51" s="92"/>
      <c r="N51" s="92"/>
      <c r="O51" s="92"/>
      <c r="P51" s="92"/>
      <c r="Q51" s="93"/>
      <c r="R51" s="30"/>
      <c r="S51" s="90"/>
      <c r="T51" s="90"/>
      <c r="U51" s="90"/>
      <c r="V51" s="90"/>
      <c r="W51" s="90"/>
      <c r="X51" s="91"/>
      <c r="Y51" s="30"/>
      <c r="Z51" s="90"/>
      <c r="AA51" s="90"/>
      <c r="AB51" s="90"/>
      <c r="AC51" s="91"/>
      <c r="AD51" s="31"/>
      <c r="AE51" s="93"/>
      <c r="AF51" s="31"/>
      <c r="AG51" s="92"/>
      <c r="AH51" s="31"/>
      <c r="AI51" s="92"/>
      <c r="AJ51" s="92"/>
      <c r="AK51" s="93"/>
      <c r="AL51" s="31"/>
      <c r="AM51" s="92"/>
      <c r="AN51" s="92"/>
      <c r="AO51" s="92"/>
      <c r="AP51" s="92"/>
      <c r="AQ51" s="93"/>
      <c r="AR51" s="92"/>
      <c r="AS51" s="31"/>
      <c r="AT51" s="92"/>
      <c r="AU51" s="92"/>
      <c r="AV51" s="92"/>
      <c r="AW51" s="92"/>
      <c r="AX51" s="92"/>
      <c r="AY51" s="31"/>
      <c r="AZ51" s="92"/>
      <c r="BA51" s="92"/>
      <c r="BB51" s="31"/>
      <c r="BC51" s="90"/>
      <c r="BD51" s="90"/>
      <c r="BE51" s="90"/>
      <c r="BF51" s="30"/>
      <c r="BG51" s="90"/>
      <c r="BH51" s="12"/>
      <c r="BI51" s="90"/>
      <c r="BJ51" s="92"/>
      <c r="BK51" s="92"/>
      <c r="BL51" s="92"/>
      <c r="BM51" s="92"/>
      <c r="BN51" s="31"/>
      <c r="BO51" s="92"/>
      <c r="BP51" s="92"/>
      <c r="BQ51" s="92"/>
      <c r="BR51" s="92"/>
      <c r="BS51" s="92"/>
      <c r="BT51" s="92"/>
      <c r="BU51" s="92"/>
      <c r="BV51" s="299"/>
      <c r="BW51" s="92"/>
      <c r="BX51" s="93"/>
      <c r="BY51" s="15"/>
    </row>
    <row r="52" spans="1:77" x14ac:dyDescent="0.2">
      <c r="A52" s="14" t="s">
        <v>87</v>
      </c>
      <c r="B52" s="100">
        <f t="shared" si="41"/>
        <v>0</v>
      </c>
      <c r="C52" s="31"/>
      <c r="D52" s="92"/>
      <c r="E52" s="92"/>
      <c r="F52" s="92"/>
      <c r="G52" s="92"/>
      <c r="H52" s="90"/>
      <c r="I52" s="91"/>
      <c r="J52" s="30"/>
      <c r="K52" s="91"/>
      <c r="L52" s="31"/>
      <c r="M52" s="92"/>
      <c r="N52" s="92"/>
      <c r="O52" s="92"/>
      <c r="P52" s="92"/>
      <c r="Q52" s="93"/>
      <c r="R52" s="30"/>
      <c r="S52" s="90"/>
      <c r="T52" s="90"/>
      <c r="U52" s="90"/>
      <c r="V52" s="90"/>
      <c r="W52" s="90"/>
      <c r="X52" s="91"/>
      <c r="Y52" s="30"/>
      <c r="Z52" s="90"/>
      <c r="AA52" s="90"/>
      <c r="AB52" s="90"/>
      <c r="AC52" s="91"/>
      <c r="AD52" s="31"/>
      <c r="AE52" s="93"/>
      <c r="AF52" s="31"/>
      <c r="AG52" s="92"/>
      <c r="AH52" s="31"/>
      <c r="AI52" s="92"/>
      <c r="AJ52" s="92"/>
      <c r="AK52" s="93"/>
      <c r="AL52" s="31"/>
      <c r="AM52" s="92"/>
      <c r="AN52" s="92"/>
      <c r="AO52" s="92"/>
      <c r="AP52" s="92"/>
      <c r="AQ52" s="93"/>
      <c r="AR52" s="92"/>
      <c r="AS52" s="31"/>
      <c r="AT52" s="92"/>
      <c r="AU52" s="92"/>
      <c r="AV52" s="92"/>
      <c r="AW52" s="92"/>
      <c r="AX52" s="92"/>
      <c r="AY52" s="31"/>
      <c r="AZ52" s="92"/>
      <c r="BA52" s="92"/>
      <c r="BB52" s="31"/>
      <c r="BC52" s="90"/>
      <c r="BD52" s="90"/>
      <c r="BE52" s="90"/>
      <c r="BF52" s="30"/>
      <c r="BG52" s="90"/>
      <c r="BH52" s="12"/>
      <c r="BI52" s="90"/>
      <c r="BJ52" s="92"/>
      <c r="BK52" s="92"/>
      <c r="BL52" s="92"/>
      <c r="BM52" s="92"/>
      <c r="BN52" s="31"/>
      <c r="BO52" s="92"/>
      <c r="BP52" s="92"/>
      <c r="BQ52" s="92"/>
      <c r="BR52" s="92"/>
      <c r="BS52" s="92"/>
      <c r="BT52" s="92"/>
      <c r="BU52" s="92"/>
      <c r="BV52" s="299"/>
      <c r="BW52" s="92"/>
      <c r="BX52" s="93"/>
      <c r="BY52" s="15"/>
    </row>
    <row r="53" spans="1:77" x14ac:dyDescent="0.2">
      <c r="A53" s="14" t="s">
        <v>88</v>
      </c>
      <c r="B53" s="100">
        <f t="shared" si="41"/>
        <v>0</v>
      </c>
      <c r="C53" s="31"/>
      <c r="D53" s="92"/>
      <c r="E53" s="92"/>
      <c r="F53" s="92"/>
      <c r="G53" s="92"/>
      <c r="H53" s="90"/>
      <c r="I53" s="91"/>
      <c r="J53" s="30"/>
      <c r="K53" s="91"/>
      <c r="L53" s="31"/>
      <c r="M53" s="92"/>
      <c r="N53" s="92"/>
      <c r="O53" s="92"/>
      <c r="P53" s="92"/>
      <c r="Q53" s="93"/>
      <c r="R53" s="30"/>
      <c r="S53" s="90"/>
      <c r="T53" s="90"/>
      <c r="U53" s="90"/>
      <c r="V53" s="90"/>
      <c r="W53" s="90"/>
      <c r="X53" s="91"/>
      <c r="Y53" s="30"/>
      <c r="Z53" s="90"/>
      <c r="AA53" s="90"/>
      <c r="AB53" s="90"/>
      <c r="AC53" s="91"/>
      <c r="AD53" s="31"/>
      <c r="AE53" s="93"/>
      <c r="AF53" s="31"/>
      <c r="AG53" s="92"/>
      <c r="AH53" s="31"/>
      <c r="AI53" s="92"/>
      <c r="AJ53" s="92"/>
      <c r="AK53" s="93"/>
      <c r="AL53" s="31"/>
      <c r="AM53" s="92"/>
      <c r="AN53" s="92"/>
      <c r="AO53" s="92"/>
      <c r="AP53" s="92"/>
      <c r="AQ53" s="93"/>
      <c r="AR53" s="92"/>
      <c r="AS53" s="31"/>
      <c r="AT53" s="92"/>
      <c r="AU53" s="92"/>
      <c r="AV53" s="92"/>
      <c r="AW53" s="92"/>
      <c r="AX53" s="92"/>
      <c r="AY53" s="31"/>
      <c r="AZ53" s="92"/>
      <c r="BA53" s="92"/>
      <c r="BB53" s="31"/>
      <c r="BC53" s="90"/>
      <c r="BD53" s="90"/>
      <c r="BE53" s="90"/>
      <c r="BF53" s="30"/>
      <c r="BG53" s="90"/>
      <c r="BH53" s="12"/>
      <c r="BI53" s="90"/>
      <c r="BJ53" s="92"/>
      <c r="BK53" s="92"/>
      <c r="BL53" s="92"/>
      <c r="BM53" s="92"/>
      <c r="BN53" s="31"/>
      <c r="BO53" s="92"/>
      <c r="BP53" s="92"/>
      <c r="BQ53" s="92"/>
      <c r="BR53" s="92"/>
      <c r="BS53" s="92"/>
      <c r="BT53" s="92"/>
      <c r="BU53" s="92"/>
      <c r="BV53" s="299"/>
      <c r="BW53" s="92"/>
      <c r="BX53" s="93"/>
      <c r="BY53" s="15"/>
    </row>
    <row r="54" spans="1:77" x14ac:dyDescent="0.2">
      <c r="A54" s="14" t="s">
        <v>89</v>
      </c>
      <c r="B54" s="189">
        <f t="shared" si="41"/>
        <v>21057592.036844455</v>
      </c>
      <c r="C54" s="35">
        <f>SUM(C43:C53)</f>
        <v>0</v>
      </c>
      <c r="D54" s="103">
        <f t="shared" ref="D54:BU54" si="42">SUM(D43:D53)</f>
        <v>0</v>
      </c>
      <c r="E54" s="103">
        <f t="shared" si="42"/>
        <v>0</v>
      </c>
      <c r="F54" s="103">
        <f t="shared" si="42"/>
        <v>0</v>
      </c>
      <c r="G54" s="103">
        <f t="shared" si="42"/>
        <v>0</v>
      </c>
      <c r="H54" s="103">
        <f t="shared" si="42"/>
        <v>0</v>
      </c>
      <c r="I54" s="104">
        <f t="shared" si="42"/>
        <v>0</v>
      </c>
      <c r="J54" s="35">
        <f t="shared" ref="J54:K54" si="43">SUM(J43:J53)</f>
        <v>0</v>
      </c>
      <c r="K54" s="104">
        <f t="shared" si="43"/>
        <v>0</v>
      </c>
      <c r="L54" s="35">
        <f t="shared" si="42"/>
        <v>0</v>
      </c>
      <c r="M54" s="103">
        <f t="shared" si="42"/>
        <v>0</v>
      </c>
      <c r="N54" s="103">
        <f t="shared" si="42"/>
        <v>0</v>
      </c>
      <c r="O54" s="103">
        <f t="shared" si="42"/>
        <v>0</v>
      </c>
      <c r="P54" s="103">
        <f t="shared" si="42"/>
        <v>0</v>
      </c>
      <c r="Q54" s="104">
        <f t="shared" si="42"/>
        <v>0</v>
      </c>
      <c r="R54" s="35">
        <f t="shared" si="42"/>
        <v>0</v>
      </c>
      <c r="S54" s="103">
        <f t="shared" si="42"/>
        <v>0</v>
      </c>
      <c r="T54" s="103">
        <f t="shared" si="42"/>
        <v>0</v>
      </c>
      <c r="U54" s="103">
        <f t="shared" si="42"/>
        <v>0</v>
      </c>
      <c r="V54" s="103">
        <f t="shared" si="42"/>
        <v>0</v>
      </c>
      <c r="W54" s="103">
        <f t="shared" si="42"/>
        <v>0</v>
      </c>
      <c r="X54" s="104">
        <f t="shared" si="42"/>
        <v>0</v>
      </c>
      <c r="Y54" s="35">
        <f t="shared" ref="Y54:AB54" si="44">SUM(Y43:Y53)</f>
        <v>0</v>
      </c>
      <c r="Z54" s="103">
        <f t="shared" si="44"/>
        <v>0</v>
      </c>
      <c r="AA54" s="103">
        <f t="shared" si="44"/>
        <v>0</v>
      </c>
      <c r="AB54" s="103">
        <f t="shared" si="44"/>
        <v>0</v>
      </c>
      <c r="AC54" s="104">
        <f t="shared" ref="AC54" si="45">SUM(AC43:AC53)</f>
        <v>0</v>
      </c>
      <c r="AD54" s="35">
        <f t="shared" si="42"/>
        <v>0</v>
      </c>
      <c r="AE54" s="104">
        <f t="shared" si="42"/>
        <v>0</v>
      </c>
      <c r="AF54" s="35">
        <f t="shared" si="42"/>
        <v>0</v>
      </c>
      <c r="AG54" s="103">
        <f t="shared" si="42"/>
        <v>0</v>
      </c>
      <c r="AH54" s="35">
        <f t="shared" si="42"/>
        <v>0</v>
      </c>
      <c r="AI54" s="103">
        <f t="shared" si="42"/>
        <v>0</v>
      </c>
      <c r="AJ54" s="103">
        <f t="shared" si="42"/>
        <v>0</v>
      </c>
      <c r="AK54" s="104">
        <f t="shared" si="42"/>
        <v>0</v>
      </c>
      <c r="AL54" s="35">
        <f t="shared" si="42"/>
        <v>0</v>
      </c>
      <c r="AM54" s="103">
        <f t="shared" ref="AM54:AP54" si="46">SUM(AM43:AM53)</f>
        <v>0</v>
      </c>
      <c r="AN54" s="103">
        <f t="shared" si="46"/>
        <v>0</v>
      </c>
      <c r="AO54" s="103">
        <f t="shared" si="46"/>
        <v>0</v>
      </c>
      <c r="AP54" s="103">
        <f t="shared" si="46"/>
        <v>0</v>
      </c>
      <c r="AQ54" s="104">
        <f t="shared" ref="AQ54:AR54" si="47">SUM(AQ43:AQ53)</f>
        <v>0</v>
      </c>
      <c r="AR54" s="103">
        <f t="shared" si="47"/>
        <v>0</v>
      </c>
      <c r="AS54" s="35">
        <f t="shared" si="42"/>
        <v>0</v>
      </c>
      <c r="AT54" s="103">
        <f t="shared" si="42"/>
        <v>0</v>
      </c>
      <c r="AU54" s="103">
        <f t="shared" si="42"/>
        <v>0</v>
      </c>
      <c r="AV54" s="103">
        <f t="shared" si="42"/>
        <v>0</v>
      </c>
      <c r="AW54" s="103">
        <f t="shared" si="42"/>
        <v>0</v>
      </c>
      <c r="AX54" s="103">
        <f t="shared" si="42"/>
        <v>0</v>
      </c>
      <c r="AY54" s="35">
        <f t="shared" si="42"/>
        <v>0</v>
      </c>
      <c r="AZ54" s="103">
        <f t="shared" si="42"/>
        <v>0</v>
      </c>
      <c r="BA54" s="103">
        <f t="shared" si="42"/>
        <v>0</v>
      </c>
      <c r="BB54" s="35">
        <f t="shared" si="42"/>
        <v>0</v>
      </c>
      <c r="BC54" s="103">
        <f t="shared" si="42"/>
        <v>0</v>
      </c>
      <c r="BD54" s="103">
        <f t="shared" si="42"/>
        <v>0</v>
      </c>
      <c r="BE54" s="103">
        <f t="shared" si="42"/>
        <v>21097162.679424621</v>
      </c>
      <c r="BF54" s="35">
        <f t="shared" ref="BF54" si="48">SUM(BF43:BF53)</f>
        <v>0</v>
      </c>
      <c r="BG54" s="103">
        <f t="shared" si="42"/>
        <v>0</v>
      </c>
      <c r="BH54" s="103">
        <f t="shared" si="42"/>
        <v>0</v>
      </c>
      <c r="BI54" s="103">
        <f t="shared" si="42"/>
        <v>-202651.71009212057</v>
      </c>
      <c r="BJ54" s="103">
        <f t="shared" si="42"/>
        <v>0</v>
      </c>
      <c r="BK54" s="103">
        <f t="shared" si="42"/>
        <v>0</v>
      </c>
      <c r="BL54" s="103">
        <f t="shared" si="42"/>
        <v>0</v>
      </c>
      <c r="BM54" s="103">
        <f t="shared" si="42"/>
        <v>0</v>
      </c>
      <c r="BN54" s="35">
        <f t="shared" si="42"/>
        <v>0</v>
      </c>
      <c r="BO54" s="103">
        <f t="shared" si="42"/>
        <v>0</v>
      </c>
      <c r="BP54" s="103">
        <f t="shared" si="42"/>
        <v>0</v>
      </c>
      <c r="BQ54" s="103">
        <f t="shared" si="42"/>
        <v>0</v>
      </c>
      <c r="BR54" s="103">
        <f t="shared" si="42"/>
        <v>0</v>
      </c>
      <c r="BS54" s="103">
        <f t="shared" si="42"/>
        <v>0</v>
      </c>
      <c r="BT54" s="103">
        <f t="shared" si="42"/>
        <v>0</v>
      </c>
      <c r="BU54" s="103">
        <f t="shared" si="42"/>
        <v>0</v>
      </c>
      <c r="BV54" s="189">
        <f t="shared" ref="BV54:BX54" si="49">SUM(BV43:BV53)</f>
        <v>0</v>
      </c>
      <c r="BW54" s="103">
        <f t="shared" si="49"/>
        <v>163081.06751195365</v>
      </c>
      <c r="BX54" s="104">
        <f t="shared" si="49"/>
        <v>0</v>
      </c>
      <c r="BY54" s="15"/>
    </row>
    <row r="55" spans="1:77" x14ac:dyDescent="0.2">
      <c r="A55" s="14"/>
      <c r="B55" s="88"/>
      <c r="C55" s="29"/>
      <c r="D55" s="12"/>
      <c r="E55" s="12"/>
      <c r="F55" s="12"/>
      <c r="G55" s="12"/>
      <c r="H55" s="12"/>
      <c r="I55" s="86"/>
      <c r="J55" s="29"/>
      <c r="K55" s="86"/>
      <c r="L55" s="29"/>
      <c r="M55" s="12"/>
      <c r="N55" s="12"/>
      <c r="O55" s="12"/>
      <c r="P55" s="12"/>
      <c r="Q55" s="86"/>
      <c r="R55" s="29"/>
      <c r="S55" s="12"/>
      <c r="T55" s="12"/>
      <c r="U55" s="12"/>
      <c r="V55" s="12"/>
      <c r="W55" s="12"/>
      <c r="X55" s="86"/>
      <c r="Y55" s="29"/>
      <c r="Z55" s="12"/>
      <c r="AA55" s="12"/>
      <c r="AB55" s="12"/>
      <c r="AC55" s="86"/>
      <c r="AD55" s="29"/>
      <c r="AE55" s="86"/>
      <c r="AF55" s="29"/>
      <c r="AG55" s="12"/>
      <c r="AH55" s="29"/>
      <c r="AI55" s="12"/>
      <c r="AJ55" s="12"/>
      <c r="AK55" s="86"/>
      <c r="AL55" s="29"/>
      <c r="AM55" s="12"/>
      <c r="AN55" s="12"/>
      <c r="AO55" s="12"/>
      <c r="AP55" s="12"/>
      <c r="AQ55" s="86"/>
      <c r="AR55" s="12"/>
      <c r="AS55" s="29"/>
      <c r="AT55" s="12"/>
      <c r="AU55" s="12"/>
      <c r="AV55" s="12"/>
      <c r="AW55" s="12"/>
      <c r="AX55" s="12"/>
      <c r="AY55" s="29"/>
      <c r="AZ55" s="12"/>
      <c r="BA55" s="12"/>
      <c r="BB55" s="29"/>
      <c r="BC55" s="12"/>
      <c r="BD55" s="12"/>
      <c r="BE55" s="12"/>
      <c r="BF55" s="29"/>
      <c r="BG55" s="12"/>
      <c r="BH55" s="12"/>
      <c r="BI55" s="12"/>
      <c r="BJ55" s="12"/>
      <c r="BK55" s="12"/>
      <c r="BL55" s="12"/>
      <c r="BM55" s="12"/>
      <c r="BN55" s="29"/>
      <c r="BO55" s="12"/>
      <c r="BP55" s="12"/>
      <c r="BQ55" s="12"/>
      <c r="BR55" s="12"/>
      <c r="BS55" s="12"/>
      <c r="BT55" s="12"/>
      <c r="BU55" s="12"/>
      <c r="BV55" s="88"/>
      <c r="BW55" s="12"/>
      <c r="BX55" s="86"/>
      <c r="BY55" s="15"/>
    </row>
    <row r="56" spans="1:77" x14ac:dyDescent="0.2">
      <c r="A56" s="14" t="s">
        <v>90</v>
      </c>
      <c r="B56" s="88"/>
      <c r="C56" s="29"/>
      <c r="D56" s="12"/>
      <c r="E56" s="12"/>
      <c r="F56" s="12"/>
      <c r="G56" s="12"/>
      <c r="H56" s="12"/>
      <c r="I56" s="86"/>
      <c r="J56" s="29"/>
      <c r="K56" s="86"/>
      <c r="L56" s="29"/>
      <c r="M56" s="12"/>
      <c r="N56" s="12"/>
      <c r="O56" s="12"/>
      <c r="P56" s="12"/>
      <c r="Q56" s="86"/>
      <c r="R56" s="29"/>
      <c r="S56" s="12"/>
      <c r="T56" s="12"/>
      <c r="U56" s="12"/>
      <c r="V56" s="12"/>
      <c r="W56" s="12"/>
      <c r="X56" s="86"/>
      <c r="Y56" s="29"/>
      <c r="Z56" s="12"/>
      <c r="AA56" s="12"/>
      <c r="AB56" s="12"/>
      <c r="AC56" s="86"/>
      <c r="AD56" s="29"/>
      <c r="AE56" s="86"/>
      <c r="AF56" s="29"/>
      <c r="AG56" s="12"/>
      <c r="AH56" s="29"/>
      <c r="AI56" s="12"/>
      <c r="AJ56" s="12"/>
      <c r="AK56" s="86"/>
      <c r="AL56" s="29"/>
      <c r="AM56" s="12"/>
      <c r="AN56" s="12"/>
      <c r="AO56" s="12"/>
      <c r="AP56" s="12"/>
      <c r="AQ56" s="86"/>
      <c r="AR56" s="12"/>
      <c r="AS56" s="29"/>
      <c r="AT56" s="12"/>
      <c r="AU56" s="12"/>
      <c r="AV56" s="12"/>
      <c r="AW56" s="12"/>
      <c r="AX56" s="12"/>
      <c r="AY56" s="29"/>
      <c r="AZ56" s="12"/>
      <c r="BA56" s="12"/>
      <c r="BB56" s="29"/>
      <c r="BC56" s="12"/>
      <c r="BD56" s="12"/>
      <c r="BE56" s="12"/>
      <c r="BF56" s="29"/>
      <c r="BG56" s="12"/>
      <c r="BH56" s="12"/>
      <c r="BI56" s="12"/>
      <c r="BJ56" s="12"/>
      <c r="BK56" s="12"/>
      <c r="BL56" s="12"/>
      <c r="BM56" s="12"/>
      <c r="BN56" s="29"/>
      <c r="BO56" s="12"/>
      <c r="BP56" s="12"/>
      <c r="BQ56" s="12"/>
      <c r="BR56" s="12"/>
      <c r="BS56" s="12"/>
      <c r="BT56" s="12"/>
      <c r="BU56" s="12"/>
      <c r="BV56" s="88"/>
      <c r="BW56" s="12"/>
      <c r="BX56" s="86"/>
      <c r="BY56" s="15"/>
    </row>
    <row r="57" spans="1:77" x14ac:dyDescent="0.2">
      <c r="A57" s="14" t="s">
        <v>91</v>
      </c>
      <c r="B57" s="100">
        <f t="shared" ref="B57:B65" si="50">SUM(C57:BX57)</f>
        <v>-678296.13492404297</v>
      </c>
      <c r="C57" s="31"/>
      <c r="D57" s="92"/>
      <c r="E57" s="92"/>
      <c r="F57" s="92"/>
      <c r="G57" s="92"/>
      <c r="H57" s="90"/>
      <c r="I57" s="91"/>
      <c r="J57" s="30"/>
      <c r="K57" s="91"/>
      <c r="L57" s="31"/>
      <c r="M57" s="92"/>
      <c r="N57" s="92"/>
      <c r="O57" s="92"/>
      <c r="P57" s="92"/>
      <c r="Q57" s="93"/>
      <c r="R57" s="30"/>
      <c r="S57" s="90"/>
      <c r="T57" s="90"/>
      <c r="U57" s="90"/>
      <c r="V57" s="90"/>
      <c r="W57" s="90"/>
      <c r="X57" s="91"/>
      <c r="Y57" s="30"/>
      <c r="Z57" s="90"/>
      <c r="AA57" s="90"/>
      <c r="AB57" s="90"/>
      <c r="AC57" s="91"/>
      <c r="AD57" s="31"/>
      <c r="AE57" s="93"/>
      <c r="AF57" s="31"/>
      <c r="AG57" s="92"/>
      <c r="AH57" s="31">
        <f>'[44]Page 6.1'!$I$9</f>
        <v>-196210.48572820838</v>
      </c>
      <c r="AI57" s="92"/>
      <c r="AJ57" s="92"/>
      <c r="AK57" s="93"/>
      <c r="AL57" s="31"/>
      <c r="AM57" s="92"/>
      <c r="AN57" s="92"/>
      <c r="AO57" s="92"/>
      <c r="AP57" s="92"/>
      <c r="AQ57" s="93"/>
      <c r="AR57" s="92"/>
      <c r="AS57" s="31"/>
      <c r="AT57" s="92"/>
      <c r="AU57" s="92"/>
      <c r="AV57" s="92"/>
      <c r="AW57" s="92"/>
      <c r="AX57" s="92"/>
      <c r="AY57" s="31"/>
      <c r="AZ57" s="92"/>
      <c r="BA57" s="92"/>
      <c r="BB57" s="31"/>
      <c r="BC57" s="90"/>
      <c r="BD57" s="90"/>
      <c r="BE57" s="90">
        <f>[14]RB!$I$341</f>
        <v>-478387.71218067798</v>
      </c>
      <c r="BF57" s="30"/>
      <c r="BG57" s="90"/>
      <c r="BH57" s="12"/>
      <c r="BI57" s="90"/>
      <c r="BJ57" s="92"/>
      <c r="BK57" s="92"/>
      <c r="BL57" s="92"/>
      <c r="BM57" s="92"/>
      <c r="BN57" s="31"/>
      <c r="BO57" s="92"/>
      <c r="BP57" s="92"/>
      <c r="BQ57" s="92"/>
      <c r="BR57" s="92"/>
      <c r="BS57" s="92"/>
      <c r="BT57" s="92"/>
      <c r="BU57" s="92"/>
      <c r="BV57" s="299"/>
      <c r="BW57" s="92">
        <f>[14]ContractChange!$I$30</f>
        <v>-3697.9370151566691</v>
      </c>
      <c r="BX57" s="93"/>
      <c r="BY57" s="15"/>
    </row>
    <row r="58" spans="1:77" x14ac:dyDescent="0.2">
      <c r="A58" s="14" t="s">
        <v>92</v>
      </c>
      <c r="B58" s="100">
        <f t="shared" si="50"/>
        <v>0</v>
      </c>
      <c r="C58" s="31"/>
      <c r="D58" s="92"/>
      <c r="E58" s="92"/>
      <c r="F58" s="92"/>
      <c r="G58" s="92"/>
      <c r="H58" s="90"/>
      <c r="I58" s="91"/>
      <c r="J58" s="30"/>
      <c r="K58" s="91"/>
      <c r="L58" s="31"/>
      <c r="M58" s="92"/>
      <c r="N58" s="92"/>
      <c r="O58" s="92"/>
      <c r="P58" s="92"/>
      <c r="Q58" s="93"/>
      <c r="R58" s="30"/>
      <c r="S58" s="90"/>
      <c r="T58" s="90"/>
      <c r="U58" s="90"/>
      <c r="V58" s="90"/>
      <c r="W58" s="90"/>
      <c r="X58" s="91"/>
      <c r="Y58" s="30"/>
      <c r="Z58" s="90"/>
      <c r="AA58" s="90"/>
      <c r="AB58" s="90"/>
      <c r="AC58" s="91"/>
      <c r="AD58" s="31"/>
      <c r="AE58" s="93"/>
      <c r="AF58" s="31"/>
      <c r="AG58" s="92"/>
      <c r="AH58" s="31"/>
      <c r="AI58" s="92"/>
      <c r="AJ58" s="92"/>
      <c r="AK58" s="93"/>
      <c r="AL58" s="31"/>
      <c r="AM58" s="92"/>
      <c r="AN58" s="92"/>
      <c r="AO58" s="92"/>
      <c r="AP58" s="92"/>
      <c r="AQ58" s="93"/>
      <c r="AR58" s="92"/>
      <c r="AS58" s="31"/>
      <c r="AT58" s="92"/>
      <c r="AU58" s="92"/>
      <c r="AV58" s="92"/>
      <c r="AW58" s="92"/>
      <c r="AX58" s="92"/>
      <c r="AY58" s="31"/>
      <c r="AZ58" s="92"/>
      <c r="BA58" s="92"/>
      <c r="BB58" s="31"/>
      <c r="BC58" s="90"/>
      <c r="BD58" s="90"/>
      <c r="BE58" s="90"/>
      <c r="BF58" s="30"/>
      <c r="BG58" s="90"/>
      <c r="BH58" s="12"/>
      <c r="BI58" s="90"/>
      <c r="BJ58" s="92"/>
      <c r="BK58" s="92"/>
      <c r="BL58" s="92"/>
      <c r="BM58" s="92"/>
      <c r="BN58" s="31"/>
      <c r="BO58" s="92"/>
      <c r="BP58" s="92"/>
      <c r="BQ58" s="92"/>
      <c r="BR58" s="92"/>
      <c r="BS58" s="92"/>
      <c r="BT58" s="92"/>
      <c r="BU58" s="92"/>
      <c r="BV58" s="299"/>
      <c r="BW58" s="92"/>
      <c r="BX58" s="93"/>
      <c r="BY58" s="15"/>
    </row>
    <row r="59" spans="1:77" x14ac:dyDescent="0.2">
      <c r="A59" s="14" t="s">
        <v>93</v>
      </c>
      <c r="B59" s="100">
        <f t="shared" si="50"/>
        <v>-1822838.6024499815</v>
      </c>
      <c r="C59" s="31"/>
      <c r="D59" s="92"/>
      <c r="E59" s="92"/>
      <c r="F59" s="92">
        <f>'[43]Page 3.4'!$I$20</f>
        <v>152820.8753697275</v>
      </c>
      <c r="G59" s="92"/>
      <c r="H59" s="90"/>
      <c r="I59" s="91"/>
      <c r="J59" s="30"/>
      <c r="K59" s="91"/>
      <c r="L59" s="31"/>
      <c r="M59" s="92"/>
      <c r="N59" s="92"/>
      <c r="O59" s="92"/>
      <c r="P59" s="92"/>
      <c r="Q59" s="93"/>
      <c r="R59" s="30"/>
      <c r="S59" s="90"/>
      <c r="T59" s="90"/>
      <c r="U59" s="90"/>
      <c r="V59" s="90"/>
      <c r="W59" s="90"/>
      <c r="X59" s="91"/>
      <c r="Y59" s="30"/>
      <c r="Z59" s="90"/>
      <c r="AA59" s="90"/>
      <c r="AB59" s="90"/>
      <c r="AC59" s="91"/>
      <c r="AD59" s="31"/>
      <c r="AE59" s="93"/>
      <c r="AF59" s="31"/>
      <c r="AG59" s="92"/>
      <c r="AH59" s="31">
        <f>'[44]Page 6.1'!$I$17</f>
        <v>-16554.633195093058</v>
      </c>
      <c r="AI59" s="92"/>
      <c r="AJ59" s="92"/>
      <c r="AK59" s="93"/>
      <c r="AL59" s="31"/>
      <c r="AM59" s="92"/>
      <c r="AN59" s="92"/>
      <c r="AO59" s="92"/>
      <c r="AP59" s="92"/>
      <c r="AQ59" s="93"/>
      <c r="AR59" s="92"/>
      <c r="AS59" s="31"/>
      <c r="AT59" s="92"/>
      <c r="AU59" s="92"/>
      <c r="AV59" s="92"/>
      <c r="AW59" s="92"/>
      <c r="AX59" s="92"/>
      <c r="AY59" s="31"/>
      <c r="AZ59" s="92"/>
      <c r="BA59" s="92"/>
      <c r="BB59" s="31"/>
      <c r="BC59" s="90"/>
      <c r="BD59" s="90"/>
      <c r="BE59" s="90"/>
      <c r="BF59" s="30">
        <f>[14]RB!$I$1387+[14]RB!$I$1392+[14]RB!$I$1397</f>
        <v>-2189361.7704155692</v>
      </c>
      <c r="BG59" s="90"/>
      <c r="BH59" s="12"/>
      <c r="BI59" s="90">
        <f>'[39]Page 8.6'!$I$17+'[39]Page 8.6'!$I$21+'[39]Page 8.6'!$I$25</f>
        <v>300351.93966095272</v>
      </c>
      <c r="BJ59" s="92"/>
      <c r="BK59" s="92"/>
      <c r="BL59" s="92"/>
      <c r="BM59" s="92"/>
      <c r="BN59" s="31"/>
      <c r="BO59" s="92"/>
      <c r="BP59" s="92"/>
      <c r="BQ59" s="92"/>
      <c r="BR59" s="92"/>
      <c r="BS59" s="92"/>
      <c r="BT59" s="92"/>
      <c r="BU59" s="92"/>
      <c r="BV59" s="299"/>
      <c r="BW59" s="92"/>
      <c r="BX59" s="93">
        <f>SUM([14]ContractChange!$I$98:$I$101)</f>
        <v>-70095.013869999326</v>
      </c>
      <c r="BY59" s="15"/>
    </row>
    <row r="60" spans="1:77" x14ac:dyDescent="0.2">
      <c r="A60" s="14" t="s">
        <v>94</v>
      </c>
      <c r="B60" s="100">
        <f t="shared" si="50"/>
        <v>0</v>
      </c>
      <c r="C60" s="31"/>
      <c r="D60" s="92"/>
      <c r="E60" s="92"/>
      <c r="F60" s="92"/>
      <c r="G60" s="92"/>
      <c r="H60" s="90"/>
      <c r="I60" s="91"/>
      <c r="J60" s="30"/>
      <c r="K60" s="91"/>
      <c r="L60" s="31"/>
      <c r="M60" s="92"/>
      <c r="N60" s="92"/>
      <c r="O60" s="92"/>
      <c r="P60" s="92"/>
      <c r="Q60" s="93"/>
      <c r="R60" s="30"/>
      <c r="S60" s="90"/>
      <c r="T60" s="90"/>
      <c r="U60" s="90"/>
      <c r="V60" s="90"/>
      <c r="W60" s="90"/>
      <c r="X60" s="91"/>
      <c r="Y60" s="30"/>
      <c r="Z60" s="90"/>
      <c r="AA60" s="90"/>
      <c r="AB60" s="90"/>
      <c r="AC60" s="91"/>
      <c r="AD60" s="31"/>
      <c r="AE60" s="93"/>
      <c r="AF60" s="31"/>
      <c r="AG60" s="92"/>
      <c r="AH60" s="31"/>
      <c r="AI60" s="92"/>
      <c r="AJ60" s="92"/>
      <c r="AK60" s="93"/>
      <c r="AL60" s="31"/>
      <c r="AM60" s="92"/>
      <c r="AN60" s="92"/>
      <c r="AO60" s="92"/>
      <c r="AP60" s="92"/>
      <c r="AQ60" s="93"/>
      <c r="AR60" s="92"/>
      <c r="AS60" s="31"/>
      <c r="AT60" s="92"/>
      <c r="AU60" s="92"/>
      <c r="AV60" s="92"/>
      <c r="AW60" s="92"/>
      <c r="AX60" s="92"/>
      <c r="AY60" s="31"/>
      <c r="AZ60" s="92"/>
      <c r="BA60" s="92"/>
      <c r="BB60" s="31"/>
      <c r="BC60" s="90"/>
      <c r="BD60" s="90"/>
      <c r="BE60" s="90"/>
      <c r="BF60" s="30"/>
      <c r="BG60" s="90"/>
      <c r="BH60" s="12"/>
      <c r="BI60" s="90"/>
      <c r="BJ60" s="92"/>
      <c r="BK60" s="92"/>
      <c r="BL60" s="92"/>
      <c r="BM60" s="92"/>
      <c r="BN60" s="31"/>
      <c r="BO60" s="92"/>
      <c r="BP60" s="92"/>
      <c r="BQ60" s="92"/>
      <c r="BR60" s="92"/>
      <c r="BS60" s="92"/>
      <c r="BT60" s="92"/>
      <c r="BU60" s="92"/>
      <c r="BV60" s="299"/>
      <c r="BW60" s="92"/>
      <c r="BX60" s="93"/>
      <c r="BY60" s="15"/>
    </row>
    <row r="61" spans="1:77" x14ac:dyDescent="0.2">
      <c r="A61" s="14" t="s">
        <v>95</v>
      </c>
      <c r="B61" s="100">
        <f t="shared" si="50"/>
        <v>0</v>
      </c>
      <c r="C61" s="31"/>
      <c r="D61" s="92"/>
      <c r="E61" s="92"/>
      <c r="F61" s="92"/>
      <c r="G61" s="92"/>
      <c r="H61" s="90"/>
      <c r="I61" s="91"/>
      <c r="J61" s="30"/>
      <c r="K61" s="91"/>
      <c r="L61" s="31"/>
      <c r="M61" s="92"/>
      <c r="N61" s="92"/>
      <c r="O61" s="92"/>
      <c r="P61" s="92"/>
      <c r="Q61" s="93"/>
      <c r="R61" s="30"/>
      <c r="S61" s="90"/>
      <c r="T61" s="90"/>
      <c r="U61" s="90"/>
      <c r="V61" s="90"/>
      <c r="W61" s="90"/>
      <c r="X61" s="91"/>
      <c r="Y61" s="30"/>
      <c r="Z61" s="90"/>
      <c r="AA61" s="90"/>
      <c r="AB61" s="90"/>
      <c r="AC61" s="91"/>
      <c r="AD61" s="31"/>
      <c r="AE61" s="93"/>
      <c r="AF61" s="31"/>
      <c r="AG61" s="92"/>
      <c r="AH61" s="31"/>
      <c r="AI61" s="92"/>
      <c r="AJ61" s="92"/>
      <c r="AK61" s="93"/>
      <c r="AL61" s="31"/>
      <c r="AM61" s="92"/>
      <c r="AN61" s="92"/>
      <c r="AO61" s="92"/>
      <c r="AP61" s="92"/>
      <c r="AQ61" s="93"/>
      <c r="AR61" s="92"/>
      <c r="AS61" s="31"/>
      <c r="AT61" s="92"/>
      <c r="AU61" s="92"/>
      <c r="AV61" s="92"/>
      <c r="AW61" s="92"/>
      <c r="AX61" s="92"/>
      <c r="AY61" s="31"/>
      <c r="AZ61" s="92"/>
      <c r="BA61" s="92"/>
      <c r="BB61" s="31"/>
      <c r="BC61" s="90"/>
      <c r="BD61" s="90"/>
      <c r="BE61" s="90"/>
      <c r="BF61" s="30"/>
      <c r="BG61" s="90"/>
      <c r="BH61" s="12"/>
      <c r="BI61" s="90"/>
      <c r="BJ61" s="92"/>
      <c r="BK61" s="92"/>
      <c r="BL61" s="92"/>
      <c r="BM61" s="92"/>
      <c r="BN61" s="31"/>
      <c r="BO61" s="92"/>
      <c r="BP61" s="92"/>
      <c r="BQ61" s="92"/>
      <c r="BR61" s="92"/>
      <c r="BS61" s="92"/>
      <c r="BT61" s="92"/>
      <c r="BU61" s="92"/>
      <c r="BV61" s="299"/>
      <c r="BW61" s="92"/>
      <c r="BX61" s="93"/>
      <c r="BY61" s="15"/>
    </row>
    <row r="62" spans="1:77" x14ac:dyDescent="0.2">
      <c r="A62" s="14" t="s">
        <v>96</v>
      </c>
      <c r="B62" s="100">
        <f t="shared" si="50"/>
        <v>0</v>
      </c>
      <c r="C62" s="31"/>
      <c r="D62" s="92"/>
      <c r="E62" s="92"/>
      <c r="F62" s="92"/>
      <c r="G62" s="92"/>
      <c r="H62" s="90"/>
      <c r="I62" s="91"/>
      <c r="J62" s="30"/>
      <c r="K62" s="91"/>
      <c r="L62" s="31"/>
      <c r="M62" s="92"/>
      <c r="N62" s="92"/>
      <c r="O62" s="92"/>
      <c r="P62" s="92"/>
      <c r="Q62" s="93"/>
      <c r="R62" s="30"/>
      <c r="S62" s="90"/>
      <c r="T62" s="90"/>
      <c r="U62" s="90"/>
      <c r="V62" s="90"/>
      <c r="W62" s="90"/>
      <c r="X62" s="91"/>
      <c r="Y62" s="30"/>
      <c r="Z62" s="90"/>
      <c r="AA62" s="90"/>
      <c r="AB62" s="90"/>
      <c r="AC62" s="91"/>
      <c r="AD62" s="31"/>
      <c r="AE62" s="93"/>
      <c r="AF62" s="31"/>
      <c r="AG62" s="92"/>
      <c r="AH62" s="31"/>
      <c r="AI62" s="92"/>
      <c r="AJ62" s="92"/>
      <c r="AK62" s="93"/>
      <c r="AL62" s="31"/>
      <c r="AM62" s="92"/>
      <c r="AN62" s="92"/>
      <c r="AO62" s="92"/>
      <c r="AP62" s="92"/>
      <c r="AQ62" s="93"/>
      <c r="AR62" s="92"/>
      <c r="AS62" s="31"/>
      <c r="AT62" s="92"/>
      <c r="AU62" s="92"/>
      <c r="AV62" s="92"/>
      <c r="AW62" s="92"/>
      <c r="AX62" s="92"/>
      <c r="AY62" s="31"/>
      <c r="AZ62" s="92"/>
      <c r="BA62" s="92"/>
      <c r="BB62" s="31"/>
      <c r="BC62" s="90"/>
      <c r="BD62" s="90"/>
      <c r="BE62" s="90"/>
      <c r="BF62" s="30"/>
      <c r="BG62" s="90"/>
      <c r="BH62" s="12"/>
      <c r="BI62" s="90"/>
      <c r="BJ62" s="92"/>
      <c r="BK62" s="92"/>
      <c r="BL62" s="92"/>
      <c r="BM62" s="92"/>
      <c r="BN62" s="31"/>
      <c r="BO62" s="92"/>
      <c r="BP62" s="92"/>
      <c r="BQ62" s="92"/>
      <c r="BR62" s="92"/>
      <c r="BS62" s="92"/>
      <c r="BT62" s="92"/>
      <c r="BU62" s="92"/>
      <c r="BV62" s="299"/>
      <c r="BW62" s="92"/>
      <c r="BX62" s="93"/>
      <c r="BY62" s="15"/>
    </row>
    <row r="63" spans="1:77" x14ac:dyDescent="0.2">
      <c r="A63" s="14" t="s">
        <v>97</v>
      </c>
      <c r="B63" s="100">
        <f t="shared" si="50"/>
        <v>-402745.59474258736</v>
      </c>
      <c r="C63" s="31"/>
      <c r="D63" s="92"/>
      <c r="E63" s="92"/>
      <c r="F63" s="92">
        <f>'[43]Page 3.4'!$I$15</f>
        <v>-402745.59474258736</v>
      </c>
      <c r="G63" s="92"/>
      <c r="H63" s="90"/>
      <c r="I63" s="91"/>
      <c r="J63" s="30"/>
      <c r="K63" s="91"/>
      <c r="L63" s="31"/>
      <c r="M63" s="92"/>
      <c r="N63" s="92"/>
      <c r="O63" s="92"/>
      <c r="P63" s="92"/>
      <c r="Q63" s="93"/>
      <c r="R63" s="30"/>
      <c r="S63" s="90"/>
      <c r="T63" s="90"/>
      <c r="U63" s="90"/>
      <c r="V63" s="90"/>
      <c r="W63" s="90"/>
      <c r="X63" s="91"/>
      <c r="Y63" s="30"/>
      <c r="Z63" s="90"/>
      <c r="AA63" s="90"/>
      <c r="AB63" s="90"/>
      <c r="AC63" s="91"/>
      <c r="AD63" s="31"/>
      <c r="AE63" s="93"/>
      <c r="AF63" s="31"/>
      <c r="AG63" s="92"/>
      <c r="AH63" s="31"/>
      <c r="AI63" s="92"/>
      <c r="AJ63" s="92"/>
      <c r="AK63" s="93"/>
      <c r="AL63" s="31"/>
      <c r="AM63" s="92"/>
      <c r="AN63" s="92"/>
      <c r="AO63" s="92"/>
      <c r="AP63" s="92"/>
      <c r="AQ63" s="93"/>
      <c r="AR63" s="92"/>
      <c r="AS63" s="31"/>
      <c r="AT63" s="92"/>
      <c r="AU63" s="92"/>
      <c r="AV63" s="92"/>
      <c r="AW63" s="92"/>
      <c r="AX63" s="92"/>
      <c r="AY63" s="31"/>
      <c r="AZ63" s="92"/>
      <c r="BA63" s="92"/>
      <c r="BB63" s="31"/>
      <c r="BC63" s="90"/>
      <c r="BD63" s="90"/>
      <c r="BE63" s="90"/>
      <c r="BF63" s="30"/>
      <c r="BG63" s="90"/>
      <c r="BH63" s="12"/>
      <c r="BI63" s="90"/>
      <c r="BJ63" s="92"/>
      <c r="BK63" s="92"/>
      <c r="BL63" s="92"/>
      <c r="BM63" s="92"/>
      <c r="BN63" s="31"/>
      <c r="BO63" s="92"/>
      <c r="BP63" s="92"/>
      <c r="BQ63" s="92"/>
      <c r="BR63" s="92"/>
      <c r="BS63" s="92"/>
      <c r="BT63" s="92"/>
      <c r="BU63" s="92"/>
      <c r="BV63" s="299"/>
      <c r="BW63" s="92"/>
      <c r="BX63" s="93"/>
      <c r="BY63" s="15"/>
    </row>
    <row r="64" spans="1:77" x14ac:dyDescent="0.2">
      <c r="A64" s="14"/>
      <c r="B64" s="88">
        <f t="shared" si="50"/>
        <v>0</v>
      </c>
      <c r="C64" s="29"/>
      <c r="D64" s="12"/>
      <c r="E64" s="12"/>
      <c r="F64" s="12"/>
      <c r="G64" s="12"/>
      <c r="H64" s="12"/>
      <c r="I64" s="86"/>
      <c r="J64" s="29"/>
      <c r="K64" s="86"/>
      <c r="L64" s="29"/>
      <c r="M64" s="12"/>
      <c r="N64" s="12"/>
      <c r="O64" s="12"/>
      <c r="P64" s="12"/>
      <c r="Q64" s="86"/>
      <c r="R64" s="29"/>
      <c r="S64" s="12"/>
      <c r="T64" s="12"/>
      <c r="U64" s="12"/>
      <c r="V64" s="12"/>
      <c r="W64" s="12"/>
      <c r="X64" s="86"/>
      <c r="Y64" s="29"/>
      <c r="Z64" s="12"/>
      <c r="AA64" s="12"/>
      <c r="AB64" s="12"/>
      <c r="AC64" s="86"/>
      <c r="AD64" s="29"/>
      <c r="AE64" s="86"/>
      <c r="AF64" s="29"/>
      <c r="AG64" s="12"/>
      <c r="AH64" s="29"/>
      <c r="AI64" s="12"/>
      <c r="AJ64" s="12"/>
      <c r="AK64" s="86"/>
      <c r="AL64" s="29"/>
      <c r="AM64" s="12"/>
      <c r="AN64" s="12"/>
      <c r="AO64" s="12"/>
      <c r="AP64" s="12"/>
      <c r="AQ64" s="86"/>
      <c r="AR64" s="12"/>
      <c r="AS64" s="29"/>
      <c r="AT64" s="12"/>
      <c r="AU64" s="12"/>
      <c r="AV64" s="12"/>
      <c r="AW64" s="12"/>
      <c r="AX64" s="12"/>
      <c r="AY64" s="29"/>
      <c r="AZ64" s="12"/>
      <c r="BA64" s="12"/>
      <c r="BB64" s="29"/>
      <c r="BC64" s="12"/>
      <c r="BD64" s="12"/>
      <c r="BE64" s="12"/>
      <c r="BF64" s="29"/>
      <c r="BG64" s="12"/>
      <c r="BH64" s="12"/>
      <c r="BI64" s="12"/>
      <c r="BJ64" s="12"/>
      <c r="BK64" s="12"/>
      <c r="BL64" s="12"/>
      <c r="BM64" s="12"/>
      <c r="BN64" s="29"/>
      <c r="BO64" s="12"/>
      <c r="BP64" s="12"/>
      <c r="BQ64" s="12"/>
      <c r="BR64" s="12"/>
      <c r="BS64" s="12"/>
      <c r="BT64" s="12"/>
      <c r="BU64" s="12"/>
      <c r="BV64" s="88"/>
      <c r="BW64" s="12"/>
      <c r="BX64" s="86"/>
      <c r="BY64" s="15"/>
    </row>
    <row r="65" spans="1:77" x14ac:dyDescent="0.2">
      <c r="A65" s="14" t="s">
        <v>98</v>
      </c>
      <c r="B65" s="186">
        <f t="shared" si="50"/>
        <v>-2903880.3321166118</v>
      </c>
      <c r="C65" s="32">
        <f t="shared" ref="C65:BU65" si="51">SUM(C57:C64)</f>
        <v>0</v>
      </c>
      <c r="D65" s="94">
        <f t="shared" si="51"/>
        <v>0</v>
      </c>
      <c r="E65" s="94">
        <f t="shared" si="51"/>
        <v>0</v>
      </c>
      <c r="F65" s="94">
        <f t="shared" si="51"/>
        <v>-249924.71937285986</v>
      </c>
      <c r="G65" s="94">
        <f t="shared" si="51"/>
        <v>0</v>
      </c>
      <c r="H65" s="94">
        <f t="shared" si="51"/>
        <v>0</v>
      </c>
      <c r="I65" s="95">
        <f t="shared" si="51"/>
        <v>0</v>
      </c>
      <c r="J65" s="32">
        <f t="shared" ref="J65:K65" si="52">SUM(J57:J64)</f>
        <v>0</v>
      </c>
      <c r="K65" s="95">
        <f t="shared" si="52"/>
        <v>0</v>
      </c>
      <c r="L65" s="32">
        <f t="shared" si="51"/>
        <v>0</v>
      </c>
      <c r="M65" s="94">
        <f t="shared" si="51"/>
        <v>0</v>
      </c>
      <c r="N65" s="94">
        <f t="shared" si="51"/>
        <v>0</v>
      </c>
      <c r="O65" s="94">
        <f t="shared" si="51"/>
        <v>0</v>
      </c>
      <c r="P65" s="94">
        <f t="shared" si="51"/>
        <v>0</v>
      </c>
      <c r="Q65" s="95">
        <f t="shared" si="51"/>
        <v>0</v>
      </c>
      <c r="R65" s="32">
        <f t="shared" si="51"/>
        <v>0</v>
      </c>
      <c r="S65" s="94">
        <f t="shared" si="51"/>
        <v>0</v>
      </c>
      <c r="T65" s="94">
        <f t="shared" si="51"/>
        <v>0</v>
      </c>
      <c r="U65" s="94">
        <f t="shared" si="51"/>
        <v>0</v>
      </c>
      <c r="V65" s="94">
        <f t="shared" si="51"/>
        <v>0</v>
      </c>
      <c r="W65" s="94">
        <f t="shared" si="51"/>
        <v>0</v>
      </c>
      <c r="X65" s="95">
        <f t="shared" si="51"/>
        <v>0</v>
      </c>
      <c r="Y65" s="32">
        <f t="shared" ref="Y65:AB65" si="53">SUM(Y57:Y64)</f>
        <v>0</v>
      </c>
      <c r="Z65" s="94">
        <f t="shared" si="53"/>
        <v>0</v>
      </c>
      <c r="AA65" s="94">
        <f t="shared" si="53"/>
        <v>0</v>
      </c>
      <c r="AB65" s="94">
        <f t="shared" si="53"/>
        <v>0</v>
      </c>
      <c r="AC65" s="95">
        <f t="shared" ref="AC65" si="54">SUM(AC57:AC64)</f>
        <v>0</v>
      </c>
      <c r="AD65" s="32">
        <f t="shared" si="51"/>
        <v>0</v>
      </c>
      <c r="AE65" s="95">
        <f t="shared" si="51"/>
        <v>0</v>
      </c>
      <c r="AF65" s="32">
        <f t="shared" si="51"/>
        <v>0</v>
      </c>
      <c r="AG65" s="94">
        <f t="shared" si="51"/>
        <v>0</v>
      </c>
      <c r="AH65" s="32">
        <f t="shared" si="51"/>
        <v>-212765.11892330143</v>
      </c>
      <c r="AI65" s="94">
        <f t="shared" si="51"/>
        <v>0</v>
      </c>
      <c r="AJ65" s="94">
        <f t="shared" si="51"/>
        <v>0</v>
      </c>
      <c r="AK65" s="95">
        <f t="shared" si="51"/>
        <v>0</v>
      </c>
      <c r="AL65" s="32">
        <f t="shared" si="51"/>
        <v>0</v>
      </c>
      <c r="AM65" s="94">
        <f t="shared" ref="AM65:AP65" si="55">SUM(AM57:AM64)</f>
        <v>0</v>
      </c>
      <c r="AN65" s="94">
        <f t="shared" si="55"/>
        <v>0</v>
      </c>
      <c r="AO65" s="94">
        <f t="shared" si="55"/>
        <v>0</v>
      </c>
      <c r="AP65" s="94">
        <f t="shared" si="55"/>
        <v>0</v>
      </c>
      <c r="AQ65" s="95">
        <f t="shared" ref="AQ65:AR65" si="56">SUM(AQ57:AQ64)</f>
        <v>0</v>
      </c>
      <c r="AR65" s="94">
        <f t="shared" si="56"/>
        <v>0</v>
      </c>
      <c r="AS65" s="32">
        <f t="shared" si="51"/>
        <v>0</v>
      </c>
      <c r="AT65" s="94">
        <f t="shared" si="51"/>
        <v>0</v>
      </c>
      <c r="AU65" s="94">
        <f t="shared" si="51"/>
        <v>0</v>
      </c>
      <c r="AV65" s="94">
        <f t="shared" si="51"/>
        <v>0</v>
      </c>
      <c r="AW65" s="94">
        <f t="shared" si="51"/>
        <v>0</v>
      </c>
      <c r="AX65" s="94">
        <f t="shared" si="51"/>
        <v>0</v>
      </c>
      <c r="AY65" s="32">
        <f t="shared" si="51"/>
        <v>0</v>
      </c>
      <c r="AZ65" s="94">
        <f t="shared" si="51"/>
        <v>0</v>
      </c>
      <c r="BA65" s="94">
        <f t="shared" si="51"/>
        <v>0</v>
      </c>
      <c r="BB65" s="32">
        <f t="shared" si="51"/>
        <v>0</v>
      </c>
      <c r="BC65" s="94">
        <f t="shared" si="51"/>
        <v>0</v>
      </c>
      <c r="BD65" s="94">
        <f t="shared" si="51"/>
        <v>0</v>
      </c>
      <c r="BE65" s="94">
        <f t="shared" si="51"/>
        <v>-478387.71218067798</v>
      </c>
      <c r="BF65" s="32">
        <f t="shared" ref="BF65" si="57">SUM(BF57:BF64)</f>
        <v>-2189361.7704155692</v>
      </c>
      <c r="BG65" s="94">
        <f t="shared" si="51"/>
        <v>0</v>
      </c>
      <c r="BH65" s="94">
        <f t="shared" si="51"/>
        <v>0</v>
      </c>
      <c r="BI65" s="94">
        <f t="shared" si="51"/>
        <v>300351.93966095272</v>
      </c>
      <c r="BJ65" s="94">
        <f t="shared" si="51"/>
        <v>0</v>
      </c>
      <c r="BK65" s="94">
        <f t="shared" si="51"/>
        <v>0</v>
      </c>
      <c r="BL65" s="94">
        <f t="shared" si="51"/>
        <v>0</v>
      </c>
      <c r="BM65" s="94">
        <f t="shared" si="51"/>
        <v>0</v>
      </c>
      <c r="BN65" s="32">
        <f t="shared" si="51"/>
        <v>0</v>
      </c>
      <c r="BO65" s="94">
        <f t="shared" si="51"/>
        <v>0</v>
      </c>
      <c r="BP65" s="94">
        <f t="shared" si="51"/>
        <v>0</v>
      </c>
      <c r="BQ65" s="94">
        <f t="shared" si="51"/>
        <v>0</v>
      </c>
      <c r="BR65" s="94">
        <f t="shared" si="51"/>
        <v>0</v>
      </c>
      <c r="BS65" s="94">
        <f t="shared" si="51"/>
        <v>0</v>
      </c>
      <c r="BT65" s="94">
        <f t="shared" si="51"/>
        <v>0</v>
      </c>
      <c r="BU65" s="94">
        <f t="shared" si="51"/>
        <v>0</v>
      </c>
      <c r="BV65" s="186">
        <f t="shared" ref="BV65:BX65" si="58">SUM(BV57:BV64)</f>
        <v>0</v>
      </c>
      <c r="BW65" s="94">
        <f t="shared" si="58"/>
        <v>-3697.9370151566691</v>
      </c>
      <c r="BX65" s="95">
        <f t="shared" si="58"/>
        <v>-70095.013869999326</v>
      </c>
    </row>
    <row r="66" spans="1:77" x14ac:dyDescent="0.2">
      <c r="A66" s="14"/>
      <c r="B66" s="88"/>
      <c r="C66" s="29"/>
      <c r="D66" s="12"/>
      <c r="E66" s="12"/>
      <c r="F66" s="12"/>
      <c r="G66" s="12"/>
      <c r="H66" s="12"/>
      <c r="I66" s="86"/>
      <c r="J66" s="29"/>
      <c r="K66" s="86"/>
      <c r="L66" s="29"/>
      <c r="M66" s="12"/>
      <c r="N66" s="12"/>
      <c r="O66" s="12"/>
      <c r="P66" s="12"/>
      <c r="Q66" s="86"/>
      <c r="R66" s="29"/>
      <c r="S66" s="12"/>
      <c r="T66" s="12"/>
      <c r="U66" s="12"/>
      <c r="V66" s="12"/>
      <c r="W66" s="12"/>
      <c r="X66" s="86"/>
      <c r="Y66" s="29"/>
      <c r="Z66" s="12"/>
      <c r="AA66" s="12"/>
      <c r="AB66" s="12"/>
      <c r="AC66" s="86"/>
      <c r="AD66" s="29"/>
      <c r="AE66" s="86"/>
      <c r="AF66" s="29"/>
      <c r="AG66" s="12"/>
      <c r="AH66" s="29"/>
      <c r="AI66" s="12"/>
      <c r="AJ66" s="12"/>
      <c r="AK66" s="86"/>
      <c r="AL66" s="29"/>
      <c r="AM66" s="12"/>
      <c r="AN66" s="12"/>
      <c r="AO66" s="12"/>
      <c r="AP66" s="12"/>
      <c r="AQ66" s="86"/>
      <c r="AR66" s="12"/>
      <c r="AS66" s="29"/>
      <c r="AT66" s="12"/>
      <c r="AU66" s="12"/>
      <c r="AV66" s="12"/>
      <c r="AW66" s="12"/>
      <c r="AX66" s="12"/>
      <c r="AY66" s="29"/>
      <c r="AZ66" s="12"/>
      <c r="BA66" s="12"/>
      <c r="BB66" s="29"/>
      <c r="BC66" s="12"/>
      <c r="BD66" s="12"/>
      <c r="BE66" s="12"/>
      <c r="BF66" s="29"/>
      <c r="BG66" s="12"/>
      <c r="BH66" s="12"/>
      <c r="BI66" s="12"/>
      <c r="BJ66" s="12"/>
      <c r="BK66" s="12"/>
      <c r="BL66" s="12"/>
      <c r="BM66" s="12"/>
      <c r="BN66" s="29"/>
      <c r="BO66" s="12"/>
      <c r="BP66" s="12"/>
      <c r="BQ66" s="12"/>
      <c r="BR66" s="12"/>
      <c r="BS66" s="12"/>
      <c r="BT66" s="12"/>
      <c r="BU66" s="12"/>
      <c r="BV66" s="88"/>
      <c r="BW66" s="12"/>
      <c r="BX66" s="86"/>
    </row>
    <row r="67" spans="1:77" ht="13.5" thickBot="1" x14ac:dyDescent="0.25">
      <c r="A67" s="14" t="s">
        <v>99</v>
      </c>
      <c r="B67" s="190">
        <f>SUM(C67:BX67)</f>
        <v>18153711.70472784</v>
      </c>
      <c r="C67" s="36">
        <f t="shared" ref="C67:BU67" si="59">C54+C65</f>
        <v>0</v>
      </c>
      <c r="D67" s="105">
        <f t="shared" si="59"/>
        <v>0</v>
      </c>
      <c r="E67" s="105">
        <f t="shared" si="59"/>
        <v>0</v>
      </c>
      <c r="F67" s="105">
        <f t="shared" si="59"/>
        <v>-249924.71937285986</v>
      </c>
      <c r="G67" s="105">
        <f t="shared" si="59"/>
        <v>0</v>
      </c>
      <c r="H67" s="105">
        <f t="shared" si="59"/>
        <v>0</v>
      </c>
      <c r="I67" s="191">
        <f t="shared" si="59"/>
        <v>0</v>
      </c>
      <c r="J67" s="36">
        <f t="shared" ref="J67:K67" si="60">J54+J65</f>
        <v>0</v>
      </c>
      <c r="K67" s="191">
        <f t="shared" si="60"/>
        <v>0</v>
      </c>
      <c r="L67" s="36">
        <f t="shared" si="59"/>
        <v>0</v>
      </c>
      <c r="M67" s="105">
        <f t="shared" si="59"/>
        <v>0</v>
      </c>
      <c r="N67" s="105">
        <f t="shared" si="59"/>
        <v>0</v>
      </c>
      <c r="O67" s="105">
        <f t="shared" si="59"/>
        <v>0</v>
      </c>
      <c r="P67" s="105">
        <f t="shared" si="59"/>
        <v>0</v>
      </c>
      <c r="Q67" s="191">
        <f t="shared" si="59"/>
        <v>0</v>
      </c>
      <c r="R67" s="36">
        <f t="shared" si="59"/>
        <v>0</v>
      </c>
      <c r="S67" s="105">
        <f t="shared" si="59"/>
        <v>0</v>
      </c>
      <c r="T67" s="105">
        <f t="shared" si="59"/>
        <v>0</v>
      </c>
      <c r="U67" s="105">
        <f t="shared" si="59"/>
        <v>0</v>
      </c>
      <c r="V67" s="105">
        <f t="shared" si="59"/>
        <v>0</v>
      </c>
      <c r="W67" s="105">
        <f t="shared" si="59"/>
        <v>0</v>
      </c>
      <c r="X67" s="191">
        <f t="shared" si="59"/>
        <v>0</v>
      </c>
      <c r="Y67" s="36">
        <f t="shared" ref="Y67:AB67" si="61">Y54+Y65</f>
        <v>0</v>
      </c>
      <c r="Z67" s="105">
        <f t="shared" si="61"/>
        <v>0</v>
      </c>
      <c r="AA67" s="105">
        <f t="shared" si="61"/>
        <v>0</v>
      </c>
      <c r="AB67" s="105">
        <f t="shared" si="61"/>
        <v>0</v>
      </c>
      <c r="AC67" s="191">
        <f t="shared" ref="AC67" si="62">AC54+AC65</f>
        <v>0</v>
      </c>
      <c r="AD67" s="36">
        <f t="shared" si="59"/>
        <v>0</v>
      </c>
      <c r="AE67" s="191">
        <f t="shared" si="59"/>
        <v>0</v>
      </c>
      <c r="AF67" s="36">
        <f t="shared" si="59"/>
        <v>0</v>
      </c>
      <c r="AG67" s="105">
        <f t="shared" si="59"/>
        <v>0</v>
      </c>
      <c r="AH67" s="36">
        <f t="shared" si="59"/>
        <v>-212765.11892330143</v>
      </c>
      <c r="AI67" s="105">
        <f t="shared" si="59"/>
        <v>0</v>
      </c>
      <c r="AJ67" s="105">
        <f t="shared" si="59"/>
        <v>0</v>
      </c>
      <c r="AK67" s="191">
        <f t="shared" si="59"/>
        <v>0</v>
      </c>
      <c r="AL67" s="36">
        <f t="shared" si="59"/>
        <v>0</v>
      </c>
      <c r="AM67" s="105">
        <f t="shared" ref="AM67:AP67" si="63">AM54+AM65</f>
        <v>0</v>
      </c>
      <c r="AN67" s="105">
        <f t="shared" si="63"/>
        <v>0</v>
      </c>
      <c r="AO67" s="105">
        <f t="shared" si="63"/>
        <v>0</v>
      </c>
      <c r="AP67" s="105">
        <f t="shared" si="63"/>
        <v>0</v>
      </c>
      <c r="AQ67" s="191">
        <f t="shared" ref="AQ67:AR67" si="64">AQ54+AQ65</f>
        <v>0</v>
      </c>
      <c r="AR67" s="105">
        <f t="shared" si="64"/>
        <v>0</v>
      </c>
      <c r="AS67" s="36">
        <f t="shared" si="59"/>
        <v>0</v>
      </c>
      <c r="AT67" s="105">
        <f t="shared" si="59"/>
        <v>0</v>
      </c>
      <c r="AU67" s="105">
        <f t="shared" si="59"/>
        <v>0</v>
      </c>
      <c r="AV67" s="105">
        <f t="shared" si="59"/>
        <v>0</v>
      </c>
      <c r="AW67" s="105">
        <f t="shared" si="59"/>
        <v>0</v>
      </c>
      <c r="AX67" s="105">
        <f t="shared" si="59"/>
        <v>0</v>
      </c>
      <c r="AY67" s="36">
        <f t="shared" si="59"/>
        <v>0</v>
      </c>
      <c r="AZ67" s="105">
        <f t="shared" si="59"/>
        <v>0</v>
      </c>
      <c r="BA67" s="105">
        <f t="shared" si="59"/>
        <v>0</v>
      </c>
      <c r="BB67" s="36">
        <f t="shared" si="59"/>
        <v>0</v>
      </c>
      <c r="BC67" s="105">
        <f t="shared" si="59"/>
        <v>0</v>
      </c>
      <c r="BD67" s="105">
        <f t="shared" si="59"/>
        <v>0</v>
      </c>
      <c r="BE67" s="105">
        <f t="shared" si="59"/>
        <v>20618774.967243943</v>
      </c>
      <c r="BF67" s="36">
        <f t="shared" ref="BF67" si="65">BF54+BF65</f>
        <v>-2189361.7704155692</v>
      </c>
      <c r="BG67" s="105">
        <f t="shared" si="59"/>
        <v>0</v>
      </c>
      <c r="BH67" s="105">
        <f t="shared" si="59"/>
        <v>0</v>
      </c>
      <c r="BI67" s="105">
        <f t="shared" si="59"/>
        <v>97700.229568832146</v>
      </c>
      <c r="BJ67" s="105">
        <f t="shared" si="59"/>
        <v>0</v>
      </c>
      <c r="BK67" s="105">
        <f t="shared" si="59"/>
        <v>0</v>
      </c>
      <c r="BL67" s="105">
        <f t="shared" si="59"/>
        <v>0</v>
      </c>
      <c r="BM67" s="105">
        <f t="shared" si="59"/>
        <v>0</v>
      </c>
      <c r="BN67" s="36">
        <f t="shared" si="59"/>
        <v>0</v>
      </c>
      <c r="BO67" s="105">
        <f t="shared" si="59"/>
        <v>0</v>
      </c>
      <c r="BP67" s="105">
        <f t="shared" si="59"/>
        <v>0</v>
      </c>
      <c r="BQ67" s="105">
        <f t="shared" si="59"/>
        <v>0</v>
      </c>
      <c r="BR67" s="105">
        <f t="shared" si="59"/>
        <v>0</v>
      </c>
      <c r="BS67" s="105">
        <f t="shared" si="59"/>
        <v>0</v>
      </c>
      <c r="BT67" s="105">
        <f t="shared" si="59"/>
        <v>0</v>
      </c>
      <c r="BU67" s="105">
        <f t="shared" si="59"/>
        <v>0</v>
      </c>
      <c r="BV67" s="190">
        <f t="shared" ref="BV67:BX67" si="66">BV54+BV65</f>
        <v>0</v>
      </c>
      <c r="BW67" s="105">
        <f t="shared" si="66"/>
        <v>159383.13049679698</v>
      </c>
      <c r="BX67" s="191">
        <f t="shared" si="66"/>
        <v>-70095.013869999326</v>
      </c>
    </row>
    <row r="68" spans="1:77" ht="13.5" thickTop="1" x14ac:dyDescent="0.2">
      <c r="A68" s="14"/>
      <c r="B68" s="88"/>
      <c r="C68" s="29"/>
      <c r="D68" s="12"/>
      <c r="E68" s="12"/>
      <c r="F68" s="12"/>
      <c r="G68" s="12"/>
      <c r="H68" s="12"/>
      <c r="I68" s="86"/>
      <c r="J68" s="29"/>
      <c r="K68" s="86"/>
      <c r="L68" s="29"/>
      <c r="M68" s="12"/>
      <c r="N68" s="12"/>
      <c r="O68" s="12"/>
      <c r="P68" s="12"/>
      <c r="Q68" s="86"/>
      <c r="R68" s="29"/>
      <c r="S68" s="12"/>
      <c r="T68" s="12"/>
      <c r="U68" s="12"/>
      <c r="V68" s="12"/>
      <c r="W68" s="12"/>
      <c r="X68" s="86"/>
      <c r="Y68" s="29"/>
      <c r="Z68" s="12"/>
      <c r="AA68" s="12"/>
      <c r="AB68" s="12"/>
      <c r="AC68" s="86"/>
      <c r="AD68" s="29"/>
      <c r="AE68" s="86"/>
      <c r="AF68" s="29"/>
      <c r="AG68" s="12"/>
      <c r="AH68" s="29"/>
      <c r="AI68" s="12"/>
      <c r="AJ68" s="12"/>
      <c r="AK68" s="86"/>
      <c r="AL68" s="29"/>
      <c r="AM68" s="12"/>
      <c r="AN68" s="12"/>
      <c r="AO68" s="12"/>
      <c r="AP68" s="12"/>
      <c r="AQ68" s="86"/>
      <c r="AR68" s="12"/>
      <c r="AS68" s="29"/>
      <c r="AT68" s="12"/>
      <c r="AU68" s="12"/>
      <c r="AV68" s="12"/>
      <c r="AW68" s="12"/>
      <c r="AX68" s="12"/>
      <c r="AY68" s="29"/>
      <c r="AZ68" s="12"/>
      <c r="BA68" s="12"/>
      <c r="BB68" s="29"/>
      <c r="BC68" s="12"/>
      <c r="BD68" s="12"/>
      <c r="BE68" s="12"/>
      <c r="BF68" s="29"/>
      <c r="BG68" s="12"/>
      <c r="BH68" s="12"/>
      <c r="BI68" s="12"/>
      <c r="BJ68" s="12"/>
      <c r="BK68" s="12"/>
      <c r="BL68" s="12"/>
      <c r="BM68" s="12"/>
      <c r="BN68" s="29"/>
      <c r="BO68" s="12"/>
      <c r="BP68" s="12"/>
      <c r="BQ68" s="12"/>
      <c r="BR68" s="12"/>
      <c r="BS68" s="12"/>
      <c r="BT68" s="12"/>
      <c r="BU68" s="12"/>
      <c r="BV68" s="88"/>
      <c r="BW68" s="12"/>
      <c r="BX68" s="86"/>
    </row>
    <row r="69" spans="1:77" x14ac:dyDescent="0.2">
      <c r="A69" s="14"/>
      <c r="B69" s="88"/>
      <c r="C69" s="29"/>
      <c r="D69" s="12"/>
      <c r="E69" s="12"/>
      <c r="F69" s="12"/>
      <c r="G69" s="12"/>
      <c r="H69" s="12"/>
      <c r="I69" s="86"/>
      <c r="J69" s="29"/>
      <c r="K69" s="86"/>
      <c r="L69" s="29"/>
      <c r="M69" s="12"/>
      <c r="N69" s="12"/>
      <c r="O69" s="12"/>
      <c r="P69" s="12"/>
      <c r="Q69" s="86"/>
      <c r="R69" s="29"/>
      <c r="S69" s="12"/>
      <c r="T69" s="12"/>
      <c r="U69" s="12"/>
      <c r="V69" s="12"/>
      <c r="W69" s="12"/>
      <c r="X69" s="86"/>
      <c r="Y69" s="29"/>
      <c r="Z69" s="12"/>
      <c r="AA69" s="12"/>
      <c r="AB69" s="12"/>
      <c r="AC69" s="86"/>
      <c r="AD69" s="29"/>
      <c r="AE69" s="86"/>
      <c r="AF69" s="29"/>
      <c r="AG69" s="12"/>
      <c r="AH69" s="29"/>
      <c r="AI69" s="12"/>
      <c r="AJ69" s="12"/>
      <c r="AK69" s="86"/>
      <c r="AL69" s="29"/>
      <c r="AM69" s="12"/>
      <c r="AN69" s="12"/>
      <c r="AO69" s="12"/>
      <c r="AP69" s="12"/>
      <c r="AQ69" s="86"/>
      <c r="AR69" s="12"/>
      <c r="AS69" s="29"/>
      <c r="AT69" s="12"/>
      <c r="AU69" s="12"/>
      <c r="AV69" s="12"/>
      <c r="AW69" s="12"/>
      <c r="AX69" s="12"/>
      <c r="AY69" s="29"/>
      <c r="AZ69" s="12"/>
      <c r="BA69" s="12"/>
      <c r="BB69" s="29"/>
      <c r="BC69" s="12"/>
      <c r="BD69" s="12"/>
      <c r="BE69" s="12"/>
      <c r="BF69" s="29"/>
      <c r="BG69" s="12"/>
      <c r="BH69" s="12"/>
      <c r="BI69" s="12"/>
      <c r="BJ69" s="12"/>
      <c r="BK69" s="12"/>
      <c r="BL69" s="12"/>
      <c r="BM69" s="12"/>
      <c r="BN69" s="29"/>
      <c r="BO69" s="12"/>
      <c r="BP69" s="12"/>
      <c r="BQ69" s="12"/>
      <c r="BR69" s="12"/>
      <c r="BS69" s="12"/>
      <c r="BT69" s="12"/>
      <c r="BU69" s="12"/>
      <c r="BV69" s="88"/>
      <c r="BW69" s="12"/>
      <c r="BX69" s="86"/>
    </row>
    <row r="70" spans="1:77" s="227" customFormat="1" x14ac:dyDescent="0.2">
      <c r="A70" s="276" t="s">
        <v>158</v>
      </c>
      <c r="B70" s="19">
        <f t="shared" ref="B70:BU70" si="67">(((B40+Unadj_Op_revenue)/(B67+Unadj_rate_base))-Weighted_cost_debt-Weighted_cost_pref)/Percent_common-Unadj_ROE</f>
        <v>-5.4710340850573497E-3</v>
      </c>
      <c r="C70" s="17">
        <f t="shared" si="67"/>
        <v>0</v>
      </c>
      <c r="D70" s="16">
        <f t="shared" si="67"/>
        <v>0</v>
      </c>
      <c r="E70" s="16">
        <f t="shared" si="67"/>
        <v>0</v>
      </c>
      <c r="F70" s="16">
        <f t="shared" si="67"/>
        <v>1.2775006578845047E-3</v>
      </c>
      <c r="G70" s="16">
        <f t="shared" si="67"/>
        <v>0</v>
      </c>
      <c r="H70" s="16">
        <f t="shared" si="67"/>
        <v>7.5409690877499547E-4</v>
      </c>
      <c r="I70" s="18">
        <f t="shared" si="67"/>
        <v>6.9404220353334878E-5</v>
      </c>
      <c r="J70" s="17">
        <f t="shared" ref="J70:K70" si="68">(((J40+Unadj_Op_revenue)/(J67+Unadj_rate_base))-Weighted_cost_debt-Weighted_cost_pref)/Percent_common-Unadj_ROE</f>
        <v>0</v>
      </c>
      <c r="K70" s="18">
        <f t="shared" si="68"/>
        <v>6.2674819445558694E-5</v>
      </c>
      <c r="L70" s="17">
        <f t="shared" si="67"/>
        <v>0</v>
      </c>
      <c r="M70" s="16">
        <f t="shared" si="67"/>
        <v>0</v>
      </c>
      <c r="N70" s="16">
        <f t="shared" si="67"/>
        <v>1.156533931449287E-3</v>
      </c>
      <c r="O70" s="16">
        <f t="shared" si="67"/>
        <v>0</v>
      </c>
      <c r="P70" s="16">
        <f t="shared" si="67"/>
        <v>0</v>
      </c>
      <c r="Q70" s="18">
        <f t="shared" si="67"/>
        <v>0</v>
      </c>
      <c r="R70" s="17">
        <f t="shared" si="67"/>
        <v>-3.6503652476239934E-5</v>
      </c>
      <c r="S70" s="16">
        <f t="shared" si="67"/>
        <v>0</v>
      </c>
      <c r="T70" s="16">
        <f t="shared" si="67"/>
        <v>0</v>
      </c>
      <c r="U70" s="16">
        <f t="shared" si="67"/>
        <v>0</v>
      </c>
      <c r="V70" s="16">
        <f t="shared" si="67"/>
        <v>0</v>
      </c>
      <c r="W70" s="16">
        <f t="shared" si="67"/>
        <v>0</v>
      </c>
      <c r="X70" s="18">
        <f t="shared" si="67"/>
        <v>0</v>
      </c>
      <c r="Y70" s="17">
        <f t="shared" ref="Y70:AB70" si="69">(((Y40+Unadj_Op_revenue)/(Y67+Unadj_rate_base))-Weighted_cost_debt-Weighted_cost_pref)/Percent_common-Unadj_ROE</f>
        <v>0</v>
      </c>
      <c r="Z70" s="16">
        <f t="shared" si="69"/>
        <v>0</v>
      </c>
      <c r="AA70" s="16">
        <f t="shared" si="69"/>
        <v>0</v>
      </c>
      <c r="AB70" s="16">
        <f t="shared" si="69"/>
        <v>0</v>
      </c>
      <c r="AC70" s="18">
        <f t="shared" ref="AC70" si="70">(((AC40+Unadj_Op_revenue)/(AC67+Unadj_rate_base))-Weighted_cost_debt-Weighted_cost_pref)/Percent_common-Unadj_ROE</f>
        <v>0</v>
      </c>
      <c r="AD70" s="17">
        <f t="shared" si="67"/>
        <v>0</v>
      </c>
      <c r="AE70" s="18">
        <f t="shared" si="67"/>
        <v>-7.9298547939643735E-3</v>
      </c>
      <c r="AF70" s="17">
        <f t="shared" si="67"/>
        <v>1.1418482861202117E-3</v>
      </c>
      <c r="AG70" s="16">
        <f t="shared" si="67"/>
        <v>0</v>
      </c>
      <c r="AH70" s="17">
        <f t="shared" si="67"/>
        <v>1.8404165600859057E-5</v>
      </c>
      <c r="AI70" s="16">
        <f t="shared" si="67"/>
        <v>0</v>
      </c>
      <c r="AJ70" s="16">
        <f t="shared" si="67"/>
        <v>0</v>
      </c>
      <c r="AK70" s="18">
        <f t="shared" si="67"/>
        <v>0</v>
      </c>
      <c r="AL70" s="17">
        <f t="shared" si="67"/>
        <v>0</v>
      </c>
      <c r="AM70" s="16">
        <f t="shared" ref="AM70:AP70" si="71">(((AM40+Unadj_Op_revenue)/(AM67+Unadj_rate_base))-Weighted_cost_debt-Weighted_cost_pref)/Percent_common-Unadj_ROE</f>
        <v>0</v>
      </c>
      <c r="AN70" s="16">
        <f t="shared" si="71"/>
        <v>0</v>
      </c>
      <c r="AO70" s="16">
        <f t="shared" si="71"/>
        <v>0</v>
      </c>
      <c r="AP70" s="16">
        <f t="shared" si="71"/>
        <v>0</v>
      </c>
      <c r="AQ70" s="18">
        <f t="shared" ref="AQ70:AR70" si="72">(((AQ40+Unadj_Op_revenue)/(AQ67+Unadj_rate_base))-Weighted_cost_debt-Weighted_cost_pref)/Percent_common-Unadj_ROE</f>
        <v>0</v>
      </c>
      <c r="AR70" s="16">
        <f t="shared" si="72"/>
        <v>0</v>
      </c>
      <c r="AS70" s="17">
        <f t="shared" si="67"/>
        <v>4.3243060672027572E-4</v>
      </c>
      <c r="AT70" s="16">
        <f t="shared" si="67"/>
        <v>-1.8180772768770781E-4</v>
      </c>
      <c r="AU70" s="16">
        <f t="shared" si="67"/>
        <v>1.7102296838058181E-3</v>
      </c>
      <c r="AV70" s="16">
        <f t="shared" si="67"/>
        <v>0</v>
      </c>
      <c r="AW70" s="16">
        <f t="shared" si="67"/>
        <v>-6.6848411554951137E-5</v>
      </c>
      <c r="AX70" s="16">
        <f t="shared" si="67"/>
        <v>0</v>
      </c>
      <c r="AY70" s="17">
        <f t="shared" si="67"/>
        <v>0</v>
      </c>
      <c r="AZ70" s="16">
        <f t="shared" si="67"/>
        <v>0</v>
      </c>
      <c r="BA70" s="16">
        <f t="shared" si="67"/>
        <v>1.3557185276543912E-3</v>
      </c>
      <c r="BB70" s="17">
        <f t="shared" si="67"/>
        <v>0</v>
      </c>
      <c r="BC70" s="16">
        <f t="shared" si="67"/>
        <v>0</v>
      </c>
      <c r="BD70" s="16">
        <f t="shared" si="67"/>
        <v>0</v>
      </c>
      <c r="BE70" s="16">
        <f t="shared" si="67"/>
        <v>-3.4233972826478373E-3</v>
      </c>
      <c r="BF70" s="17">
        <f t="shared" ref="BF70" si="73">(((BF40+Unadj_Op_revenue)/(BF67+Unadj_rate_base))-Weighted_cost_debt-Weighted_cost_pref)/Percent_common-Unadj_ROE</f>
        <v>-3.7355258613244735E-5</v>
      </c>
      <c r="BG70" s="16">
        <f t="shared" si="67"/>
        <v>0</v>
      </c>
      <c r="BH70" s="16">
        <f t="shared" si="67"/>
        <v>0</v>
      </c>
      <c r="BI70" s="16">
        <f t="shared" si="67"/>
        <v>-1.6370536267282937E-4</v>
      </c>
      <c r="BJ70" s="16">
        <f t="shared" si="67"/>
        <v>0</v>
      </c>
      <c r="BK70" s="16">
        <f t="shared" si="67"/>
        <v>0</v>
      </c>
      <c r="BL70" s="16">
        <f t="shared" si="67"/>
        <v>0</v>
      </c>
      <c r="BM70" s="16">
        <f t="shared" si="67"/>
        <v>0</v>
      </c>
      <c r="BN70" s="17">
        <f t="shared" si="67"/>
        <v>0</v>
      </c>
      <c r="BO70" s="16">
        <f t="shared" si="67"/>
        <v>0</v>
      </c>
      <c r="BP70" s="16">
        <f t="shared" si="67"/>
        <v>0</v>
      </c>
      <c r="BQ70" s="16">
        <f t="shared" si="67"/>
        <v>0</v>
      </c>
      <c r="BR70" s="16">
        <f t="shared" si="67"/>
        <v>0</v>
      </c>
      <c r="BS70" s="16">
        <f t="shared" si="67"/>
        <v>0</v>
      </c>
      <c r="BT70" s="16">
        <f t="shared" si="67"/>
        <v>0</v>
      </c>
      <c r="BU70" s="16">
        <f t="shared" si="67"/>
        <v>0</v>
      </c>
      <c r="BV70" s="19">
        <f t="shared" ref="BV70:BX70" si="74">(((BV40+Unadj_Op_revenue)/(BV67+Unadj_rate_base))-Weighted_cost_debt-Weighted_cost_pref)/Percent_common-Unadj_ROE</f>
        <v>0</v>
      </c>
      <c r="BW70" s="16">
        <f t="shared" si="74"/>
        <v>-1.667590493031057E-3</v>
      </c>
      <c r="BX70" s="18">
        <f t="shared" si="74"/>
        <v>2.1400982886617126E-5</v>
      </c>
      <c r="BY70" s="281"/>
    </row>
    <row r="71" spans="1:77" x14ac:dyDescent="0.2">
      <c r="A71" s="14" t="s">
        <v>47</v>
      </c>
      <c r="B71" s="192">
        <f>SUM(C71:BX71)</f>
        <v>4134092.8754481585</v>
      </c>
      <c r="C71" s="37">
        <f t="shared" ref="C71:BU71" si="75">-(C40-(C67*Overall_ROR))/gross_up_factor</f>
        <v>0</v>
      </c>
      <c r="D71" s="106">
        <f t="shared" si="75"/>
        <v>0</v>
      </c>
      <c r="E71" s="106">
        <f t="shared" si="75"/>
        <v>0</v>
      </c>
      <c r="F71" s="106">
        <f t="shared" si="75"/>
        <v>-806581.84509009949</v>
      </c>
      <c r="G71" s="106">
        <f t="shared" si="75"/>
        <v>0</v>
      </c>
      <c r="H71" s="106">
        <f t="shared" si="75"/>
        <v>-471085.54824756313</v>
      </c>
      <c r="I71" s="193">
        <f t="shared" si="75"/>
        <v>-43356.927757402918</v>
      </c>
      <c r="J71" s="37">
        <f t="shared" ref="J71:K71" si="76">-(J40-(J67*Overall_ROR))/gross_up_factor</f>
        <v>0</v>
      </c>
      <c r="K71" s="193">
        <f t="shared" si="76"/>
        <v>-39153.060218468563</v>
      </c>
      <c r="L71" s="37">
        <f t="shared" si="75"/>
        <v>0</v>
      </c>
      <c r="M71" s="106">
        <f t="shared" si="75"/>
        <v>0</v>
      </c>
      <c r="N71" s="106">
        <f t="shared" si="75"/>
        <v>-722488.60169543501</v>
      </c>
      <c r="O71" s="106">
        <f t="shared" si="75"/>
        <v>0</v>
      </c>
      <c r="P71" s="106">
        <f t="shared" si="75"/>
        <v>0</v>
      </c>
      <c r="Q71" s="193">
        <f t="shared" si="75"/>
        <v>0</v>
      </c>
      <c r="R71" s="37">
        <f t="shared" si="75"/>
        <v>22803.890242364552</v>
      </c>
      <c r="S71" s="106">
        <f t="shared" si="75"/>
        <v>0</v>
      </c>
      <c r="T71" s="106">
        <f t="shared" si="75"/>
        <v>0</v>
      </c>
      <c r="U71" s="106">
        <f t="shared" si="75"/>
        <v>0</v>
      </c>
      <c r="V71" s="106">
        <f t="shared" si="75"/>
        <v>0</v>
      </c>
      <c r="W71" s="106">
        <f t="shared" si="75"/>
        <v>0</v>
      </c>
      <c r="X71" s="193">
        <f t="shared" si="75"/>
        <v>0</v>
      </c>
      <c r="Y71" s="37">
        <f t="shared" si="75"/>
        <v>0</v>
      </c>
      <c r="Z71" s="106">
        <f t="shared" ref="Z71:AB71" si="77">-(Z40-(Z67*Overall_ROR))/gross_up_factor</f>
        <v>0</v>
      </c>
      <c r="AA71" s="106">
        <f t="shared" si="77"/>
        <v>0</v>
      </c>
      <c r="AB71" s="106">
        <f t="shared" si="77"/>
        <v>0</v>
      </c>
      <c r="AC71" s="193">
        <f t="shared" ref="AC71" si="78">-(AC40-(AC67*Overall_ROR))/gross_up_factor</f>
        <v>0</v>
      </c>
      <c r="AD71" s="37">
        <f t="shared" si="75"/>
        <v>0</v>
      </c>
      <c r="AE71" s="193">
        <f t="shared" si="75"/>
        <v>4953793.0067990292</v>
      </c>
      <c r="AF71" s="37">
        <f t="shared" si="75"/>
        <v>-713314.4555071902</v>
      </c>
      <c r="AG71" s="106">
        <f t="shared" si="75"/>
        <v>0</v>
      </c>
      <c r="AH71" s="29">
        <f t="shared" si="75"/>
        <v>-18967.010104357076</v>
      </c>
      <c r="AI71" s="12">
        <f t="shared" si="75"/>
        <v>0</v>
      </c>
      <c r="AJ71" s="12">
        <f t="shared" si="75"/>
        <v>0</v>
      </c>
      <c r="AK71" s="86">
        <f t="shared" si="75"/>
        <v>0</v>
      </c>
      <c r="AL71" s="29">
        <f t="shared" si="75"/>
        <v>0</v>
      </c>
      <c r="AM71" s="12">
        <f t="shared" ref="AM71:AP71" si="79">-(AM40-(AM67*Overall_ROR))/gross_up_factor</f>
        <v>0</v>
      </c>
      <c r="AN71" s="12">
        <f t="shared" si="79"/>
        <v>0</v>
      </c>
      <c r="AO71" s="12">
        <f t="shared" si="79"/>
        <v>0</v>
      </c>
      <c r="AP71" s="12">
        <f t="shared" si="79"/>
        <v>0</v>
      </c>
      <c r="AQ71" s="86">
        <f t="shared" ref="AQ71:AR71" si="80">-(AQ40-(AQ67*Overall_ROR))/gross_up_factor</f>
        <v>0</v>
      </c>
      <c r="AR71" s="12">
        <f t="shared" si="80"/>
        <v>0</v>
      </c>
      <c r="AS71" s="37">
        <f t="shared" si="75"/>
        <v>-270140.09350173536</v>
      </c>
      <c r="AT71" s="106">
        <f t="shared" si="75"/>
        <v>113575.57904930998</v>
      </c>
      <c r="AU71" s="106">
        <f t="shared" si="75"/>
        <v>-1068383.2261475592</v>
      </c>
      <c r="AV71" s="106">
        <f t="shared" si="75"/>
        <v>0</v>
      </c>
      <c r="AW71" s="106">
        <f t="shared" si="75"/>
        <v>41760.309902348476</v>
      </c>
      <c r="AX71" s="106">
        <f t="shared" si="75"/>
        <v>0</v>
      </c>
      <c r="AY71" s="37">
        <f t="shared" si="75"/>
        <v>0</v>
      </c>
      <c r="AZ71" s="106">
        <f t="shared" si="75"/>
        <v>0</v>
      </c>
      <c r="BA71" s="106">
        <f t="shared" si="75"/>
        <v>-846919.53837462666</v>
      </c>
      <c r="BB71" s="37">
        <f t="shared" si="75"/>
        <v>0</v>
      </c>
      <c r="BC71" s="106">
        <f t="shared" si="75"/>
        <v>0</v>
      </c>
      <c r="BD71" s="106">
        <f t="shared" si="75"/>
        <v>0</v>
      </c>
      <c r="BE71" s="106">
        <f t="shared" si="75"/>
        <v>2918740.4435051642</v>
      </c>
      <c r="BF71" s="37">
        <f t="shared" ref="BF71" si="81">-(BF40-(BF67*Overall_ROR))/gross_up_factor</f>
        <v>-53626.417040693741</v>
      </c>
      <c r="BG71" s="106">
        <f t="shared" si="75"/>
        <v>0</v>
      </c>
      <c r="BH71" s="106">
        <f t="shared" si="75"/>
        <v>0</v>
      </c>
      <c r="BI71" s="106">
        <f t="shared" si="75"/>
        <v>105711.22725376028</v>
      </c>
      <c r="BJ71" s="106">
        <f t="shared" si="75"/>
        <v>0</v>
      </c>
      <c r="BK71" s="106">
        <f t="shared" si="75"/>
        <v>0</v>
      </c>
      <c r="BL71" s="106">
        <f t="shared" si="75"/>
        <v>0</v>
      </c>
      <c r="BM71" s="106">
        <f t="shared" si="75"/>
        <v>0</v>
      </c>
      <c r="BN71" s="37">
        <f t="shared" si="75"/>
        <v>0</v>
      </c>
      <c r="BO71" s="106">
        <f t="shared" si="75"/>
        <v>0</v>
      </c>
      <c r="BP71" s="106">
        <f t="shared" si="75"/>
        <v>0</v>
      </c>
      <c r="BQ71" s="106">
        <f t="shared" si="75"/>
        <v>0</v>
      </c>
      <c r="BR71" s="106">
        <f t="shared" si="75"/>
        <v>0</v>
      </c>
      <c r="BS71" s="106">
        <f t="shared" si="75"/>
        <v>0</v>
      </c>
      <c r="BT71" s="106">
        <f t="shared" si="75"/>
        <v>0</v>
      </c>
      <c r="BU71" s="106">
        <f t="shared" si="75"/>
        <v>0</v>
      </c>
      <c r="BV71" s="192">
        <f t="shared" ref="BV71:BX71" si="82">-(BV40-(BV67*Overall_ROR))/gross_up_factor</f>
        <v>0</v>
      </c>
      <c r="BW71" s="106">
        <f t="shared" si="82"/>
        <v>1047555.1462835451</v>
      </c>
      <c r="BX71" s="193">
        <f t="shared" si="82"/>
        <v>-15830.003902232142</v>
      </c>
    </row>
    <row r="72" spans="1:77" x14ac:dyDescent="0.2">
      <c r="A72" s="14"/>
      <c r="B72" s="19"/>
      <c r="C72" s="17"/>
      <c r="D72" s="16"/>
      <c r="E72" s="16"/>
      <c r="F72" s="16"/>
      <c r="G72" s="16"/>
      <c r="H72" s="16"/>
      <c r="I72" s="18"/>
      <c r="J72" s="17"/>
      <c r="K72" s="18"/>
      <c r="L72" s="17"/>
      <c r="M72" s="16"/>
      <c r="N72" s="16"/>
      <c r="O72" s="16"/>
      <c r="P72" s="16"/>
      <c r="Q72" s="18"/>
      <c r="R72" s="17"/>
      <c r="S72" s="16"/>
      <c r="T72" s="16"/>
      <c r="U72" s="16"/>
      <c r="V72" s="16"/>
      <c r="W72" s="16"/>
      <c r="X72" s="18"/>
      <c r="Y72" s="17"/>
      <c r="Z72" s="16"/>
      <c r="AA72" s="16"/>
      <c r="AB72" s="16"/>
      <c r="AC72" s="18"/>
      <c r="AD72" s="17"/>
      <c r="AE72" s="18"/>
      <c r="AF72" s="17"/>
      <c r="AG72" s="16"/>
      <c r="AH72" s="17"/>
      <c r="AI72" s="16"/>
      <c r="AJ72" s="16"/>
      <c r="AK72" s="18"/>
      <c r="AL72" s="17"/>
      <c r="AM72" s="16"/>
      <c r="AN72" s="16"/>
      <c r="AO72" s="16"/>
      <c r="AP72" s="16"/>
      <c r="AQ72" s="18"/>
      <c r="AR72" s="16"/>
      <c r="AS72" s="17"/>
      <c r="AT72" s="16"/>
      <c r="AU72" s="16"/>
      <c r="AV72" s="16"/>
      <c r="AW72" s="16"/>
      <c r="AX72" s="16"/>
      <c r="AY72" s="17"/>
      <c r="AZ72" s="16"/>
      <c r="BA72" s="16"/>
      <c r="BB72" s="17"/>
      <c r="BC72" s="16"/>
      <c r="BD72" s="16"/>
      <c r="BE72" s="16"/>
      <c r="BF72" s="17"/>
      <c r="BG72" s="16"/>
      <c r="BH72" s="16"/>
      <c r="BI72" s="16"/>
      <c r="BJ72" s="16"/>
      <c r="BK72" s="16"/>
      <c r="BL72" s="16"/>
      <c r="BM72" s="16"/>
      <c r="BN72" s="17"/>
      <c r="BO72" s="16"/>
      <c r="BP72" s="16"/>
      <c r="BQ72" s="16"/>
      <c r="BR72" s="16"/>
      <c r="BS72" s="16"/>
      <c r="BT72" s="16"/>
      <c r="BU72" s="16"/>
      <c r="BV72" s="19"/>
      <c r="BW72" s="16"/>
      <c r="BX72" s="18"/>
    </row>
    <row r="73" spans="1:77" x14ac:dyDescent="0.2">
      <c r="A73" s="14" t="s">
        <v>101</v>
      </c>
      <c r="B73" s="88"/>
      <c r="C73" s="29"/>
      <c r="D73" s="12"/>
      <c r="E73" s="12"/>
      <c r="F73" s="12"/>
      <c r="G73" s="12"/>
      <c r="H73" s="12"/>
      <c r="I73" s="86"/>
      <c r="J73" s="29"/>
      <c r="K73" s="86"/>
      <c r="L73" s="29"/>
      <c r="M73" s="12"/>
      <c r="N73" s="12"/>
      <c r="O73" s="12"/>
      <c r="P73" s="12"/>
      <c r="Q73" s="86"/>
      <c r="R73" s="29"/>
      <c r="S73" s="12"/>
      <c r="T73" s="12"/>
      <c r="U73" s="12"/>
      <c r="V73" s="12"/>
      <c r="W73" s="12"/>
      <c r="X73" s="86"/>
      <c r="Y73" s="29"/>
      <c r="Z73" s="12"/>
      <c r="AA73" s="12"/>
      <c r="AB73" s="12"/>
      <c r="AC73" s="86"/>
      <c r="AD73" s="29"/>
      <c r="AE73" s="86"/>
      <c r="AF73" s="29"/>
      <c r="AG73" s="12"/>
      <c r="AH73" s="29"/>
      <c r="AI73" s="12"/>
      <c r="AJ73" s="12"/>
      <c r="AK73" s="86"/>
      <c r="AL73" s="29"/>
      <c r="AM73" s="12"/>
      <c r="AN73" s="12"/>
      <c r="AO73" s="12"/>
      <c r="AP73" s="12"/>
      <c r="AQ73" s="86"/>
      <c r="AR73" s="12"/>
      <c r="AS73" s="29"/>
      <c r="AT73" s="12"/>
      <c r="AU73" s="12"/>
      <c r="AV73" s="12"/>
      <c r="AW73" s="12"/>
      <c r="AX73" s="12"/>
      <c r="AY73" s="29"/>
      <c r="AZ73" s="12"/>
      <c r="BA73" s="12"/>
      <c r="BB73" s="29"/>
      <c r="BC73" s="12"/>
      <c r="BD73" s="12"/>
      <c r="BE73" s="12"/>
      <c r="BF73" s="29"/>
      <c r="BG73" s="12"/>
      <c r="BH73" s="12"/>
      <c r="BI73" s="12"/>
      <c r="BJ73" s="12"/>
      <c r="BK73" s="12"/>
      <c r="BL73" s="12"/>
      <c r="BM73" s="12"/>
      <c r="BN73" s="29"/>
      <c r="BO73" s="12"/>
      <c r="BP73" s="12"/>
      <c r="BQ73" s="12"/>
      <c r="BR73" s="12"/>
      <c r="BS73" s="12"/>
      <c r="BT73" s="12"/>
      <c r="BU73" s="12"/>
      <c r="BV73" s="88"/>
      <c r="BW73" s="12"/>
      <c r="BX73" s="86"/>
    </row>
    <row r="74" spans="1:77" x14ac:dyDescent="0.2">
      <c r="A74" s="14" t="s">
        <v>102</v>
      </c>
      <c r="B74" s="192">
        <f t="shared" ref="B74:B80" si="83">SUM(C74:BX74)</f>
        <v>-2935755.1598408041</v>
      </c>
      <c r="C74" s="37">
        <f t="shared" ref="C74:BU74" si="84">C16-C29-C30-C31-C32-C37</f>
        <v>0</v>
      </c>
      <c r="D74" s="106">
        <f t="shared" si="84"/>
        <v>0</v>
      </c>
      <c r="E74" s="106">
        <f t="shared" si="84"/>
        <v>0</v>
      </c>
      <c r="F74" s="106">
        <f t="shared" si="84"/>
        <v>776048.95839665306</v>
      </c>
      <c r="G74" s="106">
        <f t="shared" si="84"/>
        <v>0</v>
      </c>
      <c r="H74" s="106">
        <f t="shared" si="84"/>
        <v>449017.00217965804</v>
      </c>
      <c r="I74" s="193">
        <f t="shared" si="84"/>
        <v>41325.822449383042</v>
      </c>
      <c r="J74" s="37">
        <f t="shared" ref="J74:K74" si="85">J16-J29-J30-J31-J32-J37</f>
        <v>0</v>
      </c>
      <c r="K74" s="193">
        <f t="shared" si="85"/>
        <v>37318.889935926461</v>
      </c>
      <c r="L74" s="37">
        <f>L16-L29-L30-L31-L32-L37</f>
        <v>0</v>
      </c>
      <c r="M74" s="106">
        <f t="shared" si="84"/>
        <v>0</v>
      </c>
      <c r="N74" s="106">
        <f t="shared" si="84"/>
        <v>688642.78950831818</v>
      </c>
      <c r="O74" s="106">
        <f t="shared" si="84"/>
        <v>0</v>
      </c>
      <c r="P74" s="106">
        <f t="shared" si="84"/>
        <v>0</v>
      </c>
      <c r="Q74" s="193">
        <f t="shared" si="84"/>
        <v>0</v>
      </c>
      <c r="R74" s="37">
        <f t="shared" si="84"/>
        <v>-21735.615691779938</v>
      </c>
      <c r="S74" s="106">
        <f t="shared" si="84"/>
        <v>0</v>
      </c>
      <c r="T74" s="106">
        <f t="shared" si="84"/>
        <v>0</v>
      </c>
      <c r="U74" s="106">
        <f t="shared" si="84"/>
        <v>0</v>
      </c>
      <c r="V74" s="106">
        <f t="shared" si="84"/>
        <v>0</v>
      </c>
      <c r="W74" s="106">
        <f t="shared" si="84"/>
        <v>0</v>
      </c>
      <c r="X74" s="193">
        <f t="shared" si="84"/>
        <v>0</v>
      </c>
      <c r="Y74" s="37">
        <f t="shared" ref="Y74:AB74" si="86">Y16-Y29-Y30-Y31-Y32-Y37</f>
        <v>0</v>
      </c>
      <c r="Z74" s="106">
        <f t="shared" si="86"/>
        <v>0</v>
      </c>
      <c r="AA74" s="106">
        <f t="shared" si="86"/>
        <v>0</v>
      </c>
      <c r="AB74" s="106">
        <f t="shared" si="86"/>
        <v>0</v>
      </c>
      <c r="AC74" s="193">
        <f t="shared" ref="AC74" si="87">AC16-AC29-AC30-AC31-AC32-AC37</f>
        <v>0</v>
      </c>
      <c r="AD74" s="37">
        <f t="shared" si="84"/>
        <v>0</v>
      </c>
      <c r="AE74" s="193">
        <f t="shared" si="84"/>
        <v>-4721726.857480526</v>
      </c>
      <c r="AF74" s="37">
        <f t="shared" si="84"/>
        <v>679898.4167838149</v>
      </c>
      <c r="AG74" s="106">
        <f t="shared" si="84"/>
        <v>0</v>
      </c>
      <c r="AH74" s="29">
        <f t="shared" si="84"/>
        <v>0</v>
      </c>
      <c r="AI74" s="12">
        <f t="shared" si="84"/>
        <v>0</v>
      </c>
      <c r="AJ74" s="12">
        <f t="shared" si="84"/>
        <v>0</v>
      </c>
      <c r="AK74" s="86">
        <f t="shared" si="84"/>
        <v>0</v>
      </c>
      <c r="AL74" s="29">
        <f t="shared" si="84"/>
        <v>0</v>
      </c>
      <c r="AM74" s="12">
        <f t="shared" ref="AM74:AP74" si="88">AM16-AM29-AM30-AM31-AM32-AM37</f>
        <v>0</v>
      </c>
      <c r="AN74" s="12">
        <f t="shared" si="88"/>
        <v>0</v>
      </c>
      <c r="AO74" s="12">
        <f t="shared" si="88"/>
        <v>0</v>
      </c>
      <c r="AP74" s="12">
        <f t="shared" si="88"/>
        <v>0</v>
      </c>
      <c r="AQ74" s="86">
        <f t="shared" ref="AQ74:AR74" si="89">AQ16-AQ29-AQ30-AQ31-AQ32-AQ37</f>
        <v>0</v>
      </c>
      <c r="AR74" s="12">
        <f t="shared" si="89"/>
        <v>0</v>
      </c>
      <c r="AS74" s="37">
        <f t="shared" si="84"/>
        <v>0</v>
      </c>
      <c r="AT74" s="106">
        <f t="shared" si="84"/>
        <v>-108255</v>
      </c>
      <c r="AU74" s="106">
        <f t="shared" si="84"/>
        <v>0</v>
      </c>
      <c r="AV74" s="106">
        <f t="shared" si="84"/>
        <v>0</v>
      </c>
      <c r="AW74" s="106">
        <f t="shared" si="84"/>
        <v>-39804</v>
      </c>
      <c r="AX74" s="106">
        <f t="shared" si="84"/>
        <v>0</v>
      </c>
      <c r="AY74" s="37">
        <f t="shared" si="84"/>
        <v>0</v>
      </c>
      <c r="AZ74" s="106">
        <f t="shared" si="84"/>
        <v>0</v>
      </c>
      <c r="BA74" s="106">
        <f t="shared" si="84"/>
        <v>807244.04000000097</v>
      </c>
      <c r="BB74" s="37">
        <f t="shared" si="84"/>
        <v>0</v>
      </c>
      <c r="BC74" s="106">
        <f t="shared" si="84"/>
        <v>0</v>
      </c>
      <c r="BD74" s="106">
        <f t="shared" si="84"/>
        <v>0</v>
      </c>
      <c r="BE74" s="106">
        <f t="shared" si="84"/>
        <v>-466361.64486894885</v>
      </c>
      <c r="BF74" s="37">
        <f t="shared" ref="BF74" si="90">BF16-BF29-BF30-BF31-BF32-BF37</f>
        <v>0</v>
      </c>
      <c r="BG74" s="106">
        <f t="shared" si="84"/>
        <v>0</v>
      </c>
      <c r="BH74" s="106">
        <f t="shared" si="84"/>
        <v>0</v>
      </c>
      <c r="BI74" s="106">
        <f t="shared" si="84"/>
        <v>-82361.759263031505</v>
      </c>
      <c r="BJ74" s="106">
        <f t="shared" si="84"/>
        <v>0</v>
      </c>
      <c r="BK74" s="106">
        <f t="shared" si="84"/>
        <v>0</v>
      </c>
      <c r="BL74" s="106">
        <f t="shared" si="84"/>
        <v>0</v>
      </c>
      <c r="BM74" s="106">
        <f t="shared" si="84"/>
        <v>0</v>
      </c>
      <c r="BN74" s="37">
        <f t="shared" si="84"/>
        <v>0</v>
      </c>
      <c r="BO74" s="106">
        <f t="shared" si="84"/>
        <v>0</v>
      </c>
      <c r="BP74" s="106">
        <f t="shared" si="84"/>
        <v>0</v>
      </c>
      <c r="BQ74" s="106">
        <f t="shared" si="84"/>
        <v>0</v>
      </c>
      <c r="BR74" s="106">
        <f t="shared" si="84"/>
        <v>0</v>
      </c>
      <c r="BS74" s="106">
        <f t="shared" si="84"/>
        <v>0</v>
      </c>
      <c r="BT74" s="106">
        <f t="shared" si="84"/>
        <v>0</v>
      </c>
      <c r="BU74" s="106">
        <f t="shared" si="84"/>
        <v>0</v>
      </c>
      <c r="BV74" s="192">
        <f t="shared" ref="BV74:BX74" si="91">BV16-BV29-BV30-BV31-BV32-BV37</f>
        <v>0</v>
      </c>
      <c r="BW74" s="106">
        <f t="shared" si="91"/>
        <v>-980581.26515954512</v>
      </c>
      <c r="BX74" s="193">
        <f t="shared" si="91"/>
        <v>5575.0633692726551</v>
      </c>
    </row>
    <row r="75" spans="1:77" x14ac:dyDescent="0.2">
      <c r="A75" s="14" t="s">
        <v>103</v>
      </c>
      <c r="B75" s="192">
        <f t="shared" si="83"/>
        <v>0</v>
      </c>
      <c r="C75" s="29"/>
      <c r="D75" s="12"/>
      <c r="E75" s="12"/>
      <c r="F75" s="12"/>
      <c r="G75" s="12"/>
      <c r="H75" s="12"/>
      <c r="I75" s="86"/>
      <c r="J75" s="29"/>
      <c r="K75" s="86"/>
      <c r="L75" s="29"/>
      <c r="M75" s="12"/>
      <c r="N75" s="12"/>
      <c r="O75" s="12"/>
      <c r="P75" s="12"/>
      <c r="Q75" s="86"/>
      <c r="R75" s="29"/>
      <c r="S75" s="12"/>
      <c r="T75" s="12"/>
      <c r="U75" s="12"/>
      <c r="V75" s="12"/>
      <c r="W75" s="12"/>
      <c r="X75" s="86"/>
      <c r="Y75" s="29"/>
      <c r="Z75" s="12"/>
      <c r="AA75" s="12"/>
      <c r="AB75" s="12"/>
      <c r="AC75" s="86"/>
      <c r="AD75" s="29"/>
      <c r="AE75" s="86"/>
      <c r="AF75" s="29"/>
      <c r="AG75" s="12"/>
      <c r="AH75" s="29"/>
      <c r="AI75" s="12"/>
      <c r="AJ75" s="12"/>
      <c r="AK75" s="86"/>
      <c r="AL75" s="29"/>
      <c r="AM75" s="12"/>
      <c r="AN75" s="12"/>
      <c r="AO75" s="12"/>
      <c r="AP75" s="12"/>
      <c r="AQ75" s="86"/>
      <c r="AR75" s="12"/>
      <c r="AS75" s="29"/>
      <c r="AT75" s="12"/>
      <c r="AU75" s="12"/>
      <c r="AV75" s="12"/>
      <c r="AW75" s="12"/>
      <c r="AX75" s="12"/>
      <c r="AY75" s="29"/>
      <c r="AZ75" s="12"/>
      <c r="BA75" s="12"/>
      <c r="BB75" s="29"/>
      <c r="BC75" s="12"/>
      <c r="BD75" s="12"/>
      <c r="BE75" s="12"/>
      <c r="BF75" s="29"/>
      <c r="BG75" s="12"/>
      <c r="BH75" s="12"/>
      <c r="BI75" s="12"/>
      <c r="BJ75" s="12"/>
      <c r="BK75" s="12"/>
      <c r="BL75" s="12"/>
      <c r="BM75" s="12"/>
      <c r="BN75" s="29"/>
      <c r="BO75" s="12"/>
      <c r="BP75" s="12"/>
      <c r="BQ75" s="12"/>
      <c r="BR75" s="12"/>
      <c r="BS75" s="12"/>
      <c r="BT75" s="12"/>
      <c r="BU75" s="12"/>
      <c r="BV75" s="88"/>
      <c r="BW75" s="12"/>
      <c r="BX75" s="86"/>
    </row>
    <row r="76" spans="1:77" x14ac:dyDescent="0.2">
      <c r="A76" s="14" t="s">
        <v>104</v>
      </c>
      <c r="B76" s="192">
        <f t="shared" si="83"/>
        <v>0</v>
      </c>
      <c r="C76" s="30"/>
      <c r="D76" s="90"/>
      <c r="E76" s="90"/>
      <c r="F76" s="90"/>
      <c r="G76" s="90"/>
      <c r="H76" s="90"/>
      <c r="I76" s="91"/>
      <c r="J76" s="30"/>
      <c r="K76" s="91"/>
      <c r="L76" s="30"/>
      <c r="M76" s="90"/>
      <c r="N76" s="90"/>
      <c r="O76" s="90"/>
      <c r="P76" s="90"/>
      <c r="Q76" s="91"/>
      <c r="R76" s="30"/>
      <c r="S76" s="90"/>
      <c r="T76" s="90"/>
      <c r="U76" s="90"/>
      <c r="V76" s="90"/>
      <c r="W76" s="90"/>
      <c r="X76" s="91"/>
      <c r="Y76" s="30"/>
      <c r="Z76" s="90"/>
      <c r="AA76" s="90"/>
      <c r="AB76" s="90"/>
      <c r="AC76" s="91"/>
      <c r="AD76" s="30"/>
      <c r="AE76" s="91"/>
      <c r="AF76" s="30"/>
      <c r="AG76" s="90"/>
      <c r="AH76" s="30"/>
      <c r="AI76" s="90"/>
      <c r="AJ76" s="90"/>
      <c r="AK76" s="91"/>
      <c r="AL76" s="30"/>
      <c r="AM76" s="90"/>
      <c r="AN76" s="90"/>
      <c r="AO76" s="90"/>
      <c r="AP76" s="90"/>
      <c r="AQ76" s="91"/>
      <c r="AR76" s="90"/>
      <c r="AS76" s="30"/>
      <c r="AT76" s="90"/>
      <c r="AU76" s="90"/>
      <c r="AV76" s="90"/>
      <c r="AW76" s="90"/>
      <c r="AX76" s="90"/>
      <c r="AY76" s="30"/>
      <c r="AZ76" s="90"/>
      <c r="BA76" s="90"/>
      <c r="BB76" s="30"/>
      <c r="BC76" s="90"/>
      <c r="BD76" s="90"/>
      <c r="BE76" s="90"/>
      <c r="BF76" s="30"/>
      <c r="BG76" s="90"/>
      <c r="BH76" s="12"/>
      <c r="BI76" s="90"/>
      <c r="BJ76" s="90"/>
      <c r="BK76" s="90"/>
      <c r="BL76" s="90"/>
      <c r="BM76" s="90"/>
      <c r="BN76" s="30"/>
      <c r="BO76" s="90"/>
      <c r="BP76" s="90"/>
      <c r="BQ76" s="90"/>
      <c r="BR76" s="90"/>
      <c r="BS76" s="90"/>
      <c r="BT76" s="90"/>
      <c r="BU76" s="90"/>
      <c r="BV76" s="100"/>
      <c r="BW76" s="90"/>
      <c r="BX76" s="91"/>
    </row>
    <row r="77" spans="1:77" x14ac:dyDescent="0.2">
      <c r="A77" s="14" t="s">
        <v>105</v>
      </c>
      <c r="B77" s="192">
        <f t="shared" si="83"/>
        <v>478186.5569400005</v>
      </c>
      <c r="C77" s="30"/>
      <c r="D77" s="90"/>
      <c r="E77" s="90"/>
      <c r="F77" s="90"/>
      <c r="G77" s="90"/>
      <c r="H77" s="90"/>
      <c r="I77" s="91"/>
      <c r="J77" s="30"/>
      <c r="K77" s="91"/>
      <c r="L77" s="30"/>
      <c r="M77" s="90"/>
      <c r="N77" s="90"/>
      <c r="O77" s="90"/>
      <c r="P77" s="90"/>
      <c r="Q77" s="91"/>
      <c r="R77" s="30"/>
      <c r="S77" s="90"/>
      <c r="T77" s="90"/>
      <c r="U77" s="90"/>
      <c r="V77" s="90"/>
      <c r="W77" s="90"/>
      <c r="X77" s="91"/>
      <c r="Y77" s="30"/>
      <c r="Z77" s="90"/>
      <c r="AA77" s="90"/>
      <c r="AB77" s="90"/>
      <c r="AC77" s="91"/>
      <c r="AD77" s="30"/>
      <c r="AE77" s="91"/>
      <c r="AF77" s="30"/>
      <c r="AG77" s="90"/>
      <c r="AH77" s="30"/>
      <c r="AI77" s="90"/>
      <c r="AJ77" s="90"/>
      <c r="AK77" s="91"/>
      <c r="AL77" s="30"/>
      <c r="AM77" s="90"/>
      <c r="AN77" s="90"/>
      <c r="AO77" s="90"/>
      <c r="AP77" s="90"/>
      <c r="AQ77" s="91"/>
      <c r="AR77" s="90"/>
      <c r="AS77" s="30">
        <f>'Interest Calc'!C26</f>
        <v>478186.5569400005</v>
      </c>
      <c r="AT77" s="90"/>
      <c r="AU77" s="90"/>
      <c r="AV77" s="90"/>
      <c r="AW77" s="90"/>
      <c r="AX77" s="90"/>
      <c r="AY77" s="30"/>
      <c r="AZ77" s="90"/>
      <c r="BA77" s="90"/>
      <c r="BB77" s="30"/>
      <c r="BC77" s="90"/>
      <c r="BD77" s="90"/>
      <c r="BE77" s="90"/>
      <c r="BF77" s="30"/>
      <c r="BG77" s="90"/>
      <c r="BH77" s="12"/>
      <c r="BI77" s="90"/>
      <c r="BJ77" s="90"/>
      <c r="BK77" s="90"/>
      <c r="BL77" s="90"/>
      <c r="BM77" s="90"/>
      <c r="BN77" s="30"/>
      <c r="BO77" s="90"/>
      <c r="BP77" s="90"/>
      <c r="BQ77" s="90"/>
      <c r="BR77" s="90"/>
      <c r="BS77" s="90"/>
      <c r="BT77" s="90"/>
      <c r="BU77" s="90"/>
      <c r="BV77" s="100"/>
      <c r="BW77" s="90"/>
      <c r="BX77" s="91"/>
    </row>
    <row r="78" spans="1:77" x14ac:dyDescent="0.2">
      <c r="A78" s="14" t="s">
        <v>106</v>
      </c>
      <c r="B78" s="192">
        <f t="shared" si="83"/>
        <v>276747.67003499484</v>
      </c>
      <c r="C78" s="30"/>
      <c r="D78" s="90"/>
      <c r="E78" s="90"/>
      <c r="F78" s="90">
        <f>'[43]Page 3.4'!$I$21</f>
        <v>58.417828750555501</v>
      </c>
      <c r="G78" s="90"/>
      <c r="H78" s="90"/>
      <c r="I78" s="91"/>
      <c r="J78" s="30"/>
      <c r="K78" s="91"/>
      <c r="L78" s="30"/>
      <c r="M78" s="90"/>
      <c r="N78" s="90"/>
      <c r="O78" s="90"/>
      <c r="P78" s="90"/>
      <c r="Q78" s="91"/>
      <c r="R78" s="30"/>
      <c r="S78" s="90"/>
      <c r="T78" s="90"/>
      <c r="U78" s="90"/>
      <c r="V78" s="90"/>
      <c r="W78" s="90"/>
      <c r="X78" s="91"/>
      <c r="Y78" s="30"/>
      <c r="Z78" s="90"/>
      <c r="AA78" s="90"/>
      <c r="AB78" s="90"/>
      <c r="AC78" s="91"/>
      <c r="AD78" s="30"/>
      <c r="AE78" s="91"/>
      <c r="AF78" s="30"/>
      <c r="AG78" s="90"/>
      <c r="AH78" s="30"/>
      <c r="AI78" s="90"/>
      <c r="AJ78" s="90"/>
      <c r="AK78" s="91"/>
      <c r="AL78" s="30"/>
      <c r="AM78" s="90"/>
      <c r="AN78" s="90"/>
      <c r="AO78" s="90"/>
      <c r="AP78" s="90"/>
      <c r="AQ78" s="91"/>
      <c r="AR78" s="90"/>
      <c r="AS78" s="30"/>
      <c r="AT78" s="90"/>
      <c r="AU78" s="90"/>
      <c r="AV78" s="90"/>
      <c r="AW78" s="90"/>
      <c r="AX78" s="90"/>
      <c r="AY78" s="30"/>
      <c r="AZ78" s="90"/>
      <c r="BA78" s="90"/>
      <c r="BB78" s="30"/>
      <c r="BC78" s="90"/>
      <c r="BD78" s="90"/>
      <c r="BE78" s="90"/>
      <c r="BF78" s="30">
        <f>[14]RB!$I$1384+[14]RB!$I$1389+[14]RB!$I$1394</f>
        <v>466361.6448689489</v>
      </c>
      <c r="BG78" s="90"/>
      <c r="BH78" s="12"/>
      <c r="BI78" s="90">
        <f>'[39]Page 8.6'!$I$15+'[39]Page 8.6'!$I$23</f>
        <v>-201567.2407369685</v>
      </c>
      <c r="BJ78" s="90"/>
      <c r="BK78" s="90"/>
      <c r="BL78" s="90"/>
      <c r="BM78" s="90"/>
      <c r="BN78" s="30"/>
      <c r="BO78" s="90"/>
      <c r="BP78" s="90"/>
      <c r="BQ78" s="90"/>
      <c r="BR78" s="90"/>
      <c r="BS78" s="90"/>
      <c r="BT78" s="90"/>
      <c r="BU78" s="90"/>
      <c r="BV78" s="100"/>
      <c r="BW78" s="90"/>
      <c r="BX78" s="91">
        <f>SUM([14]ContractChange!$I$86:$I$89)</f>
        <v>11894.848074263922</v>
      </c>
    </row>
    <row r="79" spans="1:77" x14ac:dyDescent="0.2">
      <c r="A79" s="14" t="s">
        <v>107</v>
      </c>
      <c r="B79" s="192">
        <f t="shared" si="83"/>
        <v>5773702.2720606495</v>
      </c>
      <c r="C79" s="108"/>
      <c r="D79" s="99"/>
      <c r="E79" s="99"/>
      <c r="F79" s="12">
        <f>'[43]Page 3.4'!$I$22</f>
        <v>778051.99910408224</v>
      </c>
      <c r="G79" s="99"/>
      <c r="H79" s="99"/>
      <c r="I79" s="107"/>
      <c r="J79" s="38"/>
      <c r="K79" s="107"/>
      <c r="L79" s="108"/>
      <c r="M79" s="97"/>
      <c r="N79" s="97"/>
      <c r="O79" s="97"/>
      <c r="P79" s="97"/>
      <c r="Q79" s="109"/>
      <c r="R79" s="108"/>
      <c r="S79" s="97"/>
      <c r="T79" s="97"/>
      <c r="U79" s="97"/>
      <c r="V79" s="97"/>
      <c r="W79" s="97"/>
      <c r="X79" s="109"/>
      <c r="Y79" s="108"/>
      <c r="Z79" s="97"/>
      <c r="AA79" s="97"/>
      <c r="AB79" s="97"/>
      <c r="AC79" s="109"/>
      <c r="AD79" s="108"/>
      <c r="AE79" s="109"/>
      <c r="AF79" s="108"/>
      <c r="AG79" s="97"/>
      <c r="AH79" s="38">
        <f>'[44]Page 6.1'!$I$15</f>
        <v>128121.11534020312</v>
      </c>
      <c r="AI79" s="99"/>
      <c r="AJ79" s="99"/>
      <c r="AK79" s="107"/>
      <c r="AL79" s="38"/>
      <c r="AM79" s="99"/>
      <c r="AN79" s="99"/>
      <c r="AO79" s="99"/>
      <c r="AP79" s="99"/>
      <c r="AQ79" s="107"/>
      <c r="AR79" s="99"/>
      <c r="AS79" s="38"/>
      <c r="AT79" s="99"/>
      <c r="AU79" s="99"/>
      <c r="AV79" s="99"/>
      <c r="AW79" s="99"/>
      <c r="AX79" s="99"/>
      <c r="AY79" s="38"/>
      <c r="AZ79" s="99"/>
      <c r="BA79" s="99"/>
      <c r="BB79" s="38"/>
      <c r="BC79" s="99"/>
      <c r="BD79" s="99"/>
      <c r="BE79" s="99"/>
      <c r="BF79" s="38">
        <f>[14]RB!$I$1385+[14]RB!$I$1390+[14]RB!$I$1395</f>
        <v>4756418.8191222055</v>
      </c>
      <c r="BG79" s="99"/>
      <c r="BH79" s="99"/>
      <c r="BI79" s="99">
        <f>'[45]Page 8.6'!$I$19</f>
        <v>-38021.730055842912</v>
      </c>
      <c r="BJ79" s="99"/>
      <c r="BK79" s="99"/>
      <c r="BL79" s="99"/>
      <c r="BM79" s="99"/>
      <c r="BN79" s="38"/>
      <c r="BO79" s="99"/>
      <c r="BP79" s="99"/>
      <c r="BQ79" s="99"/>
      <c r="BR79" s="99"/>
      <c r="BS79" s="99"/>
      <c r="BT79" s="99"/>
      <c r="BU79" s="99"/>
      <c r="BV79" s="301"/>
      <c r="BW79" s="99"/>
      <c r="BX79" s="107">
        <f>SUM([14]ContractChange!$I$90:$I$93)</f>
        <v>149132.06855000136</v>
      </c>
    </row>
    <row r="80" spans="1:77" x14ac:dyDescent="0.2">
      <c r="A80" s="14" t="s">
        <v>108</v>
      </c>
      <c r="B80" s="194">
        <f t="shared" si="83"/>
        <v>-8910896.3188064601</v>
      </c>
      <c r="C80" s="200">
        <f t="shared" ref="C80:BU80" si="92">C74-C76-C77+C78-C79</f>
        <v>0</v>
      </c>
      <c r="D80" s="13">
        <f t="shared" si="92"/>
        <v>0</v>
      </c>
      <c r="E80" s="13">
        <f t="shared" si="92"/>
        <v>0</v>
      </c>
      <c r="F80" s="115">
        <f t="shared" si="92"/>
        <v>-1944.6228786786087</v>
      </c>
      <c r="G80" s="13">
        <f t="shared" si="92"/>
        <v>0</v>
      </c>
      <c r="H80" s="13">
        <f t="shared" si="92"/>
        <v>449017.00217965804</v>
      </c>
      <c r="I80" s="201">
        <f t="shared" si="92"/>
        <v>41325.822449383042</v>
      </c>
      <c r="J80" s="200">
        <f t="shared" ref="J80:K80" si="93">J74-J76-J77+J78-J79</f>
        <v>0</v>
      </c>
      <c r="K80" s="201">
        <f t="shared" si="93"/>
        <v>37318.889935926461</v>
      </c>
      <c r="L80" s="200">
        <f t="shared" si="92"/>
        <v>0</v>
      </c>
      <c r="M80" s="13">
        <f t="shared" si="92"/>
        <v>0</v>
      </c>
      <c r="N80" s="13">
        <f t="shared" si="92"/>
        <v>688642.78950831818</v>
      </c>
      <c r="O80" s="13">
        <f t="shared" si="92"/>
        <v>0</v>
      </c>
      <c r="P80" s="13">
        <f t="shared" si="92"/>
        <v>0</v>
      </c>
      <c r="Q80" s="201">
        <f t="shared" si="92"/>
        <v>0</v>
      </c>
      <c r="R80" s="200">
        <f t="shared" si="92"/>
        <v>-21735.615691779938</v>
      </c>
      <c r="S80" s="13">
        <f t="shared" si="92"/>
        <v>0</v>
      </c>
      <c r="T80" s="13">
        <f t="shared" si="92"/>
        <v>0</v>
      </c>
      <c r="U80" s="13">
        <f t="shared" si="92"/>
        <v>0</v>
      </c>
      <c r="V80" s="13">
        <f t="shared" si="92"/>
        <v>0</v>
      </c>
      <c r="W80" s="13">
        <f t="shared" si="92"/>
        <v>0</v>
      </c>
      <c r="X80" s="201">
        <f t="shared" si="92"/>
        <v>0</v>
      </c>
      <c r="Y80" s="200">
        <f t="shared" ref="Y80:AB80" si="94">Y74-Y76-Y77+Y78-Y79</f>
        <v>0</v>
      </c>
      <c r="Z80" s="13">
        <f t="shared" si="94"/>
        <v>0</v>
      </c>
      <c r="AA80" s="13">
        <f t="shared" si="94"/>
        <v>0</v>
      </c>
      <c r="AB80" s="13">
        <f t="shared" si="94"/>
        <v>0</v>
      </c>
      <c r="AC80" s="201">
        <f t="shared" ref="AC80" si="95">AC74-AC76-AC77+AC78-AC79</f>
        <v>0</v>
      </c>
      <c r="AD80" s="200">
        <f t="shared" si="92"/>
        <v>0</v>
      </c>
      <c r="AE80" s="201">
        <f t="shared" si="92"/>
        <v>-4721726.857480526</v>
      </c>
      <c r="AF80" s="200">
        <f t="shared" si="92"/>
        <v>679898.4167838149</v>
      </c>
      <c r="AG80" s="13">
        <f t="shared" si="92"/>
        <v>0</v>
      </c>
      <c r="AH80" s="200">
        <f t="shared" si="92"/>
        <v>-128121.11534020312</v>
      </c>
      <c r="AI80" s="13">
        <f t="shared" si="92"/>
        <v>0</v>
      </c>
      <c r="AJ80" s="13">
        <f t="shared" si="92"/>
        <v>0</v>
      </c>
      <c r="AK80" s="201">
        <f t="shared" si="92"/>
        <v>0</v>
      </c>
      <c r="AL80" s="200">
        <f t="shared" si="92"/>
        <v>0</v>
      </c>
      <c r="AM80" s="13">
        <f t="shared" ref="AM80:AP80" si="96">AM74-AM76-AM77+AM78-AM79</f>
        <v>0</v>
      </c>
      <c r="AN80" s="13">
        <f t="shared" si="96"/>
        <v>0</v>
      </c>
      <c r="AO80" s="13">
        <f t="shared" si="96"/>
        <v>0</v>
      </c>
      <c r="AP80" s="13">
        <f t="shared" si="96"/>
        <v>0</v>
      </c>
      <c r="AQ80" s="201">
        <f t="shared" ref="AQ80:AR80" si="97">AQ74-AQ76-AQ77+AQ78-AQ79</f>
        <v>0</v>
      </c>
      <c r="AR80" s="13">
        <f t="shared" si="97"/>
        <v>0</v>
      </c>
      <c r="AS80" s="200">
        <f t="shared" si="92"/>
        <v>-478186.5569400005</v>
      </c>
      <c r="AT80" s="13">
        <f t="shared" si="92"/>
        <v>-108255</v>
      </c>
      <c r="AU80" s="13">
        <f t="shared" si="92"/>
        <v>0</v>
      </c>
      <c r="AV80" s="13">
        <f t="shared" si="92"/>
        <v>0</v>
      </c>
      <c r="AW80" s="13">
        <f t="shared" si="92"/>
        <v>-39804</v>
      </c>
      <c r="AX80" s="13">
        <f t="shared" si="92"/>
        <v>0</v>
      </c>
      <c r="AY80" s="200">
        <f t="shared" si="92"/>
        <v>0</v>
      </c>
      <c r="AZ80" s="13">
        <f t="shared" si="92"/>
        <v>0</v>
      </c>
      <c r="BA80" s="13">
        <f t="shared" si="92"/>
        <v>807244.04000000097</v>
      </c>
      <c r="BB80" s="200">
        <f t="shared" si="92"/>
        <v>0</v>
      </c>
      <c r="BC80" s="13">
        <f t="shared" si="92"/>
        <v>0</v>
      </c>
      <c r="BD80" s="13">
        <f t="shared" si="92"/>
        <v>0</v>
      </c>
      <c r="BE80" s="13">
        <f t="shared" si="92"/>
        <v>-466361.64486894885</v>
      </c>
      <c r="BF80" s="200">
        <f t="shared" ref="BF80" si="98">BF74-BF76-BF77+BF78-BF79</f>
        <v>-4290057.174253257</v>
      </c>
      <c r="BG80" s="13">
        <f t="shared" si="92"/>
        <v>0</v>
      </c>
      <c r="BH80" s="13">
        <f t="shared" si="92"/>
        <v>0</v>
      </c>
      <c r="BI80" s="13">
        <f t="shared" si="92"/>
        <v>-245907.2699441571</v>
      </c>
      <c r="BJ80" s="13">
        <f t="shared" si="92"/>
        <v>0</v>
      </c>
      <c r="BK80" s="13">
        <f t="shared" si="92"/>
        <v>0</v>
      </c>
      <c r="BL80" s="13">
        <f t="shared" si="92"/>
        <v>0</v>
      </c>
      <c r="BM80" s="13">
        <f t="shared" si="92"/>
        <v>0</v>
      </c>
      <c r="BN80" s="200">
        <f t="shared" si="92"/>
        <v>0</v>
      </c>
      <c r="BO80" s="13">
        <f t="shared" si="92"/>
        <v>0</v>
      </c>
      <c r="BP80" s="13">
        <f t="shared" si="92"/>
        <v>0</v>
      </c>
      <c r="BQ80" s="13">
        <f t="shared" si="92"/>
        <v>0</v>
      </c>
      <c r="BR80" s="13">
        <f t="shared" si="92"/>
        <v>0</v>
      </c>
      <c r="BS80" s="13">
        <f t="shared" si="92"/>
        <v>0</v>
      </c>
      <c r="BT80" s="13">
        <f t="shared" si="92"/>
        <v>0</v>
      </c>
      <c r="BU80" s="13">
        <f t="shared" si="92"/>
        <v>0</v>
      </c>
      <c r="BV80" s="302">
        <f t="shared" ref="BV80:BX80" si="99">BV74-BV76-BV77+BV78-BV79</f>
        <v>0</v>
      </c>
      <c r="BW80" s="13">
        <f t="shared" si="99"/>
        <v>-980581.26515954512</v>
      </c>
      <c r="BX80" s="201">
        <f t="shared" si="99"/>
        <v>-131662.15710646479</v>
      </c>
    </row>
    <row r="81" spans="1:77" x14ac:dyDescent="0.2">
      <c r="A81" s="14"/>
      <c r="B81" s="88"/>
      <c r="C81" s="29"/>
      <c r="D81" s="12"/>
      <c r="E81" s="12"/>
      <c r="F81" s="12"/>
      <c r="G81" s="12"/>
      <c r="H81" s="12"/>
      <c r="I81" s="86"/>
      <c r="J81" s="29"/>
      <c r="K81" s="86"/>
      <c r="L81" s="29"/>
      <c r="M81" s="12"/>
      <c r="N81" s="12"/>
      <c r="O81" s="12"/>
      <c r="P81" s="12"/>
      <c r="Q81" s="86"/>
      <c r="R81" s="29"/>
      <c r="S81" s="12"/>
      <c r="T81" s="12"/>
      <c r="U81" s="12"/>
      <c r="V81" s="12"/>
      <c r="W81" s="12"/>
      <c r="X81" s="86"/>
      <c r="Y81" s="29"/>
      <c r="Z81" s="12"/>
      <c r="AA81" s="12"/>
      <c r="AB81" s="12"/>
      <c r="AC81" s="86"/>
      <c r="AD81" s="29"/>
      <c r="AE81" s="86"/>
      <c r="AF81" s="29"/>
      <c r="AG81" s="12"/>
      <c r="AH81" s="29"/>
      <c r="AI81" s="12"/>
      <c r="AJ81" s="12"/>
      <c r="AK81" s="86"/>
      <c r="AL81" s="29"/>
      <c r="AM81" s="12"/>
      <c r="AN81" s="12"/>
      <c r="AO81" s="12"/>
      <c r="AP81" s="12"/>
      <c r="AQ81" s="86"/>
      <c r="AR81" s="12"/>
      <c r="AS81" s="29"/>
      <c r="AT81" s="12"/>
      <c r="AU81" s="12"/>
      <c r="AV81" s="12"/>
      <c r="AW81" s="12"/>
      <c r="AX81" s="12"/>
      <c r="AY81" s="29"/>
      <c r="AZ81" s="12"/>
      <c r="BA81" s="12"/>
      <c r="BB81" s="29"/>
      <c r="BC81" s="12"/>
      <c r="BD81" s="12"/>
      <c r="BE81" s="12"/>
      <c r="BF81" s="29"/>
      <c r="BG81" s="12"/>
      <c r="BH81" s="12"/>
      <c r="BI81" s="12"/>
      <c r="BJ81" s="12"/>
      <c r="BK81" s="12"/>
      <c r="BL81" s="12"/>
      <c r="BM81" s="12"/>
      <c r="BN81" s="29"/>
      <c r="BO81" s="12"/>
      <c r="BP81" s="12"/>
      <c r="BQ81" s="12"/>
      <c r="BR81" s="12"/>
      <c r="BS81" s="12"/>
      <c r="BT81" s="12"/>
      <c r="BU81" s="12"/>
      <c r="BV81" s="88"/>
      <c r="BW81" s="12"/>
      <c r="BX81" s="86"/>
    </row>
    <row r="82" spans="1:77" x14ac:dyDescent="0.2">
      <c r="A82" s="14" t="s">
        <v>109</v>
      </c>
      <c r="B82" s="195">
        <f>SUM(C82:BX82)</f>
        <v>0</v>
      </c>
      <c r="C82" s="29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86">
        <v>0</v>
      </c>
      <c r="J82" s="29">
        <v>0</v>
      </c>
      <c r="K82" s="86">
        <v>0</v>
      </c>
      <c r="L82" s="29">
        <v>0</v>
      </c>
      <c r="M82" s="12">
        <v>0</v>
      </c>
      <c r="N82" s="12">
        <v>0</v>
      </c>
      <c r="O82" s="12">
        <v>0</v>
      </c>
      <c r="P82" s="12">
        <v>0</v>
      </c>
      <c r="Q82" s="86">
        <v>0</v>
      </c>
      <c r="R82" s="29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86">
        <v>0</v>
      </c>
      <c r="Y82" s="29">
        <v>0</v>
      </c>
      <c r="Z82" s="12">
        <v>0</v>
      </c>
      <c r="AA82" s="12">
        <v>0</v>
      </c>
      <c r="AB82" s="12">
        <v>0</v>
      </c>
      <c r="AC82" s="86">
        <v>0</v>
      </c>
      <c r="AD82" s="29">
        <v>0</v>
      </c>
      <c r="AE82" s="86">
        <v>0</v>
      </c>
      <c r="AF82" s="29">
        <v>0</v>
      </c>
      <c r="AG82" s="12">
        <v>0</v>
      </c>
      <c r="AH82" s="29">
        <v>0</v>
      </c>
      <c r="AI82" s="12">
        <v>0</v>
      </c>
      <c r="AJ82" s="12">
        <v>0</v>
      </c>
      <c r="AK82" s="86">
        <v>0</v>
      </c>
      <c r="AL82" s="29">
        <v>0</v>
      </c>
      <c r="AM82" s="12">
        <v>0</v>
      </c>
      <c r="AN82" s="12">
        <v>0</v>
      </c>
      <c r="AO82" s="12">
        <v>0</v>
      </c>
      <c r="AP82" s="12">
        <v>0</v>
      </c>
      <c r="AQ82" s="86">
        <v>0</v>
      </c>
      <c r="AR82" s="12">
        <v>0</v>
      </c>
      <c r="AS82" s="39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39">
        <v>0</v>
      </c>
      <c r="AZ82" s="2">
        <v>0</v>
      </c>
      <c r="BA82" s="2">
        <v>0</v>
      </c>
      <c r="BB82" s="39">
        <v>0</v>
      </c>
      <c r="BC82" s="2">
        <v>0</v>
      </c>
      <c r="BD82" s="2">
        <v>0</v>
      </c>
      <c r="BE82" s="2">
        <v>0</v>
      </c>
      <c r="BF82" s="39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39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195">
        <v>0</v>
      </c>
      <c r="BW82" s="2">
        <v>0</v>
      </c>
      <c r="BX82" s="309">
        <v>0</v>
      </c>
    </row>
    <row r="83" spans="1:77" x14ac:dyDescent="0.2">
      <c r="A83" s="14" t="s">
        <v>110</v>
      </c>
      <c r="B83" s="195">
        <f>SUM(C83:BX83)</f>
        <v>-8910896.3188064601</v>
      </c>
      <c r="C83" s="29">
        <f>C80-C82</f>
        <v>0</v>
      </c>
      <c r="D83" s="12">
        <f t="shared" ref="D83:BU83" si="100">D80-D82</f>
        <v>0</v>
      </c>
      <c r="E83" s="12">
        <f t="shared" si="100"/>
        <v>0</v>
      </c>
      <c r="F83" s="12">
        <f t="shared" si="100"/>
        <v>-1944.6228786786087</v>
      </c>
      <c r="G83" s="12">
        <f t="shared" si="100"/>
        <v>0</v>
      </c>
      <c r="H83" s="12">
        <f t="shared" si="100"/>
        <v>449017.00217965804</v>
      </c>
      <c r="I83" s="86">
        <f t="shared" si="100"/>
        <v>41325.822449383042</v>
      </c>
      <c r="J83" s="29">
        <f t="shared" ref="J83:K83" si="101">J80-J82</f>
        <v>0</v>
      </c>
      <c r="K83" s="86">
        <f t="shared" si="101"/>
        <v>37318.889935926461</v>
      </c>
      <c r="L83" s="29">
        <f t="shared" si="100"/>
        <v>0</v>
      </c>
      <c r="M83" s="12">
        <f t="shared" si="100"/>
        <v>0</v>
      </c>
      <c r="N83" s="12">
        <f t="shared" si="100"/>
        <v>688642.78950831818</v>
      </c>
      <c r="O83" s="12">
        <f t="shared" si="100"/>
        <v>0</v>
      </c>
      <c r="P83" s="12">
        <f t="shared" si="100"/>
        <v>0</v>
      </c>
      <c r="Q83" s="86">
        <f t="shared" si="100"/>
        <v>0</v>
      </c>
      <c r="R83" s="29">
        <f t="shared" si="100"/>
        <v>-21735.615691779938</v>
      </c>
      <c r="S83" s="12">
        <f t="shared" si="100"/>
        <v>0</v>
      </c>
      <c r="T83" s="12">
        <f t="shared" si="100"/>
        <v>0</v>
      </c>
      <c r="U83" s="12">
        <f t="shared" si="100"/>
        <v>0</v>
      </c>
      <c r="V83" s="12">
        <f t="shared" si="100"/>
        <v>0</v>
      </c>
      <c r="W83" s="12">
        <f t="shared" si="100"/>
        <v>0</v>
      </c>
      <c r="X83" s="86">
        <f t="shared" si="100"/>
        <v>0</v>
      </c>
      <c r="Y83" s="29">
        <f t="shared" ref="Y83:AB83" si="102">Y80-Y82</f>
        <v>0</v>
      </c>
      <c r="Z83" s="12">
        <f t="shared" si="102"/>
        <v>0</v>
      </c>
      <c r="AA83" s="12">
        <f t="shared" si="102"/>
        <v>0</v>
      </c>
      <c r="AB83" s="12">
        <f t="shared" si="102"/>
        <v>0</v>
      </c>
      <c r="AC83" s="86">
        <f t="shared" ref="AC83" si="103">AC80-AC82</f>
        <v>0</v>
      </c>
      <c r="AD83" s="29">
        <f t="shared" si="100"/>
        <v>0</v>
      </c>
      <c r="AE83" s="86">
        <f t="shared" si="100"/>
        <v>-4721726.857480526</v>
      </c>
      <c r="AF83" s="29">
        <f t="shared" si="100"/>
        <v>679898.4167838149</v>
      </c>
      <c r="AG83" s="12">
        <f t="shared" si="100"/>
        <v>0</v>
      </c>
      <c r="AH83" s="29">
        <f t="shared" si="100"/>
        <v>-128121.11534020312</v>
      </c>
      <c r="AI83" s="12">
        <f t="shared" si="100"/>
        <v>0</v>
      </c>
      <c r="AJ83" s="12">
        <f t="shared" si="100"/>
        <v>0</v>
      </c>
      <c r="AK83" s="86">
        <f t="shared" si="100"/>
        <v>0</v>
      </c>
      <c r="AL83" s="29">
        <f t="shared" si="100"/>
        <v>0</v>
      </c>
      <c r="AM83" s="12">
        <f t="shared" ref="AM83:AP83" si="104">AM80-AM82</f>
        <v>0</v>
      </c>
      <c r="AN83" s="12">
        <f t="shared" si="104"/>
        <v>0</v>
      </c>
      <c r="AO83" s="12">
        <f t="shared" si="104"/>
        <v>0</v>
      </c>
      <c r="AP83" s="12">
        <f t="shared" si="104"/>
        <v>0</v>
      </c>
      <c r="AQ83" s="86">
        <f t="shared" ref="AQ83:AR83" si="105">AQ80-AQ82</f>
        <v>0</v>
      </c>
      <c r="AR83" s="12">
        <f t="shared" si="105"/>
        <v>0</v>
      </c>
      <c r="AS83" s="39">
        <f t="shared" si="100"/>
        <v>-478186.5569400005</v>
      </c>
      <c r="AT83" s="2">
        <f t="shared" si="100"/>
        <v>-108255</v>
      </c>
      <c r="AU83" s="2">
        <f t="shared" si="100"/>
        <v>0</v>
      </c>
      <c r="AV83" s="2">
        <f t="shared" si="100"/>
        <v>0</v>
      </c>
      <c r="AW83" s="2">
        <f t="shared" si="100"/>
        <v>-39804</v>
      </c>
      <c r="AX83" s="2">
        <f t="shared" si="100"/>
        <v>0</v>
      </c>
      <c r="AY83" s="39">
        <f t="shared" si="100"/>
        <v>0</v>
      </c>
      <c r="AZ83" s="2">
        <f t="shared" si="100"/>
        <v>0</v>
      </c>
      <c r="BA83" s="2">
        <f t="shared" si="100"/>
        <v>807244.04000000097</v>
      </c>
      <c r="BB83" s="39">
        <f t="shared" si="100"/>
        <v>0</v>
      </c>
      <c r="BC83" s="2">
        <f t="shared" si="100"/>
        <v>0</v>
      </c>
      <c r="BD83" s="2">
        <f t="shared" si="100"/>
        <v>0</v>
      </c>
      <c r="BE83" s="2">
        <f t="shared" si="100"/>
        <v>-466361.64486894885</v>
      </c>
      <c r="BF83" s="39">
        <f t="shared" ref="BF83" si="106">BF80-BF82</f>
        <v>-4290057.174253257</v>
      </c>
      <c r="BG83" s="2">
        <f t="shared" si="100"/>
        <v>0</v>
      </c>
      <c r="BH83" s="2">
        <f t="shared" si="100"/>
        <v>0</v>
      </c>
      <c r="BI83" s="2">
        <f t="shared" si="100"/>
        <v>-245907.2699441571</v>
      </c>
      <c r="BJ83" s="2">
        <f t="shared" si="100"/>
        <v>0</v>
      </c>
      <c r="BK83" s="2">
        <f t="shared" si="100"/>
        <v>0</v>
      </c>
      <c r="BL83" s="2">
        <f t="shared" si="100"/>
        <v>0</v>
      </c>
      <c r="BM83" s="2">
        <f t="shared" si="100"/>
        <v>0</v>
      </c>
      <c r="BN83" s="39">
        <f t="shared" si="100"/>
        <v>0</v>
      </c>
      <c r="BO83" s="2">
        <f t="shared" si="100"/>
        <v>0</v>
      </c>
      <c r="BP83" s="2">
        <f t="shared" si="100"/>
        <v>0</v>
      </c>
      <c r="BQ83" s="2">
        <f t="shared" si="100"/>
        <v>0</v>
      </c>
      <c r="BR83" s="2">
        <f t="shared" si="100"/>
        <v>0</v>
      </c>
      <c r="BS83" s="2">
        <f t="shared" si="100"/>
        <v>0</v>
      </c>
      <c r="BT83" s="2">
        <f t="shared" si="100"/>
        <v>0</v>
      </c>
      <c r="BU83" s="2">
        <f t="shared" si="100"/>
        <v>0</v>
      </c>
      <c r="BV83" s="195">
        <f t="shared" ref="BV83:BX83" si="107">BV80-BV82</f>
        <v>0</v>
      </c>
      <c r="BW83" s="2">
        <f t="shared" si="107"/>
        <v>-980581.26515954512</v>
      </c>
      <c r="BX83" s="309">
        <f t="shared" si="107"/>
        <v>-131662.15710646479</v>
      </c>
    </row>
    <row r="84" spans="1:77" x14ac:dyDescent="0.2">
      <c r="A84" s="14"/>
      <c r="B84" s="195"/>
      <c r="C84" s="29"/>
      <c r="D84" s="12"/>
      <c r="E84" s="12"/>
      <c r="F84" s="12"/>
      <c r="G84" s="12"/>
      <c r="H84" s="12"/>
      <c r="I84" s="86"/>
      <c r="J84" s="29"/>
      <c r="K84" s="86"/>
      <c r="L84" s="29"/>
      <c r="M84" s="12"/>
      <c r="N84" s="12"/>
      <c r="O84" s="12"/>
      <c r="P84" s="12"/>
      <c r="Q84" s="86"/>
      <c r="R84" s="29"/>
      <c r="S84" s="12"/>
      <c r="T84" s="12"/>
      <c r="U84" s="12"/>
      <c r="V84" s="12"/>
      <c r="W84" s="12"/>
      <c r="X84" s="86"/>
      <c r="Y84" s="29"/>
      <c r="Z84" s="12"/>
      <c r="AA84" s="12"/>
      <c r="AB84" s="12"/>
      <c r="AC84" s="86"/>
      <c r="AD84" s="29"/>
      <c r="AE84" s="86"/>
      <c r="AF84" s="29"/>
      <c r="AG84" s="12"/>
      <c r="AH84" s="29"/>
      <c r="AI84" s="12"/>
      <c r="AJ84" s="12"/>
      <c r="AK84" s="86"/>
      <c r="AL84" s="29"/>
      <c r="AM84" s="12"/>
      <c r="AN84" s="12"/>
      <c r="AO84" s="12"/>
      <c r="AP84" s="12"/>
      <c r="AQ84" s="86"/>
      <c r="AR84" s="12"/>
      <c r="AS84" s="39"/>
      <c r="AT84" s="2"/>
      <c r="AU84" s="2"/>
      <c r="AV84" s="2"/>
      <c r="AW84" s="2"/>
      <c r="AX84" s="2"/>
      <c r="AY84" s="39"/>
      <c r="AZ84" s="2"/>
      <c r="BA84" s="2"/>
      <c r="BB84" s="39"/>
      <c r="BC84" s="2"/>
      <c r="BD84" s="2"/>
      <c r="BE84" s="2"/>
      <c r="BF84" s="39"/>
      <c r="BG84" s="2"/>
      <c r="BH84" s="2"/>
      <c r="BI84" s="2"/>
      <c r="BJ84" s="2"/>
      <c r="BK84" s="2"/>
      <c r="BL84" s="2"/>
      <c r="BM84" s="2"/>
      <c r="BN84" s="39"/>
      <c r="BO84" s="2"/>
      <c r="BP84" s="2"/>
      <c r="BQ84" s="2"/>
      <c r="BR84" s="2"/>
      <c r="BS84" s="2"/>
      <c r="BT84" s="2"/>
      <c r="BV84" s="195"/>
      <c r="BW84" s="2"/>
      <c r="BX84" s="309"/>
    </row>
    <row r="85" spans="1:77" x14ac:dyDescent="0.2">
      <c r="A85" s="14" t="s">
        <v>139</v>
      </c>
      <c r="B85" s="195">
        <f>SUM(C85:BX85)</f>
        <v>-3118813.1255822605</v>
      </c>
      <c r="C85" s="29">
        <f>C83*0.35</f>
        <v>0</v>
      </c>
      <c r="D85" s="12">
        <f t="shared" ref="D85:BU85" si="108">D83*0.35</f>
        <v>0</v>
      </c>
      <c r="E85" s="12">
        <f t="shared" si="108"/>
        <v>0</v>
      </c>
      <c r="F85" s="12">
        <f t="shared" si="108"/>
        <v>-680.61800753751299</v>
      </c>
      <c r="G85" s="12">
        <f t="shared" si="108"/>
        <v>0</v>
      </c>
      <c r="H85" s="12">
        <f t="shared" si="108"/>
        <v>157155.9507628803</v>
      </c>
      <c r="I85" s="86">
        <f t="shared" si="108"/>
        <v>14464.037857284064</v>
      </c>
      <c r="J85" s="29">
        <f t="shared" ref="J85:K85" si="109">J83*0.35</f>
        <v>0</v>
      </c>
      <c r="K85" s="86">
        <f t="shared" si="109"/>
        <v>13061.611477574261</v>
      </c>
      <c r="L85" s="29">
        <f t="shared" si="108"/>
        <v>0</v>
      </c>
      <c r="M85" s="12">
        <f t="shared" si="108"/>
        <v>0</v>
      </c>
      <c r="N85" s="12">
        <f t="shared" si="108"/>
        <v>241024.97632791134</v>
      </c>
      <c r="O85" s="12">
        <f t="shared" si="108"/>
        <v>0</v>
      </c>
      <c r="P85" s="12">
        <f t="shared" si="108"/>
        <v>0</v>
      </c>
      <c r="Q85" s="86">
        <f>Q83*0.35</f>
        <v>0</v>
      </c>
      <c r="R85" s="29">
        <f>R83*0.35</f>
        <v>-7607.4654921229776</v>
      </c>
      <c r="S85" s="12">
        <f t="shared" si="108"/>
        <v>0</v>
      </c>
      <c r="T85" s="12">
        <f t="shared" si="108"/>
        <v>0</v>
      </c>
      <c r="U85" s="12">
        <f t="shared" si="108"/>
        <v>0</v>
      </c>
      <c r="V85" s="12">
        <f t="shared" si="108"/>
        <v>0</v>
      </c>
      <c r="W85" s="12">
        <f t="shared" si="108"/>
        <v>0</v>
      </c>
      <c r="X85" s="86">
        <f t="shared" si="108"/>
        <v>0</v>
      </c>
      <c r="Y85" s="29">
        <f t="shared" ref="Y85:AB85" si="110">Y83*0.35</f>
        <v>0</v>
      </c>
      <c r="Z85" s="12">
        <f t="shared" si="110"/>
        <v>0</v>
      </c>
      <c r="AA85" s="12">
        <f t="shared" si="110"/>
        <v>0</v>
      </c>
      <c r="AB85" s="12">
        <f t="shared" si="110"/>
        <v>0</v>
      </c>
      <c r="AC85" s="86">
        <f t="shared" ref="AC85" si="111">AC83*0.35</f>
        <v>0</v>
      </c>
      <c r="AD85" s="29">
        <f t="shared" si="108"/>
        <v>0</v>
      </c>
      <c r="AE85" s="86">
        <f t="shared" si="108"/>
        <v>-1652604.400118184</v>
      </c>
      <c r="AF85" s="29">
        <f t="shared" si="108"/>
        <v>237964.44587433519</v>
      </c>
      <c r="AG85" s="12">
        <f t="shared" si="108"/>
        <v>0</v>
      </c>
      <c r="AH85" s="29">
        <f t="shared" si="108"/>
        <v>-44842.390369071087</v>
      </c>
      <c r="AI85" s="12">
        <f t="shared" si="108"/>
        <v>0</v>
      </c>
      <c r="AJ85" s="12">
        <f t="shared" si="108"/>
        <v>0</v>
      </c>
      <c r="AK85" s="86">
        <f t="shared" si="108"/>
        <v>0</v>
      </c>
      <c r="AL85" s="29">
        <f t="shared" si="108"/>
        <v>0</v>
      </c>
      <c r="AM85" s="12">
        <f t="shared" ref="AM85:AP85" si="112">AM83*0.35</f>
        <v>0</v>
      </c>
      <c r="AN85" s="12">
        <f t="shared" si="112"/>
        <v>0</v>
      </c>
      <c r="AO85" s="12">
        <f t="shared" si="112"/>
        <v>0</v>
      </c>
      <c r="AP85" s="12">
        <f t="shared" si="112"/>
        <v>0</v>
      </c>
      <c r="AQ85" s="86">
        <f t="shared" ref="AQ85" si="113">AQ83*0.35</f>
        <v>0</v>
      </c>
      <c r="AR85" s="12">
        <f>AR83*0.37951</f>
        <v>0</v>
      </c>
      <c r="AS85" s="39">
        <f t="shared" si="108"/>
        <v>-167365.29492900017</v>
      </c>
      <c r="AT85" s="2">
        <f t="shared" si="108"/>
        <v>-37889.25</v>
      </c>
      <c r="AU85" s="2">
        <f t="shared" si="108"/>
        <v>0</v>
      </c>
      <c r="AV85" s="2">
        <f t="shared" si="108"/>
        <v>0</v>
      </c>
      <c r="AW85" s="2">
        <f t="shared" si="108"/>
        <v>-13931.4</v>
      </c>
      <c r="AX85" s="2">
        <f t="shared" si="108"/>
        <v>0</v>
      </c>
      <c r="AY85" s="39">
        <f t="shared" si="108"/>
        <v>0</v>
      </c>
      <c r="AZ85" s="2">
        <f t="shared" si="108"/>
        <v>0</v>
      </c>
      <c r="BA85" s="2">
        <f>ROUNDUP(BA83*0.35,0)</f>
        <v>282536</v>
      </c>
      <c r="BB85" s="39">
        <f t="shared" si="108"/>
        <v>0</v>
      </c>
      <c r="BC85" s="2">
        <f t="shared" si="108"/>
        <v>0</v>
      </c>
      <c r="BD85" s="2">
        <f t="shared" si="108"/>
        <v>0</v>
      </c>
      <c r="BE85" s="2">
        <f t="shared" si="108"/>
        <v>-163226.57570413209</v>
      </c>
      <c r="BF85" s="39">
        <f t="shared" ref="BF85" si="114">BF83*0.35</f>
        <v>-1501520.0109886399</v>
      </c>
      <c r="BG85" s="2">
        <f t="shared" si="108"/>
        <v>0</v>
      </c>
      <c r="BH85" s="2">
        <f t="shared" si="108"/>
        <v>0</v>
      </c>
      <c r="BI85" s="2">
        <f t="shared" si="108"/>
        <v>-86067.544480454977</v>
      </c>
      <c r="BJ85" s="2">
        <f t="shared" si="108"/>
        <v>0</v>
      </c>
      <c r="BK85" s="2">
        <f t="shared" si="108"/>
        <v>0</v>
      </c>
      <c r="BL85" s="2">
        <f t="shared" si="108"/>
        <v>0</v>
      </c>
      <c r="BM85" s="2">
        <f t="shared" si="108"/>
        <v>0</v>
      </c>
      <c r="BN85" s="39">
        <f t="shared" si="108"/>
        <v>0</v>
      </c>
      <c r="BO85" s="2">
        <f t="shared" si="108"/>
        <v>0</v>
      </c>
      <c r="BP85" s="2">
        <f t="shared" si="108"/>
        <v>0</v>
      </c>
      <c r="BQ85" s="2">
        <f t="shared" si="108"/>
        <v>0</v>
      </c>
      <c r="BR85" s="2">
        <f t="shared" si="108"/>
        <v>0</v>
      </c>
      <c r="BS85" s="2">
        <f t="shared" si="108"/>
        <v>0</v>
      </c>
      <c r="BT85" s="2">
        <f t="shared" si="108"/>
        <v>0</v>
      </c>
      <c r="BU85" s="2">
        <f t="shared" si="108"/>
        <v>0</v>
      </c>
      <c r="BV85" s="195">
        <f t="shared" ref="BV85:BX85" si="115">BV83*0.35</f>
        <v>0</v>
      </c>
      <c r="BW85" s="2">
        <f t="shared" si="115"/>
        <v>-343203.44280584075</v>
      </c>
      <c r="BX85" s="309">
        <f t="shared" si="115"/>
        <v>-46081.75498726267</v>
      </c>
    </row>
    <row r="86" spans="1:77" x14ac:dyDescent="0.2">
      <c r="A86" s="14" t="s">
        <v>140</v>
      </c>
      <c r="B86" s="195">
        <f>SUM(C86:BX86)</f>
        <v>-667033.44483830314</v>
      </c>
      <c r="C86" s="29"/>
      <c r="D86" s="12"/>
      <c r="E86" s="12"/>
      <c r="F86" s="12"/>
      <c r="G86" s="12"/>
      <c r="H86" s="12"/>
      <c r="I86" s="86"/>
      <c r="J86" s="29"/>
      <c r="K86" s="86"/>
      <c r="L86" s="29"/>
      <c r="M86" s="12"/>
      <c r="N86" s="12"/>
      <c r="O86" s="12"/>
      <c r="P86" s="12"/>
      <c r="Q86" s="86"/>
      <c r="R86" s="29"/>
      <c r="S86" s="12"/>
      <c r="T86" s="12"/>
      <c r="U86" s="12"/>
      <c r="V86" s="12"/>
      <c r="W86" s="12"/>
      <c r="X86" s="86"/>
      <c r="Y86" s="29"/>
      <c r="Z86" s="12"/>
      <c r="AA86" s="12"/>
      <c r="AB86" s="12"/>
      <c r="AC86" s="86"/>
      <c r="AD86" s="29"/>
      <c r="AE86" s="86"/>
      <c r="AF86" s="29"/>
      <c r="AG86" s="12"/>
      <c r="AH86" s="29"/>
      <c r="AI86" s="12"/>
      <c r="AJ86" s="12"/>
      <c r="AK86" s="86"/>
      <c r="AL86" s="29"/>
      <c r="AM86" s="12"/>
      <c r="AN86" s="12"/>
      <c r="AO86" s="12"/>
      <c r="AP86" s="12"/>
      <c r="AQ86" s="86"/>
      <c r="AR86" s="12"/>
      <c r="AS86" s="39"/>
      <c r="AT86" s="2"/>
      <c r="AU86" s="2">
        <f>'[46]Page 7.3'!$I$9+'[46]Page 7.3'!$I$13</f>
        <v>-661916.82775972039</v>
      </c>
      <c r="AV86" s="2"/>
      <c r="AW86" s="2"/>
      <c r="AX86" s="2"/>
      <c r="AY86" s="39"/>
      <c r="AZ86" s="2"/>
      <c r="BA86" s="2"/>
      <c r="BB86" s="39"/>
      <c r="BC86" s="2"/>
      <c r="BD86" s="2"/>
      <c r="BE86" s="2"/>
      <c r="BF86" s="39"/>
      <c r="BG86" s="2"/>
      <c r="BH86" s="2"/>
      <c r="BI86" s="2"/>
      <c r="BJ86" s="2"/>
      <c r="BK86" s="2"/>
      <c r="BL86" s="2"/>
      <c r="BM86" s="2"/>
      <c r="BN86" s="39"/>
      <c r="BO86" s="2"/>
      <c r="BP86" s="2"/>
      <c r="BQ86" s="2"/>
      <c r="BR86" s="2"/>
      <c r="BS86" s="2"/>
      <c r="BT86" s="2"/>
      <c r="BV86" s="195"/>
      <c r="BW86" s="2"/>
      <c r="BX86" s="309">
        <f>[14]ContractChange!$I$83</f>
        <v>-5116.6170785827489</v>
      </c>
    </row>
    <row r="87" spans="1:77" s="2" customFormat="1" ht="13.5" thickBot="1" x14ac:dyDescent="0.25">
      <c r="A87" s="14" t="s">
        <v>141</v>
      </c>
      <c r="B87" s="196">
        <f>SUM(C87:BX87)</f>
        <v>-3785846.5704205637</v>
      </c>
      <c r="C87" s="112">
        <f>C85+C86</f>
        <v>0</v>
      </c>
      <c r="D87" s="110">
        <f t="shared" ref="D87:BU87" si="116">D85+D86</f>
        <v>0</v>
      </c>
      <c r="E87" s="110">
        <f t="shared" si="116"/>
        <v>0</v>
      </c>
      <c r="F87" s="110">
        <f t="shared" si="116"/>
        <v>-680.61800753751299</v>
      </c>
      <c r="G87" s="110">
        <f t="shared" si="116"/>
        <v>0</v>
      </c>
      <c r="H87" s="110">
        <f t="shared" si="116"/>
        <v>157155.9507628803</v>
      </c>
      <c r="I87" s="111">
        <f t="shared" si="116"/>
        <v>14464.037857284064</v>
      </c>
      <c r="J87" s="112">
        <f t="shared" ref="J87:K87" si="117">J85+J86</f>
        <v>0</v>
      </c>
      <c r="K87" s="111">
        <f t="shared" si="117"/>
        <v>13061.611477574261</v>
      </c>
      <c r="L87" s="112">
        <f t="shared" si="116"/>
        <v>0</v>
      </c>
      <c r="M87" s="110">
        <f t="shared" si="116"/>
        <v>0</v>
      </c>
      <c r="N87" s="110">
        <f t="shared" si="116"/>
        <v>241024.97632791134</v>
      </c>
      <c r="O87" s="110">
        <f t="shared" si="116"/>
        <v>0</v>
      </c>
      <c r="P87" s="110">
        <f t="shared" si="116"/>
        <v>0</v>
      </c>
      <c r="Q87" s="111">
        <f t="shared" si="116"/>
        <v>0</v>
      </c>
      <c r="R87" s="112">
        <f t="shared" si="116"/>
        <v>-7607.4654921229776</v>
      </c>
      <c r="S87" s="110">
        <f t="shared" si="116"/>
        <v>0</v>
      </c>
      <c r="T87" s="110">
        <f t="shared" si="116"/>
        <v>0</v>
      </c>
      <c r="U87" s="110">
        <f t="shared" si="116"/>
        <v>0</v>
      </c>
      <c r="V87" s="110">
        <f t="shared" si="116"/>
        <v>0</v>
      </c>
      <c r="W87" s="110">
        <f t="shared" si="116"/>
        <v>0</v>
      </c>
      <c r="X87" s="111">
        <f t="shared" si="116"/>
        <v>0</v>
      </c>
      <c r="Y87" s="112">
        <f t="shared" ref="Y87:AB87" si="118">Y85+Y86</f>
        <v>0</v>
      </c>
      <c r="Z87" s="110">
        <f t="shared" si="118"/>
        <v>0</v>
      </c>
      <c r="AA87" s="110">
        <f t="shared" si="118"/>
        <v>0</v>
      </c>
      <c r="AB87" s="110">
        <f t="shared" si="118"/>
        <v>0</v>
      </c>
      <c r="AC87" s="111">
        <f t="shared" ref="AC87" si="119">AC85+AC86</f>
        <v>0</v>
      </c>
      <c r="AD87" s="112">
        <f t="shared" si="116"/>
        <v>0</v>
      </c>
      <c r="AE87" s="111">
        <f t="shared" si="116"/>
        <v>-1652604.400118184</v>
      </c>
      <c r="AF87" s="112">
        <f t="shared" si="116"/>
        <v>237964.44587433519</v>
      </c>
      <c r="AG87" s="110">
        <f t="shared" si="116"/>
        <v>0</v>
      </c>
      <c r="AH87" s="112">
        <f t="shared" si="116"/>
        <v>-44842.390369071087</v>
      </c>
      <c r="AI87" s="110">
        <f t="shared" si="116"/>
        <v>0</v>
      </c>
      <c r="AJ87" s="110">
        <f t="shared" si="116"/>
        <v>0</v>
      </c>
      <c r="AK87" s="111">
        <f t="shared" si="116"/>
        <v>0</v>
      </c>
      <c r="AL87" s="112">
        <f t="shared" si="116"/>
        <v>0</v>
      </c>
      <c r="AM87" s="110">
        <f t="shared" ref="AM87:AP87" si="120">AM85+AM86</f>
        <v>0</v>
      </c>
      <c r="AN87" s="110">
        <f t="shared" si="120"/>
        <v>0</v>
      </c>
      <c r="AO87" s="110">
        <f t="shared" si="120"/>
        <v>0</v>
      </c>
      <c r="AP87" s="110">
        <f t="shared" si="120"/>
        <v>0</v>
      </c>
      <c r="AQ87" s="111">
        <f t="shared" ref="AQ87:AR87" si="121">AQ85+AQ86</f>
        <v>0</v>
      </c>
      <c r="AR87" s="110">
        <f t="shared" si="121"/>
        <v>0</v>
      </c>
      <c r="AS87" s="40">
        <f t="shared" si="116"/>
        <v>-167365.29492900017</v>
      </c>
      <c r="AT87" s="197">
        <f t="shared" si="116"/>
        <v>-37889.25</v>
      </c>
      <c r="AU87" s="197">
        <f t="shared" si="116"/>
        <v>-661916.82775972039</v>
      </c>
      <c r="AV87" s="197">
        <f t="shared" si="116"/>
        <v>0</v>
      </c>
      <c r="AW87" s="197">
        <f t="shared" si="116"/>
        <v>-13931.4</v>
      </c>
      <c r="AX87" s="197">
        <f t="shared" si="116"/>
        <v>0</v>
      </c>
      <c r="AY87" s="40">
        <f t="shared" si="116"/>
        <v>0</v>
      </c>
      <c r="AZ87" s="197">
        <f t="shared" si="116"/>
        <v>0</v>
      </c>
      <c r="BA87" s="197">
        <f t="shared" si="116"/>
        <v>282536</v>
      </c>
      <c r="BB87" s="40">
        <f t="shared" si="116"/>
        <v>0</v>
      </c>
      <c r="BC87" s="197">
        <f t="shared" si="116"/>
        <v>0</v>
      </c>
      <c r="BD87" s="197">
        <f t="shared" si="116"/>
        <v>0</v>
      </c>
      <c r="BE87" s="197">
        <f t="shared" si="116"/>
        <v>-163226.57570413209</v>
      </c>
      <c r="BF87" s="40">
        <f t="shared" ref="BF87" si="122">BF85+BF86</f>
        <v>-1501520.0109886399</v>
      </c>
      <c r="BG87" s="197">
        <f t="shared" si="116"/>
        <v>0</v>
      </c>
      <c r="BH87" s="197">
        <f t="shared" si="116"/>
        <v>0</v>
      </c>
      <c r="BI87" s="197">
        <f t="shared" si="116"/>
        <v>-86067.544480454977</v>
      </c>
      <c r="BJ87" s="197">
        <f t="shared" si="116"/>
        <v>0</v>
      </c>
      <c r="BK87" s="197">
        <f t="shared" si="116"/>
        <v>0</v>
      </c>
      <c r="BL87" s="197">
        <f t="shared" si="116"/>
        <v>0</v>
      </c>
      <c r="BM87" s="197">
        <f t="shared" si="116"/>
        <v>0</v>
      </c>
      <c r="BN87" s="40">
        <f t="shared" si="116"/>
        <v>0</v>
      </c>
      <c r="BO87" s="197">
        <f t="shared" si="116"/>
        <v>0</v>
      </c>
      <c r="BP87" s="197">
        <f t="shared" si="116"/>
        <v>0</v>
      </c>
      <c r="BQ87" s="197">
        <f t="shared" si="116"/>
        <v>0</v>
      </c>
      <c r="BR87" s="197">
        <f t="shared" si="116"/>
        <v>0</v>
      </c>
      <c r="BS87" s="197">
        <f t="shared" si="116"/>
        <v>0</v>
      </c>
      <c r="BT87" s="197">
        <f t="shared" si="116"/>
        <v>0</v>
      </c>
      <c r="BU87" s="197">
        <f t="shared" si="116"/>
        <v>0</v>
      </c>
      <c r="BV87" s="196">
        <f t="shared" ref="BV87:BX87" si="123">BV85+BV86</f>
        <v>0</v>
      </c>
      <c r="BW87" s="197">
        <f t="shared" si="123"/>
        <v>-343203.44280584075</v>
      </c>
      <c r="BX87" s="310">
        <f t="shared" si="123"/>
        <v>-51198.372065845419</v>
      </c>
      <c r="BY87" s="177"/>
    </row>
    <row r="88" spans="1:77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72"/>
    </row>
    <row r="89" spans="1:77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72"/>
    </row>
    <row r="90" spans="1:77" s="2" customFormat="1" x14ac:dyDescent="0.2">
      <c r="A90" s="198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280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72"/>
    </row>
    <row r="91" spans="1:77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72"/>
    </row>
    <row r="92" spans="1:77" s="2" customFormat="1" x14ac:dyDescent="0.2">
      <c r="A92" s="14"/>
      <c r="BY92" s="72"/>
    </row>
    <row r="93" spans="1:77" s="2" customFormat="1" x14ac:dyDescent="0.2">
      <c r="A93" s="199"/>
      <c r="BY93" s="72"/>
    </row>
  </sheetData>
  <mergeCells count="15">
    <mergeCell ref="BW7:BX7"/>
    <mergeCell ref="C7:I7"/>
    <mergeCell ref="J7:K7"/>
    <mergeCell ref="L7:Q7"/>
    <mergeCell ref="R7:X7"/>
    <mergeCell ref="Y7:AC7"/>
    <mergeCell ref="AD7:AE7"/>
    <mergeCell ref="AF7:AG7"/>
    <mergeCell ref="AH7:AK7"/>
    <mergeCell ref="AL7:AQ7"/>
    <mergeCell ref="AS7:AX7"/>
    <mergeCell ref="AY7:BA7"/>
    <mergeCell ref="BB7:BE7"/>
    <mergeCell ref="BF7:BM7"/>
    <mergeCell ref="BN7:BU7"/>
  </mergeCells>
  <pageMargins left="1" right="0.5" top="0.75" bottom="0.5" header="0.4" footer="0.5"/>
  <pageSetup scale="63" firstPageNumber="29" fitToWidth="0" orientation="portrait" useFirstPageNumber="1" r:id="rId1"/>
  <headerFooter alignWithMargins="0">
    <oddHeader xml:space="preserve">&amp;L&amp;12PacifiCorp
Washington General Rate Case - December 2013
Summary of Pro Forma Adjustments&amp;10
&amp;R&amp;12Page 1.&amp;P
&amp;10
</oddHeader>
  </headerFooter>
  <colBreaks count="7" manualBreakCount="7">
    <brk id="9" min="6" max="86" man="1"/>
    <brk id="17" min="6" max="86" man="1"/>
    <brk id="24" min="6" max="86" man="1"/>
    <brk id="31" min="6" max="86" man="1"/>
    <brk id="37" min="6" max="86" man="1"/>
    <brk id="43" min="6" max="86" man="1"/>
    <brk id="73" min="6" max="86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D26"/>
  <sheetViews>
    <sheetView zoomScale="85" zoomScaleNormal="85" workbookViewId="0">
      <selection activeCell="I24" sqref="I24"/>
    </sheetView>
  </sheetViews>
  <sheetFormatPr defaultRowHeight="12.75" x14ac:dyDescent="0.2"/>
  <cols>
    <col min="1" max="1" width="3.140625" style="20" customWidth="1"/>
    <col min="2" max="2" width="42.28515625" style="20" customWidth="1"/>
    <col min="3" max="3" width="16.28515625" style="20" customWidth="1"/>
    <col min="4" max="4" width="26.28515625" style="20" customWidth="1"/>
    <col min="5" max="5" width="14" style="20" bestFit="1" customWidth="1"/>
    <col min="6" max="16384" width="9.140625" style="20"/>
  </cols>
  <sheetData>
    <row r="1" spans="2:4" x14ac:dyDescent="0.2">
      <c r="B1" s="26" t="s">
        <v>46</v>
      </c>
    </row>
    <row r="2" spans="2:4" x14ac:dyDescent="0.2">
      <c r="B2" s="26" t="s">
        <v>292</v>
      </c>
    </row>
    <row r="3" spans="2:4" x14ac:dyDescent="0.2">
      <c r="B3" s="26" t="s">
        <v>390</v>
      </c>
    </row>
    <row r="5" spans="2:4" x14ac:dyDescent="0.2">
      <c r="B5" s="27" t="s">
        <v>156</v>
      </c>
      <c r="D5" s="66" t="s">
        <v>165</v>
      </c>
    </row>
    <row r="6" spans="2:4" x14ac:dyDescent="0.2">
      <c r="B6" s="20" t="s">
        <v>133</v>
      </c>
      <c r="C6" s="3">
        <f>Summary!B74</f>
        <v>21485186.423176125</v>
      </c>
      <c r="D6" s="67" t="s">
        <v>166</v>
      </c>
    </row>
    <row r="9" spans="2:4" x14ac:dyDescent="0.2">
      <c r="B9" s="27" t="s">
        <v>138</v>
      </c>
    </row>
    <row r="10" spans="2:4" x14ac:dyDescent="0.2">
      <c r="B10" s="20" t="s">
        <v>134</v>
      </c>
      <c r="C10" s="3">
        <f>Summary!F64</f>
        <v>800685586.94880903</v>
      </c>
      <c r="D10" s="67" t="s">
        <v>168</v>
      </c>
    </row>
    <row r="11" spans="2:4" x14ac:dyDescent="0.2">
      <c r="B11" s="20" t="s">
        <v>135</v>
      </c>
      <c r="C11" s="58">
        <f>Variables!$E$8</f>
        <v>2.634098E-2</v>
      </c>
      <c r="D11" s="20" t="s">
        <v>171</v>
      </c>
    </row>
    <row r="12" spans="2:4" x14ac:dyDescent="0.2">
      <c r="B12" s="20" t="s">
        <v>136</v>
      </c>
      <c r="C12" s="3">
        <f>C10*C11</f>
        <v>21090843.032106839</v>
      </c>
      <c r="D12" s="67" t="s">
        <v>167</v>
      </c>
    </row>
    <row r="14" spans="2:4" x14ac:dyDescent="0.2">
      <c r="B14" s="20" t="s">
        <v>133</v>
      </c>
      <c r="C14" s="3">
        <f>Summary!B74</f>
        <v>21485186.423176125</v>
      </c>
      <c r="D14" s="20" t="s">
        <v>164</v>
      </c>
    </row>
    <row r="16" spans="2:4" x14ac:dyDescent="0.2">
      <c r="B16" s="20" t="s">
        <v>137</v>
      </c>
      <c r="C16" s="3">
        <f>C12-C14</f>
        <v>-394343.39106928557</v>
      </c>
      <c r="D16" s="20" t="s">
        <v>352</v>
      </c>
    </row>
    <row r="19" spans="2:4" x14ac:dyDescent="0.2">
      <c r="B19" s="27" t="s">
        <v>247</v>
      </c>
    </row>
    <row r="20" spans="2:4" x14ac:dyDescent="0.2">
      <c r="B20" s="20" t="s">
        <v>248</v>
      </c>
      <c r="C20" s="3">
        <f>Summary!J64</f>
        <v>818839298.6535368</v>
      </c>
      <c r="D20" s="67" t="s">
        <v>170</v>
      </c>
    </row>
    <row r="21" spans="2:4" x14ac:dyDescent="0.2">
      <c r="B21" s="20" t="s">
        <v>135</v>
      </c>
      <c r="C21" s="58">
        <f>Variables!$E$8</f>
        <v>2.634098E-2</v>
      </c>
      <c r="D21" s="20" t="s">
        <v>171</v>
      </c>
    </row>
    <row r="22" spans="2:4" x14ac:dyDescent="0.2">
      <c r="B22" s="20" t="s">
        <v>249</v>
      </c>
      <c r="C22" s="3">
        <f>C20*C21</f>
        <v>21569029.58904684</v>
      </c>
      <c r="D22" s="67" t="s">
        <v>169</v>
      </c>
    </row>
    <row r="24" spans="2:4" x14ac:dyDescent="0.2">
      <c r="B24" s="20" t="s">
        <v>136</v>
      </c>
      <c r="C24" s="3">
        <f>C12</f>
        <v>21090843.032106839</v>
      </c>
      <c r="D24" s="68" t="s">
        <v>164</v>
      </c>
    </row>
    <row r="26" spans="2:4" x14ac:dyDescent="0.2">
      <c r="B26" s="20" t="s">
        <v>250</v>
      </c>
      <c r="C26" s="3">
        <f>C22-C24</f>
        <v>478186.5569400005</v>
      </c>
      <c r="D26" s="20" t="s">
        <v>352</v>
      </c>
    </row>
  </sheetData>
  <pageMargins left="0.7" right="0.7" top="0.75" bottom="0.75" header="0.3" footer="0.3"/>
  <pageSetup scale="9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F35"/>
  <sheetViews>
    <sheetView showGridLines="0" zoomScale="85" zoomScaleNormal="85" workbookViewId="0">
      <selection activeCell="I28" sqref="I28"/>
    </sheetView>
  </sheetViews>
  <sheetFormatPr defaultRowHeight="12.75" x14ac:dyDescent="0.2"/>
  <cols>
    <col min="1" max="1" width="3.85546875" style="20" customWidth="1"/>
    <col min="2" max="4" width="15.7109375" style="20" customWidth="1"/>
    <col min="5" max="5" width="13.42578125" style="20" bestFit="1" customWidth="1"/>
    <col min="6" max="16384" width="9.140625" style="20"/>
  </cols>
  <sheetData>
    <row r="1" spans="2:5" x14ac:dyDescent="0.2">
      <c r="B1" s="26" t="s">
        <v>46</v>
      </c>
    </row>
    <row r="2" spans="2:5" x14ac:dyDescent="0.2">
      <c r="B2" s="26" t="s">
        <v>292</v>
      </c>
    </row>
    <row r="3" spans="2:5" x14ac:dyDescent="0.2">
      <c r="B3" s="26" t="s">
        <v>159</v>
      </c>
    </row>
    <row r="4" spans="2:5" x14ac:dyDescent="0.2">
      <c r="B4" s="26" t="s">
        <v>387</v>
      </c>
    </row>
    <row r="6" spans="2:5" x14ac:dyDescent="0.2">
      <c r="B6" s="48" t="s">
        <v>157</v>
      </c>
      <c r="C6" s="53"/>
      <c r="D6" s="53"/>
      <c r="E6" s="53"/>
    </row>
    <row r="7" spans="2:5" s="55" customFormat="1" x14ac:dyDescent="0.2">
      <c r="B7" s="49"/>
      <c r="C7" s="49" t="s">
        <v>30</v>
      </c>
      <c r="D7" s="50" t="s">
        <v>31</v>
      </c>
      <c r="E7" s="49" t="s">
        <v>32</v>
      </c>
    </row>
    <row r="8" spans="2:5" x14ac:dyDescent="0.2">
      <c r="B8" s="51" t="s">
        <v>33</v>
      </c>
      <c r="C8" s="223">
        <f>[47]Report!$G$93</f>
        <v>0.50880000000000003</v>
      </c>
      <c r="D8" s="224">
        <f>[47]Report!$I$93</f>
        <v>5.1770794025157232E-2</v>
      </c>
      <c r="E8" s="277">
        <f>C8*D8</f>
        <v>2.634098E-2</v>
      </c>
    </row>
    <row r="9" spans="2:5" x14ac:dyDescent="0.2">
      <c r="B9" s="51" t="s">
        <v>34</v>
      </c>
      <c r="C9" s="223">
        <f>[47]Report!$G$94</f>
        <v>2.0000000000000001E-4</v>
      </c>
      <c r="D9" s="224">
        <f>[47]Report!$I$94</f>
        <v>6.7500000000000004E-2</v>
      </c>
      <c r="E9" s="277">
        <f>C9*D9</f>
        <v>1.3500000000000001E-5</v>
      </c>
    </row>
    <row r="10" spans="2:5" x14ac:dyDescent="0.2">
      <c r="B10" s="52" t="s">
        <v>35</v>
      </c>
      <c r="C10" s="225">
        <f>[47]Report!$G$95</f>
        <v>0.49099999999999999</v>
      </c>
      <c r="D10" s="226">
        <f>[47]Report!$I$95</f>
        <v>9.5000000000000001E-2</v>
      </c>
      <c r="E10" s="278">
        <f>C10*D10</f>
        <v>4.6644999999999999E-2</v>
      </c>
    </row>
    <row r="11" spans="2:5" x14ac:dyDescent="0.2">
      <c r="E11" s="279">
        <f>ROUND(SUM(E8:E10),4)</f>
        <v>7.2999999999999995E-2</v>
      </c>
    </row>
    <row r="16" spans="2:5" x14ac:dyDescent="0.2">
      <c r="B16" s="27" t="s">
        <v>153</v>
      </c>
      <c r="C16" s="56"/>
    </row>
    <row r="17" spans="2:6" x14ac:dyDescent="0.2">
      <c r="B17" s="20" t="s">
        <v>102</v>
      </c>
      <c r="D17" s="42">
        <v>1</v>
      </c>
    </row>
    <row r="18" spans="2:6" x14ac:dyDescent="0.2">
      <c r="D18" s="42"/>
    </row>
    <row r="19" spans="2:6" x14ac:dyDescent="0.2">
      <c r="B19" s="20" t="s">
        <v>146</v>
      </c>
      <c r="D19" s="42"/>
    </row>
    <row r="20" spans="2:6" x14ac:dyDescent="0.2">
      <c r="B20" s="20" t="s">
        <v>147</v>
      </c>
      <c r="D20" s="227">
        <f>[47]Results!D153</f>
        <v>6.11E-3</v>
      </c>
      <c r="F20" s="61"/>
    </row>
    <row r="21" spans="2:6" x14ac:dyDescent="0.2">
      <c r="B21" s="20" t="s">
        <v>145</v>
      </c>
      <c r="D21" s="227">
        <f>[47]Results!D154</f>
        <v>2E-3</v>
      </c>
    </row>
    <row r="22" spans="2:6" x14ac:dyDescent="0.2">
      <c r="B22" s="20" t="s">
        <v>289</v>
      </c>
      <c r="D22" s="227">
        <f>[47]Results!D155</f>
        <v>3.8730000000000001E-2</v>
      </c>
    </row>
    <row r="23" spans="2:6" x14ac:dyDescent="0.2">
      <c r="B23" s="20" t="s">
        <v>148</v>
      </c>
      <c r="D23" s="227">
        <f>[47]Results!D156</f>
        <v>0</v>
      </c>
    </row>
    <row r="24" spans="2:6" x14ac:dyDescent="0.2">
      <c r="B24" s="20" t="s">
        <v>149</v>
      </c>
      <c r="D24" s="226">
        <f>[47]Results!D157</f>
        <v>0</v>
      </c>
    </row>
    <row r="25" spans="2:6" x14ac:dyDescent="0.2">
      <c r="D25" s="42"/>
    </row>
    <row r="26" spans="2:6" x14ac:dyDescent="0.2">
      <c r="B26" s="20" t="s">
        <v>150</v>
      </c>
      <c r="D26" s="57">
        <f>D17-SUM(D19:D24)</f>
        <v>0.95316000000000001</v>
      </c>
    </row>
    <row r="27" spans="2:6" x14ac:dyDescent="0.2">
      <c r="D27" s="42"/>
    </row>
    <row r="28" spans="2:6" x14ac:dyDescent="0.2">
      <c r="B28" s="20" t="s">
        <v>154</v>
      </c>
      <c r="D28" s="43">
        <v>0</v>
      </c>
    </row>
    <row r="29" spans="2:6" x14ac:dyDescent="0.2">
      <c r="D29" s="42"/>
    </row>
    <row r="30" spans="2:6" x14ac:dyDescent="0.2">
      <c r="B30" s="20" t="s">
        <v>150</v>
      </c>
      <c r="D30" s="57">
        <f>D26-D28</f>
        <v>0.95316000000000001</v>
      </c>
    </row>
    <row r="31" spans="2:6" x14ac:dyDescent="0.2">
      <c r="D31" s="42"/>
    </row>
    <row r="32" spans="2:6" x14ac:dyDescent="0.2">
      <c r="B32" s="20" t="s">
        <v>151</v>
      </c>
      <c r="D32" s="43">
        <f>D30*0.35</f>
        <v>0.33360599999999996</v>
      </c>
    </row>
    <row r="33" spans="2:4" x14ac:dyDescent="0.2">
      <c r="D33" s="58"/>
    </row>
    <row r="34" spans="2:4" ht="13.5" thickBot="1" x14ac:dyDescent="0.25">
      <c r="B34" s="20" t="s">
        <v>152</v>
      </c>
      <c r="D34" s="59">
        <f>ROUND(D30-D32,5)</f>
        <v>0.61955000000000005</v>
      </c>
    </row>
    <row r="35" spans="2:4" ht="13.5" thickTop="1" x14ac:dyDescent="0.2">
      <c r="D35" s="60"/>
    </row>
  </sheetData>
  <phoneticPr fontId="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144"/>
  <sheetViews>
    <sheetView zoomScale="85" zoomScaleNormal="85" workbookViewId="0">
      <pane xSplit="1" ySplit="7" topLeftCell="M8" activePane="bottomRight" state="frozen"/>
      <selection activeCell="E9" sqref="E9"/>
      <selection pane="topRight" activeCell="E9" sqref="E9"/>
      <selection pane="bottomLeft" activeCell="E9" sqref="E9"/>
      <selection pane="bottomRight" activeCell="A5" sqref="A5"/>
    </sheetView>
  </sheetViews>
  <sheetFormatPr defaultRowHeight="12.75" x14ac:dyDescent="0.2"/>
  <cols>
    <col min="1" max="1" width="36.85546875" style="20" customWidth="1"/>
    <col min="2" max="4" width="13.85546875" style="20" customWidth="1"/>
    <col min="5" max="5" width="3.140625" style="20" customWidth="1"/>
    <col min="6" max="8" width="13.85546875" style="20" customWidth="1"/>
    <col min="9" max="9" width="3.140625" style="20" customWidth="1"/>
    <col min="10" max="12" width="13.85546875" style="20" customWidth="1"/>
    <col min="13" max="13" width="3.5703125" style="20" customWidth="1"/>
    <col min="14" max="14" width="13.85546875" style="20" customWidth="1"/>
    <col min="15" max="15" width="20.7109375" style="286" customWidth="1"/>
    <col min="16" max="16" width="13.85546875" style="20" customWidth="1"/>
    <col min="17" max="17" width="3.5703125" style="20" customWidth="1"/>
    <col min="18" max="18" width="13.85546875" style="20" customWidth="1"/>
    <col min="19" max="19" width="21.28515625" style="286" customWidth="1"/>
    <col min="20" max="20" width="13.85546875" style="20" customWidth="1"/>
    <col min="21" max="21" width="3.5703125" style="20" customWidth="1"/>
    <col min="22" max="22" width="13.85546875" style="20" customWidth="1"/>
    <col min="23" max="23" width="17.42578125" style="286" customWidth="1"/>
    <col min="24" max="24" width="13.85546875" style="20" customWidth="1"/>
    <col min="25" max="16384" width="9.140625" style="20"/>
  </cols>
  <sheetData>
    <row r="1" spans="1:24" x14ac:dyDescent="0.2">
      <c r="A1" s="5" t="s">
        <v>46</v>
      </c>
    </row>
    <row r="2" spans="1:24" x14ac:dyDescent="0.2">
      <c r="A2" s="178" t="s">
        <v>292</v>
      </c>
    </row>
    <row r="3" spans="1:24" x14ac:dyDescent="0.2">
      <c r="A3" s="1" t="s">
        <v>163</v>
      </c>
    </row>
    <row r="4" spans="1:24" x14ac:dyDescent="0.2">
      <c r="A4" s="1" t="s">
        <v>387</v>
      </c>
    </row>
    <row r="5" spans="1:24" x14ac:dyDescent="0.2">
      <c r="A5" s="1"/>
    </row>
    <row r="6" spans="1:24" x14ac:dyDescent="0.2">
      <c r="A6" s="63"/>
      <c r="B6" s="64" t="s">
        <v>156</v>
      </c>
      <c r="C6" s="25"/>
      <c r="D6" s="25"/>
      <c r="F6" s="64" t="s">
        <v>120</v>
      </c>
      <c r="G6" s="25"/>
      <c r="H6" s="25"/>
      <c r="J6" s="64" t="s">
        <v>138</v>
      </c>
      <c r="K6" s="25"/>
      <c r="L6" s="25"/>
      <c r="N6" s="64" t="s">
        <v>245</v>
      </c>
      <c r="O6" s="291"/>
      <c r="P6" s="25"/>
      <c r="R6" s="64" t="s">
        <v>247</v>
      </c>
      <c r="S6" s="291"/>
      <c r="T6" s="25"/>
      <c r="V6" s="64" t="s">
        <v>142</v>
      </c>
      <c r="W6" s="291"/>
      <c r="X6" s="25"/>
    </row>
    <row r="7" spans="1:24" ht="38.25" x14ac:dyDescent="0.2">
      <c r="A7" s="21"/>
      <c r="B7" s="62" t="s">
        <v>161</v>
      </c>
      <c r="C7" s="62" t="s">
        <v>162</v>
      </c>
      <c r="D7" s="62" t="s">
        <v>160</v>
      </c>
      <c r="F7" s="62" t="s">
        <v>161</v>
      </c>
      <c r="G7" s="62" t="s">
        <v>162</v>
      </c>
      <c r="H7" s="62" t="s">
        <v>160</v>
      </c>
      <c r="J7" s="62" t="s">
        <v>161</v>
      </c>
      <c r="K7" s="62" t="s">
        <v>162</v>
      </c>
      <c r="L7" s="62" t="s">
        <v>160</v>
      </c>
      <c r="N7" s="62" t="s">
        <v>161</v>
      </c>
      <c r="O7" s="292" t="s">
        <v>162</v>
      </c>
      <c r="P7" s="62" t="s">
        <v>160</v>
      </c>
      <c r="R7" s="62" t="s">
        <v>161</v>
      </c>
      <c r="S7" s="292" t="s">
        <v>162</v>
      </c>
      <c r="T7" s="62" t="s">
        <v>160</v>
      </c>
      <c r="V7" s="62" t="s">
        <v>161</v>
      </c>
      <c r="W7" s="292" t="s">
        <v>162</v>
      </c>
      <c r="X7" s="62" t="s">
        <v>160</v>
      </c>
    </row>
    <row r="8" spans="1:24" x14ac:dyDescent="0.2">
      <c r="A8" s="11" t="s">
        <v>49</v>
      </c>
      <c r="B8" s="9"/>
      <c r="C8" s="9"/>
      <c r="D8" s="9"/>
      <c r="F8" s="9"/>
      <c r="G8" s="9"/>
      <c r="H8" s="9"/>
      <c r="J8" s="9"/>
      <c r="K8" s="9"/>
      <c r="L8" s="9"/>
      <c r="N8" s="9"/>
      <c r="O8" s="13"/>
      <c r="P8" s="9"/>
      <c r="R8" s="9"/>
      <c r="S8" s="13"/>
      <c r="T8" s="9"/>
      <c r="V8" s="9"/>
      <c r="W8" s="13"/>
      <c r="X8" s="9"/>
    </row>
    <row r="9" spans="1:24" x14ac:dyDescent="0.2">
      <c r="A9" s="11" t="s">
        <v>50</v>
      </c>
      <c r="B9" s="9">
        <f>Summary!$B$9</f>
        <v>317700179.76000005</v>
      </c>
      <c r="C9" s="9">
        <f>[14]Results!C11</f>
        <v>317700179.76000005</v>
      </c>
      <c r="D9" s="9">
        <f>C9-B9</f>
        <v>0</v>
      </c>
      <c r="F9" s="9">
        <f>Summary!$D$9</f>
        <v>3905479.1195230857</v>
      </c>
      <c r="G9" s="9">
        <f>[14]Results!D11</f>
        <v>3905479.1195230857</v>
      </c>
      <c r="H9" s="9">
        <f>ROUND(G9-F9,0)</f>
        <v>0</v>
      </c>
      <c r="J9" s="9">
        <f>Summary!$F$9</f>
        <v>321605658.87952316</v>
      </c>
      <c r="K9" s="9">
        <f>[14]Results!G11</f>
        <v>321605658.87952316</v>
      </c>
      <c r="L9" s="9">
        <f>K9-J9</f>
        <v>0</v>
      </c>
      <c r="N9" s="9">
        <f>Summary!$H$9</f>
        <v>0</v>
      </c>
      <c r="O9" s="13">
        <f>[14]Results!H11</f>
        <v>0</v>
      </c>
      <c r="P9" s="9">
        <f>O9-N9</f>
        <v>0</v>
      </c>
      <c r="R9" s="9">
        <f>Summary!$J$9</f>
        <v>321605658.87952316</v>
      </c>
      <c r="S9" s="13">
        <f>[14]Results!I11</f>
        <v>321605658.87952316</v>
      </c>
      <c r="T9" s="9">
        <f>S9-R9</f>
        <v>0</v>
      </c>
      <c r="V9" s="9">
        <f>Summary!$L$9</f>
        <v>9563201.6807655469</v>
      </c>
      <c r="W9" s="13">
        <f>[14]Results!H100</f>
        <v>9563202.1074177399</v>
      </c>
      <c r="X9" s="9">
        <f>W9-V9</f>
        <v>0.42665219306945801</v>
      </c>
    </row>
    <row r="10" spans="1:24" x14ac:dyDescent="0.2">
      <c r="A10" s="11" t="s">
        <v>51</v>
      </c>
      <c r="B10" s="9">
        <f>Summary!$B$10</f>
        <v>0</v>
      </c>
      <c r="C10" s="9">
        <f>[14]Results!C12</f>
        <v>0</v>
      </c>
      <c r="D10" s="9">
        <f t="shared" ref="D10:D13" si="0">C10-B10</f>
        <v>0</v>
      </c>
      <c r="F10" s="9">
        <f>Summary!$D$10</f>
        <v>0</v>
      </c>
      <c r="G10" s="9">
        <f>[14]Results!D12</f>
        <v>0</v>
      </c>
      <c r="H10" s="9">
        <f t="shared" ref="H10:H12" si="1">ROUND(G10-F10,0)</f>
        <v>0</v>
      </c>
      <c r="J10" s="9">
        <f>Summary!$F$10</f>
        <v>0</v>
      </c>
      <c r="K10" s="9">
        <f>[14]Results!G12</f>
        <v>0</v>
      </c>
      <c r="L10" s="9">
        <f t="shared" ref="L10:L13" si="2">K10-J10</f>
        <v>0</v>
      </c>
      <c r="N10" s="9">
        <f>Summary!$H$10</f>
        <v>0</v>
      </c>
      <c r="O10" s="13">
        <f>[14]Results!H12</f>
        <v>0</v>
      </c>
      <c r="P10" s="9">
        <f t="shared" ref="P10:P13" si="3">O10-N10</f>
        <v>0</v>
      </c>
      <c r="R10" s="9">
        <f>Summary!$J$10</f>
        <v>0</v>
      </c>
      <c r="S10" s="13">
        <f>[14]Results!I12</f>
        <v>0</v>
      </c>
      <c r="T10" s="9">
        <f t="shared" ref="T10:T13" si="4">S10-R10</f>
        <v>0</v>
      </c>
      <c r="V10" s="9">
        <f>Summary!$L$10</f>
        <v>0</v>
      </c>
      <c r="W10" s="13">
        <f>[14]Results!H101</f>
        <v>0</v>
      </c>
      <c r="X10" s="9">
        <f t="shared" ref="X10:X13" si="5">W10-V10</f>
        <v>0</v>
      </c>
    </row>
    <row r="11" spans="1:24" x14ac:dyDescent="0.2">
      <c r="A11" s="11" t="s">
        <v>52</v>
      </c>
      <c r="B11" s="9">
        <f>Summary!$B$11</f>
        <v>18487997.238930419</v>
      </c>
      <c r="C11" s="9">
        <f>[14]Results!C13</f>
        <v>18487997.238930419</v>
      </c>
      <c r="D11" s="9">
        <f t="shared" si="0"/>
        <v>0</v>
      </c>
      <c r="F11" s="9">
        <f>Summary!$D$11</f>
        <v>49115714.281319283</v>
      </c>
      <c r="G11" s="9">
        <f>[14]Results!D13</f>
        <v>49115714.281319283</v>
      </c>
      <c r="H11" s="9">
        <f t="shared" si="1"/>
        <v>0</v>
      </c>
      <c r="J11" s="9">
        <f>Summary!$F$11</f>
        <v>67603711.520249695</v>
      </c>
      <c r="K11" s="9">
        <f>[14]Results!G13</f>
        <v>67603711.520249695</v>
      </c>
      <c r="L11" s="9">
        <f t="shared" si="2"/>
        <v>0</v>
      </c>
      <c r="N11" s="9">
        <f>Summary!$H$11</f>
        <v>-45696518.794511281</v>
      </c>
      <c r="O11" s="13">
        <f>[14]Results!H13</f>
        <v>-45696518.794511281</v>
      </c>
      <c r="P11" s="9">
        <f t="shared" si="3"/>
        <v>0</v>
      </c>
      <c r="R11" s="9">
        <f>Summary!$J$11</f>
        <v>21907192.725738414</v>
      </c>
      <c r="S11" s="13">
        <f>[14]Results!I13</f>
        <v>21907192.725738414</v>
      </c>
      <c r="T11" s="9">
        <f t="shared" si="4"/>
        <v>0</v>
      </c>
      <c r="V11" s="9">
        <f>Summary!$L$11</f>
        <v>0</v>
      </c>
      <c r="W11" s="13">
        <f>[14]Results!H102</f>
        <v>0</v>
      </c>
      <c r="X11" s="9">
        <f t="shared" si="5"/>
        <v>0</v>
      </c>
    </row>
    <row r="12" spans="1:24" x14ac:dyDescent="0.2">
      <c r="A12" s="11" t="s">
        <v>53</v>
      </c>
      <c r="B12" s="9">
        <f>Summary!$B$12</f>
        <v>11424455.922849471</v>
      </c>
      <c r="C12" s="9">
        <f>[14]Results!C14</f>
        <v>11424455.922849471</v>
      </c>
      <c r="D12" s="9">
        <f t="shared" si="0"/>
        <v>0</v>
      </c>
      <c r="F12" s="9">
        <f>Summary!$D$12</f>
        <v>-5636807.1774237705</v>
      </c>
      <c r="G12" s="9">
        <f>[14]Results!D14</f>
        <v>-5636807.1774237705</v>
      </c>
      <c r="H12" s="9">
        <f t="shared" si="1"/>
        <v>0</v>
      </c>
      <c r="J12" s="9">
        <f>Summary!$F$12</f>
        <v>5787648.7454257002</v>
      </c>
      <c r="K12" s="9">
        <f>[14]Results!G14</f>
        <v>5787648.7454257002</v>
      </c>
      <c r="L12" s="9">
        <f t="shared" si="2"/>
        <v>0</v>
      </c>
      <c r="N12" s="9">
        <f>Summary!$H$12</f>
        <v>1213135.1947180552</v>
      </c>
      <c r="O12" s="13">
        <f>[14]Results!H14</f>
        <v>1213135.1947180552</v>
      </c>
      <c r="P12" s="9">
        <f t="shared" si="3"/>
        <v>0</v>
      </c>
      <c r="R12" s="9">
        <f>Summary!$J$12</f>
        <v>7000783.9401437556</v>
      </c>
      <c r="S12" s="13">
        <f>[14]Results!I14</f>
        <v>7000783.9401437556</v>
      </c>
      <c r="T12" s="9">
        <f t="shared" si="4"/>
        <v>0</v>
      </c>
      <c r="V12" s="9">
        <f>Summary!$L$12</f>
        <v>0</v>
      </c>
      <c r="W12" s="13">
        <f>[14]Results!H103</f>
        <v>0</v>
      </c>
      <c r="X12" s="9">
        <f t="shared" si="5"/>
        <v>0</v>
      </c>
    </row>
    <row r="13" spans="1:24" ht="13.5" thickBot="1" x14ac:dyDescent="0.25">
      <c r="A13" s="11" t="s">
        <v>54</v>
      </c>
      <c r="B13" s="10">
        <f>Summary!$B$13</f>
        <v>347612632.92177993</v>
      </c>
      <c r="C13" s="10">
        <f>[14]Results!C15</f>
        <v>347612632.92177993</v>
      </c>
      <c r="D13" s="10">
        <f t="shared" si="0"/>
        <v>0</v>
      </c>
      <c r="F13" s="10">
        <f>Summary!$D$13</f>
        <v>47384386.223418601</v>
      </c>
      <c r="G13" s="10">
        <f>[14]Results!D15</f>
        <v>47384386.223418601</v>
      </c>
      <c r="H13" s="10">
        <f t="shared" ref="H13" si="6">G13-F13</f>
        <v>0</v>
      </c>
      <c r="J13" s="10">
        <f>Summary!$F$13</f>
        <v>394997019.14519858</v>
      </c>
      <c r="K13" s="10">
        <f>[14]Results!G15</f>
        <v>394997019.14519858</v>
      </c>
      <c r="L13" s="10">
        <f t="shared" si="2"/>
        <v>0</v>
      </c>
      <c r="N13" s="10">
        <f>Summary!$H$13</f>
        <v>-44483383.599793226</v>
      </c>
      <c r="O13" s="229">
        <f>[14]Results!H15</f>
        <v>-44483383.599793226</v>
      </c>
      <c r="P13" s="10">
        <f t="shared" si="3"/>
        <v>0</v>
      </c>
      <c r="R13" s="10">
        <f>Summary!$J$13</f>
        <v>350513635.54540533</v>
      </c>
      <c r="S13" s="229">
        <f>[14]Results!I15</f>
        <v>350513635.54540533</v>
      </c>
      <c r="T13" s="10">
        <f t="shared" si="4"/>
        <v>0</v>
      </c>
      <c r="V13" s="10">
        <f>Summary!$L$13</f>
        <v>9563201.6807655469</v>
      </c>
      <c r="W13" s="229">
        <f>W9</f>
        <v>9563202.1074177399</v>
      </c>
      <c r="X13" s="229">
        <f t="shared" si="5"/>
        <v>0.42665219306945801</v>
      </c>
    </row>
    <row r="14" spans="1:24" ht="13.5" thickTop="1" x14ac:dyDescent="0.2">
      <c r="A14" s="11"/>
      <c r="B14" s="9"/>
      <c r="C14" s="9"/>
      <c r="D14" s="9"/>
      <c r="F14" s="9"/>
      <c r="G14" s="9"/>
      <c r="H14" s="9"/>
      <c r="J14" s="9"/>
      <c r="K14" s="9"/>
      <c r="L14" s="9"/>
      <c r="N14" s="9"/>
      <c r="O14" s="13"/>
      <c r="P14" s="9"/>
      <c r="R14" s="9"/>
      <c r="S14" s="13"/>
      <c r="T14" s="9"/>
      <c r="V14" s="9"/>
      <c r="W14" s="13"/>
      <c r="X14" s="9"/>
    </row>
    <row r="15" spans="1:24" x14ac:dyDescent="0.2">
      <c r="A15" s="11" t="s">
        <v>55</v>
      </c>
      <c r="B15" s="9"/>
      <c r="C15" s="9"/>
      <c r="D15" s="9"/>
      <c r="F15" s="9"/>
      <c r="G15" s="9"/>
      <c r="H15" s="9"/>
      <c r="J15" s="9"/>
      <c r="K15" s="9"/>
      <c r="L15" s="9"/>
      <c r="N15" s="9"/>
      <c r="O15" s="13"/>
      <c r="P15" s="9"/>
      <c r="R15" s="9"/>
      <c r="S15" s="13"/>
      <c r="T15" s="9"/>
      <c r="V15" s="9"/>
      <c r="W15" s="13"/>
      <c r="X15" s="9"/>
    </row>
    <row r="16" spans="1:24" x14ac:dyDescent="0.2">
      <c r="A16" s="11" t="s">
        <v>56</v>
      </c>
      <c r="B16" s="9">
        <f>Summary!$B$16</f>
        <v>59484321.530398287</v>
      </c>
      <c r="C16" s="9">
        <f>[14]Results!C18</f>
        <v>59484321.530398287</v>
      </c>
      <c r="D16" s="9">
        <f t="shared" ref="D16:D35" si="7">C16-B16</f>
        <v>0</v>
      </c>
      <c r="F16" s="9">
        <f>Summary!$D$16</f>
        <v>2343666.6061982932</v>
      </c>
      <c r="G16" s="9">
        <f>[14]Results!D18</f>
        <v>2343666.6061982932</v>
      </c>
      <c r="H16" s="9">
        <f t="shared" ref="H16:H35" si="8">G16-F16</f>
        <v>0</v>
      </c>
      <c r="J16" s="9">
        <f>Summary!$F$16</f>
        <v>61827988.136596583</v>
      </c>
      <c r="K16" s="9">
        <f>[14]Results!G18</f>
        <v>61827988.136596583</v>
      </c>
      <c r="L16" s="9">
        <f t="shared" ref="L16:L35" si="9">K16-J16</f>
        <v>0</v>
      </c>
      <c r="N16" s="9">
        <f>Summary!$H$16</f>
        <v>10544366.101396032</v>
      </c>
      <c r="O16" s="13">
        <f>[14]Results!H18</f>
        <v>10544366.101396032</v>
      </c>
      <c r="P16" s="9">
        <f t="shared" ref="P16:P35" si="10">O16-N16</f>
        <v>0</v>
      </c>
      <c r="R16" s="9">
        <f>Summary!$J$16</f>
        <v>72372354.237992615</v>
      </c>
      <c r="S16" s="13">
        <f>[14]Results!I18</f>
        <v>72372354.237992615</v>
      </c>
      <c r="T16" s="9">
        <f t="shared" ref="T16:T35" si="11">S16-R16</f>
        <v>0</v>
      </c>
      <c r="V16" s="9">
        <f>Summary!$L$16</f>
        <v>0</v>
      </c>
      <c r="W16" s="13">
        <f>[14]Results!H107</f>
        <v>0</v>
      </c>
      <c r="X16" s="9">
        <f t="shared" ref="X16:X35" si="12">W16-V16</f>
        <v>0</v>
      </c>
    </row>
    <row r="17" spans="1:24" x14ac:dyDescent="0.2">
      <c r="A17" s="11" t="s">
        <v>57</v>
      </c>
      <c r="B17" s="9">
        <f>Summary!$B$17</f>
        <v>0</v>
      </c>
      <c r="C17" s="9">
        <f>[14]Results!C19</f>
        <v>0</v>
      </c>
      <c r="D17" s="9">
        <f t="shared" si="7"/>
        <v>0</v>
      </c>
      <c r="F17" s="9">
        <f>Summary!$D$17</f>
        <v>0</v>
      </c>
      <c r="G17" s="9">
        <f>[14]Results!D19</f>
        <v>0</v>
      </c>
      <c r="H17" s="9">
        <f t="shared" si="8"/>
        <v>0</v>
      </c>
      <c r="J17" s="9">
        <f>Summary!$F$17</f>
        <v>0</v>
      </c>
      <c r="K17" s="9">
        <f>[14]Results!G19</f>
        <v>0</v>
      </c>
      <c r="L17" s="9">
        <f t="shared" si="9"/>
        <v>0</v>
      </c>
      <c r="N17" s="9">
        <f>Summary!$H$17</f>
        <v>0</v>
      </c>
      <c r="O17" s="13">
        <f>[14]Results!H19</f>
        <v>0</v>
      </c>
      <c r="P17" s="9">
        <f t="shared" si="10"/>
        <v>0</v>
      </c>
      <c r="R17" s="9">
        <f>Summary!$J$17</f>
        <v>0</v>
      </c>
      <c r="S17" s="13">
        <f>[14]Results!I19</f>
        <v>0</v>
      </c>
      <c r="T17" s="9">
        <f t="shared" si="11"/>
        <v>0</v>
      </c>
      <c r="V17" s="9">
        <f>Summary!$L$17</f>
        <v>0</v>
      </c>
      <c r="W17" s="13">
        <f>[14]Results!H108</f>
        <v>0</v>
      </c>
      <c r="X17" s="9">
        <f t="shared" si="12"/>
        <v>0</v>
      </c>
    </row>
    <row r="18" spans="1:24" x14ac:dyDescent="0.2">
      <c r="A18" s="11" t="s">
        <v>58</v>
      </c>
      <c r="B18" s="9">
        <f>Summary!$B$18</f>
        <v>7355375.5656367149</v>
      </c>
      <c r="C18" s="9">
        <f>[14]Results!C20</f>
        <v>7355375.5656367149</v>
      </c>
      <c r="D18" s="9">
        <f t="shared" si="7"/>
        <v>0</v>
      </c>
      <c r="F18" s="9">
        <f>Summary!$D$18</f>
        <v>-28190.057298298911</v>
      </c>
      <c r="G18" s="9">
        <f>[14]Results!D20</f>
        <v>-28190.057298298914</v>
      </c>
      <c r="H18" s="9">
        <f t="shared" si="8"/>
        <v>0</v>
      </c>
      <c r="J18" s="9">
        <f>Summary!$F$18</f>
        <v>7327185.508338416</v>
      </c>
      <c r="K18" s="9">
        <f>[14]Results!G20</f>
        <v>7327185.508338416</v>
      </c>
      <c r="L18" s="9">
        <f t="shared" si="9"/>
        <v>0</v>
      </c>
      <c r="N18" s="9">
        <f>Summary!$H$18</f>
        <v>-58308.795913521913</v>
      </c>
      <c r="O18" s="13">
        <f>[14]Results!H20</f>
        <v>-58308.795913521913</v>
      </c>
      <c r="P18" s="9">
        <f t="shared" si="10"/>
        <v>0</v>
      </c>
      <c r="R18" s="9">
        <f>Summary!$J$18</f>
        <v>7268876.7124248939</v>
      </c>
      <c r="S18" s="13">
        <f>[14]Results!I20</f>
        <v>7268876.7124248939</v>
      </c>
      <c r="T18" s="9">
        <f t="shared" si="11"/>
        <v>0</v>
      </c>
      <c r="V18" s="9">
        <f>Summary!$L$18</f>
        <v>0</v>
      </c>
      <c r="W18" s="13">
        <f>[14]Results!H109</f>
        <v>0</v>
      </c>
      <c r="X18" s="9">
        <f t="shared" si="12"/>
        <v>0</v>
      </c>
    </row>
    <row r="19" spans="1:24" x14ac:dyDescent="0.2">
      <c r="A19" s="11" t="s">
        <v>59</v>
      </c>
      <c r="B19" s="9">
        <f>Summary!$B$19</f>
        <v>94996038.854480177</v>
      </c>
      <c r="C19" s="9">
        <f>[14]Results!C21</f>
        <v>94996038.854480177</v>
      </c>
      <c r="D19" s="9">
        <f t="shared" si="7"/>
        <v>0</v>
      </c>
      <c r="F19" s="9">
        <f>Summary!$D$19</f>
        <v>34773731.224899374</v>
      </c>
      <c r="G19" s="9">
        <f>[14]Results!D21</f>
        <v>34773731.224899374</v>
      </c>
      <c r="H19" s="9">
        <f t="shared" si="8"/>
        <v>0</v>
      </c>
      <c r="J19" s="9">
        <f>Summary!$F$19</f>
        <v>129769770.07937956</v>
      </c>
      <c r="K19" s="9">
        <f>[14]Results!G21</f>
        <v>129769770.07937956</v>
      </c>
      <c r="L19" s="9">
        <f t="shared" si="9"/>
        <v>0</v>
      </c>
      <c r="N19" s="9">
        <f>Summary!$H$19</f>
        <v>-54135459.210119531</v>
      </c>
      <c r="O19" s="13">
        <f>[14]Results!H21</f>
        <v>-54135459.210119531</v>
      </c>
      <c r="P19" s="9">
        <f t="shared" si="10"/>
        <v>0</v>
      </c>
      <c r="R19" s="9">
        <f>Summary!$J$19</f>
        <v>75634310.869260028</v>
      </c>
      <c r="S19" s="13">
        <f>[14]Results!I21</f>
        <v>75634310.869260028</v>
      </c>
      <c r="T19" s="9">
        <f t="shared" si="11"/>
        <v>0</v>
      </c>
      <c r="V19" s="9">
        <f>Summary!$L$19</f>
        <v>0</v>
      </c>
      <c r="W19" s="13">
        <f>[14]Results!H110</f>
        <v>0</v>
      </c>
      <c r="X19" s="9">
        <f t="shared" si="12"/>
        <v>0</v>
      </c>
    </row>
    <row r="20" spans="1:24" x14ac:dyDescent="0.2">
      <c r="A20" s="11" t="s">
        <v>60</v>
      </c>
      <c r="B20" s="9">
        <f>Summary!$B$20</f>
        <v>27085770.889695119</v>
      </c>
      <c r="C20" s="9">
        <f>[14]Results!C22</f>
        <v>27085770.889695119</v>
      </c>
      <c r="D20" s="9">
        <f t="shared" si="7"/>
        <v>0</v>
      </c>
      <c r="F20" s="9">
        <f>Summary!$D$20</f>
        <v>303885.87602022506</v>
      </c>
      <c r="G20" s="9">
        <f>[14]Results!D22</f>
        <v>303885.87602022506</v>
      </c>
      <c r="H20" s="9">
        <f t="shared" si="8"/>
        <v>0</v>
      </c>
      <c r="J20" s="9">
        <f>Summary!$F$20</f>
        <v>27389656.765715346</v>
      </c>
      <c r="K20" s="9">
        <f>[14]Results!G22</f>
        <v>27389656.765715346</v>
      </c>
      <c r="L20" s="9">
        <f t="shared" si="9"/>
        <v>0</v>
      </c>
      <c r="N20" s="9">
        <f>Summary!$H$20</f>
        <v>3360508.3664367702</v>
      </c>
      <c r="O20" s="13">
        <f>[14]Results!H22</f>
        <v>3360508.3664367702</v>
      </c>
      <c r="P20" s="9">
        <f t="shared" si="10"/>
        <v>0</v>
      </c>
      <c r="R20" s="9">
        <f>Summary!$J$20</f>
        <v>30750165.132152118</v>
      </c>
      <c r="S20" s="13">
        <f>[14]Results!I22</f>
        <v>30750165.132152118</v>
      </c>
      <c r="T20" s="9">
        <f t="shared" si="11"/>
        <v>0</v>
      </c>
      <c r="V20" s="9">
        <f>Summary!$L$20</f>
        <v>0</v>
      </c>
      <c r="W20" s="13">
        <f>[14]Results!H111</f>
        <v>0</v>
      </c>
      <c r="X20" s="9">
        <f t="shared" si="12"/>
        <v>0</v>
      </c>
    </row>
    <row r="21" spans="1:24" x14ac:dyDescent="0.2">
      <c r="A21" s="11" t="s">
        <v>61</v>
      </c>
      <c r="B21" s="9">
        <f>Summary!$B$21</f>
        <v>12193372.832732398</v>
      </c>
      <c r="C21" s="9">
        <f>[14]Results!C23</f>
        <v>12193372.832732398</v>
      </c>
      <c r="D21" s="9">
        <f t="shared" si="7"/>
        <v>0</v>
      </c>
      <c r="F21" s="9">
        <f>Summary!$D$21</f>
        <v>-371809.61799597944</v>
      </c>
      <c r="G21" s="9">
        <f>[14]Results!D23</f>
        <v>-371809.61799597944</v>
      </c>
      <c r="H21" s="9">
        <f t="shared" si="8"/>
        <v>0</v>
      </c>
      <c r="J21" s="9">
        <f>Summary!$F$21</f>
        <v>11821563.214736419</v>
      </c>
      <c r="K21" s="9">
        <f>[14]Results!G23</f>
        <v>11821563.214736419</v>
      </c>
      <c r="L21" s="9">
        <f t="shared" si="9"/>
        <v>0</v>
      </c>
      <c r="N21" s="9">
        <f>Summary!$H$21</f>
        <v>-144589.8911580951</v>
      </c>
      <c r="O21" s="13">
        <f>[14]Results!H23</f>
        <v>-144589.8911580951</v>
      </c>
      <c r="P21" s="9">
        <f t="shared" si="10"/>
        <v>0</v>
      </c>
      <c r="R21" s="9">
        <f>Summary!$J$21</f>
        <v>11676973.323578324</v>
      </c>
      <c r="S21" s="13">
        <f>[14]Results!I23</f>
        <v>11676973.323578324</v>
      </c>
      <c r="T21" s="9">
        <f t="shared" si="11"/>
        <v>0</v>
      </c>
      <c r="V21" s="9">
        <f>Summary!$L$21</f>
        <v>0</v>
      </c>
      <c r="W21" s="13">
        <f>[14]Results!H112</f>
        <v>0</v>
      </c>
      <c r="X21" s="9">
        <f t="shared" si="12"/>
        <v>0</v>
      </c>
    </row>
    <row r="22" spans="1:24" x14ac:dyDescent="0.2">
      <c r="A22" s="11" t="s">
        <v>62</v>
      </c>
      <c r="B22" s="9">
        <f>Summary!$B$22</f>
        <v>6347127.9129931955</v>
      </c>
      <c r="C22" s="9">
        <f>[14]Results!C24</f>
        <v>6347127.9129931955</v>
      </c>
      <c r="D22" s="9">
        <f t="shared" si="7"/>
        <v>0</v>
      </c>
      <c r="F22" s="9">
        <f>Summary!$D$22</f>
        <v>402258.48389767006</v>
      </c>
      <c r="G22" s="9">
        <f>[14]Results!D24</f>
        <v>402258.4774248529</v>
      </c>
      <c r="H22" s="9">
        <f t="shared" si="8"/>
        <v>-6.4728171564638615E-3</v>
      </c>
      <c r="J22" s="9">
        <f>Summary!$F$22</f>
        <v>6749386.3968908656</v>
      </c>
      <c r="K22" s="9">
        <f>[14]Results!G24</f>
        <v>6749386.390418048</v>
      </c>
      <c r="L22" s="9">
        <f t="shared" si="9"/>
        <v>-6.4728176221251488E-3</v>
      </c>
      <c r="N22" s="9">
        <f>Summary!$H$22</f>
        <v>-78277.368777593787</v>
      </c>
      <c r="O22" s="13">
        <f>[14]Results!H24</f>
        <v>-78277.368777593787</v>
      </c>
      <c r="P22" s="9">
        <f t="shared" si="10"/>
        <v>0</v>
      </c>
      <c r="R22" s="9">
        <f>Summary!$J$22</f>
        <v>6671109.028113272</v>
      </c>
      <c r="S22" s="13">
        <f>[14]Results!I24</f>
        <v>6671109.0216404544</v>
      </c>
      <c r="T22" s="9">
        <f t="shared" si="11"/>
        <v>-6.4728176221251488E-3</v>
      </c>
      <c r="V22" s="9">
        <f>Summary!$L$22</f>
        <v>58431.162269477492</v>
      </c>
      <c r="W22" s="13">
        <f>[14]Results!H113</f>
        <v>58431.164876322393</v>
      </c>
      <c r="X22" s="9">
        <f t="shared" si="12"/>
        <v>2.6068449005833827E-3</v>
      </c>
    </row>
    <row r="23" spans="1:24" x14ac:dyDescent="0.2">
      <c r="A23" s="11" t="s">
        <v>63</v>
      </c>
      <c r="B23" s="9">
        <f>Summary!$B$23</f>
        <v>11445806.671783183</v>
      </c>
      <c r="C23" s="9">
        <f>[14]Results!C25</f>
        <v>11445806.671783183</v>
      </c>
      <c r="D23" s="9">
        <f t="shared" si="7"/>
        <v>0</v>
      </c>
      <c r="F23" s="9">
        <f>Summary!$D$23</f>
        <v>-10683512.888207437</v>
      </c>
      <c r="G23" s="9">
        <f>[14]Results!D25</f>
        <v>-10683512.888207437</v>
      </c>
      <c r="H23" s="9">
        <f t="shared" si="8"/>
        <v>0</v>
      </c>
      <c r="J23" s="9">
        <f>Summary!$F$23</f>
        <v>762293.7835757453</v>
      </c>
      <c r="K23" s="9">
        <f>[14]Results!G25</f>
        <v>762293.7835757453</v>
      </c>
      <c r="L23" s="9">
        <f t="shared" si="9"/>
        <v>0</v>
      </c>
      <c r="N23" s="9">
        <f>Summary!$H$23</f>
        <v>-12011.355707270053</v>
      </c>
      <c r="O23" s="13">
        <f>[14]Results!H25</f>
        <v>-12011.355707270053</v>
      </c>
      <c r="P23" s="9">
        <f t="shared" si="10"/>
        <v>0</v>
      </c>
      <c r="R23" s="9">
        <f>Summary!$J$23</f>
        <v>750282.42786847521</v>
      </c>
      <c r="S23" s="13">
        <f>[14]Results!I25</f>
        <v>750282.42786847521</v>
      </c>
      <c r="T23" s="9">
        <f t="shared" si="11"/>
        <v>0</v>
      </c>
      <c r="V23" s="9">
        <f>Summary!$L$23</f>
        <v>0</v>
      </c>
      <c r="W23" s="13">
        <f>[14]Results!H114</f>
        <v>0</v>
      </c>
      <c r="X23" s="9">
        <f t="shared" si="12"/>
        <v>0</v>
      </c>
    </row>
    <row r="24" spans="1:24" x14ac:dyDescent="0.2">
      <c r="A24" s="11" t="s">
        <v>64</v>
      </c>
      <c r="B24" s="9">
        <f>Summary!$B$24</f>
        <v>0</v>
      </c>
      <c r="C24" s="9">
        <f>[14]Results!C26</f>
        <v>0</v>
      </c>
      <c r="D24" s="9">
        <f t="shared" si="7"/>
        <v>0</v>
      </c>
      <c r="F24" s="9">
        <f>Summary!$D$24</f>
        <v>0</v>
      </c>
      <c r="G24" s="9">
        <f>[14]Results!D26</f>
        <v>0</v>
      </c>
      <c r="H24" s="9">
        <f t="shared" si="8"/>
        <v>0</v>
      </c>
      <c r="J24" s="9">
        <f>Summary!$F$24</f>
        <v>0</v>
      </c>
      <c r="K24" s="9">
        <f>[14]Results!G26</f>
        <v>0</v>
      </c>
      <c r="L24" s="9">
        <f t="shared" si="9"/>
        <v>0</v>
      </c>
      <c r="N24" s="9">
        <f>Summary!$H$24</f>
        <v>0</v>
      </c>
      <c r="O24" s="13">
        <f>[14]Results!H26</f>
        <v>0</v>
      </c>
      <c r="P24" s="9">
        <f t="shared" si="10"/>
        <v>0</v>
      </c>
      <c r="R24" s="9">
        <f>Summary!$J$24</f>
        <v>0</v>
      </c>
      <c r="S24" s="13">
        <f>[14]Results!I26</f>
        <v>0</v>
      </c>
      <c r="T24" s="9">
        <f t="shared" si="11"/>
        <v>0</v>
      </c>
      <c r="V24" s="9">
        <f>Summary!$L$24</f>
        <v>0</v>
      </c>
      <c r="W24" s="13">
        <f>[14]Results!H115</f>
        <v>0</v>
      </c>
      <c r="X24" s="9">
        <f t="shared" si="12"/>
        <v>0</v>
      </c>
    </row>
    <row r="25" spans="1:24" x14ac:dyDescent="0.2">
      <c r="A25" s="11" t="s">
        <v>65</v>
      </c>
      <c r="B25" s="9">
        <f>Summary!$B$25</f>
        <v>13226426.289316572</v>
      </c>
      <c r="C25" s="9">
        <f>[14]Results!C27</f>
        <v>13226426.289316572</v>
      </c>
      <c r="D25" s="9">
        <f t="shared" si="7"/>
        <v>0</v>
      </c>
      <c r="F25" s="9">
        <f>Summary!$D$25</f>
        <v>-1473130.0604530582</v>
      </c>
      <c r="G25" s="9">
        <f>[14]Results!D27</f>
        <v>-1473130.1412501577</v>
      </c>
      <c r="H25" s="9">
        <f t="shared" si="8"/>
        <v>-8.0797099508345127E-2</v>
      </c>
      <c r="J25" s="9">
        <f>Summary!$F$25</f>
        <v>11753296.228863515</v>
      </c>
      <c r="K25" s="9">
        <f>[14]Results!G27</f>
        <v>11753296.148066415</v>
      </c>
      <c r="L25" s="9">
        <f t="shared" si="9"/>
        <v>-8.0797100439667702E-2</v>
      </c>
      <c r="N25" s="9">
        <f>Summary!$H$25</f>
        <v>-140950.66735937251</v>
      </c>
      <c r="O25" s="13">
        <f>[14]Results!H27</f>
        <v>-140950.66735937251</v>
      </c>
      <c r="P25" s="9">
        <f t="shared" si="10"/>
        <v>0</v>
      </c>
      <c r="R25" s="9">
        <f>Summary!$J$25</f>
        <v>11612345.561504142</v>
      </c>
      <c r="S25" s="13">
        <f>[14]Results!I27</f>
        <v>11612345.480707042</v>
      </c>
      <c r="T25" s="9">
        <f t="shared" si="11"/>
        <v>-8.0797100439667702E-2</v>
      </c>
      <c r="V25" s="9">
        <f>Summary!$L$25</f>
        <v>0</v>
      </c>
      <c r="W25" s="13">
        <f>[14]Results!H116</f>
        <v>0</v>
      </c>
      <c r="X25" s="9">
        <f t="shared" si="12"/>
        <v>0</v>
      </c>
    </row>
    <row r="26" spans="1:24" x14ac:dyDescent="0.2">
      <c r="A26" s="11" t="s">
        <v>66</v>
      </c>
      <c r="B26" s="7">
        <f>Summary!$B$26</f>
        <v>232134240.54703563</v>
      </c>
      <c r="C26" s="7">
        <f>[14]Results!C28</f>
        <v>232134240.54703563</v>
      </c>
      <c r="D26" s="7">
        <f t="shared" si="7"/>
        <v>0</v>
      </c>
      <c r="F26" s="7">
        <f>Summary!$D$26</f>
        <v>25266899.567060791</v>
      </c>
      <c r="G26" s="7">
        <f>[14]Results!D28</f>
        <v>25266899.479790874</v>
      </c>
      <c r="H26" s="7">
        <f t="shared" si="8"/>
        <v>-8.7269917130470276E-2</v>
      </c>
      <c r="J26" s="7">
        <f>Summary!$F$26</f>
        <v>257401140.11409649</v>
      </c>
      <c r="K26" s="7">
        <f>[14]Results!G28</f>
        <v>257401140.02682656</v>
      </c>
      <c r="L26" s="7">
        <f t="shared" si="9"/>
        <v>-8.726993203163147E-2</v>
      </c>
      <c r="N26" s="7">
        <f>Summary!$H$26</f>
        <v>-40664722.821202591</v>
      </c>
      <c r="O26" s="228">
        <f>[14]Results!H28</f>
        <v>-40664722.821202591</v>
      </c>
      <c r="P26" s="7">
        <f t="shared" si="10"/>
        <v>0</v>
      </c>
      <c r="R26" s="7">
        <f>Summary!$J$26</f>
        <v>216736417.29289389</v>
      </c>
      <c r="S26" s="228">
        <f>[14]Results!I28</f>
        <v>216736417.20562395</v>
      </c>
      <c r="T26" s="7">
        <f t="shared" si="11"/>
        <v>-8.726993203163147E-2</v>
      </c>
      <c r="V26" s="7">
        <f>Summary!$L$26</f>
        <v>58431.162269477492</v>
      </c>
      <c r="W26" s="228">
        <f>W22</f>
        <v>58431.164876322393</v>
      </c>
      <c r="X26" s="228">
        <f t="shared" si="12"/>
        <v>2.6068449005833827E-3</v>
      </c>
    </row>
    <row r="27" spans="1:24" x14ac:dyDescent="0.2">
      <c r="A27" s="11" t="s">
        <v>67</v>
      </c>
      <c r="B27" s="9">
        <f>Summary!$B$27</f>
        <v>42465251.825127855</v>
      </c>
      <c r="C27" s="9">
        <f>[14]Results!C29</f>
        <v>42465251.825127855</v>
      </c>
      <c r="D27" s="9">
        <f t="shared" si="7"/>
        <v>0</v>
      </c>
      <c r="F27" s="9">
        <f>Summary!$D$27</f>
        <v>982571.90635064198</v>
      </c>
      <c r="G27" s="9">
        <f>[14]Results!D29</f>
        <v>982571.90635064198</v>
      </c>
      <c r="H27" s="9">
        <f t="shared" si="8"/>
        <v>0</v>
      </c>
      <c r="J27" s="9">
        <f>Summary!$F$27</f>
        <v>43447823.731478497</v>
      </c>
      <c r="K27" s="9">
        <f>[14]Results!G29</f>
        <v>43447823.731478497</v>
      </c>
      <c r="L27" s="9">
        <f t="shared" si="9"/>
        <v>0</v>
      </c>
      <c r="N27" s="9">
        <f>Summary!$H$27</f>
        <v>469966.6203837858</v>
      </c>
      <c r="O27" s="13">
        <f>[14]Results!H29</f>
        <v>469966.6203837858</v>
      </c>
      <c r="P27" s="9">
        <f t="shared" si="10"/>
        <v>0</v>
      </c>
      <c r="R27" s="9">
        <f>Summary!$J$27</f>
        <v>43917790.351862282</v>
      </c>
      <c r="S27" s="13">
        <f>[14]Results!I29</f>
        <v>43917790.351862282</v>
      </c>
      <c r="T27" s="9">
        <f t="shared" si="11"/>
        <v>0</v>
      </c>
      <c r="V27" s="9">
        <f>Summary!$L$27</f>
        <v>0</v>
      </c>
      <c r="W27" s="13">
        <f>[14]Results!H118</f>
        <v>0</v>
      </c>
      <c r="X27" s="9">
        <f t="shared" si="12"/>
        <v>0</v>
      </c>
    </row>
    <row r="28" spans="1:24" x14ac:dyDescent="0.2">
      <c r="A28" s="11" t="s">
        <v>68</v>
      </c>
      <c r="B28" s="9">
        <f>Summary!$B$28</f>
        <v>5034157.1996431584</v>
      </c>
      <c r="C28" s="9">
        <f>[14]Results!C30</f>
        <v>5034157.1996431584</v>
      </c>
      <c r="D28" s="9">
        <f t="shared" si="7"/>
        <v>0</v>
      </c>
      <c r="F28" s="9">
        <f>Summary!$D$28</f>
        <v>0</v>
      </c>
      <c r="G28" s="9">
        <f>[14]Results!D30</f>
        <v>0</v>
      </c>
      <c r="H28" s="9">
        <f t="shared" si="8"/>
        <v>0</v>
      </c>
      <c r="J28" s="9">
        <f>Summary!$F$28</f>
        <v>5034157.1996431584</v>
      </c>
      <c r="K28" s="9">
        <f>[14]Results!G30</f>
        <v>5034157.1996431584</v>
      </c>
      <c r="L28" s="9">
        <f t="shared" si="9"/>
        <v>0</v>
      </c>
      <c r="N28" s="9">
        <f>Summary!$H$28</f>
        <v>82361.759263031505</v>
      </c>
      <c r="O28" s="13">
        <f>[14]Results!H30</f>
        <v>82361.759263031505</v>
      </c>
      <c r="P28" s="9">
        <f t="shared" si="10"/>
        <v>0</v>
      </c>
      <c r="R28" s="9">
        <f>Summary!$J$28</f>
        <v>5116518.9589061895</v>
      </c>
      <c r="S28" s="13">
        <f>[14]Results!I30</f>
        <v>5116518.9589061895</v>
      </c>
      <c r="T28" s="9">
        <f t="shared" si="11"/>
        <v>0</v>
      </c>
      <c r="V28" s="9">
        <f>Summary!$L$28</f>
        <v>0</v>
      </c>
      <c r="W28" s="13">
        <f>[14]Results!H119</f>
        <v>0</v>
      </c>
      <c r="X28" s="9">
        <f t="shared" si="12"/>
        <v>0</v>
      </c>
    </row>
    <row r="29" spans="1:24" x14ac:dyDescent="0.2">
      <c r="A29" s="11" t="s">
        <v>69</v>
      </c>
      <c r="B29" s="9">
        <f>Summary!$B$29</f>
        <v>21700554.211273085</v>
      </c>
      <c r="C29" s="9">
        <f>[14]Results!C31</f>
        <v>21700554.211273085</v>
      </c>
      <c r="D29" s="9">
        <f t="shared" si="7"/>
        <v>0</v>
      </c>
      <c r="F29" s="9">
        <f>Summary!$D$29</f>
        <v>-41073.316515808037</v>
      </c>
      <c r="G29" s="9">
        <f>[14]Results!D31</f>
        <v>-41073.316515808037</v>
      </c>
      <c r="H29" s="9">
        <f t="shared" si="8"/>
        <v>0</v>
      </c>
      <c r="J29" s="9">
        <f>Summary!$F$29</f>
        <v>21659480.894757278</v>
      </c>
      <c r="K29" s="9">
        <f>[14]Results!G31</f>
        <v>21659480.894757278</v>
      </c>
      <c r="L29" s="9">
        <f t="shared" si="9"/>
        <v>0</v>
      </c>
      <c r="N29" s="9">
        <f>Summary!$H$29</f>
        <v>-659185.04000000097</v>
      </c>
      <c r="O29" s="13">
        <f>[14]Results!H31</f>
        <v>-659185.38848287473</v>
      </c>
      <c r="P29" s="9">
        <f t="shared" si="10"/>
        <v>-0.34848287375643849</v>
      </c>
      <c r="R29" s="9">
        <f>Summary!$J$29</f>
        <v>21000295.854757279</v>
      </c>
      <c r="S29" s="13">
        <f>[14]Results!I31</f>
        <v>21000295.506274402</v>
      </c>
      <c r="T29" s="9">
        <f t="shared" si="11"/>
        <v>-0.3484828770160675</v>
      </c>
      <c r="V29" s="9">
        <f>Summary!$L$29</f>
        <v>389509.20445758075</v>
      </c>
      <c r="W29" s="13">
        <f>[14]Results!H120</f>
        <v>389509.2218351246</v>
      </c>
      <c r="X29" s="9">
        <f t="shared" si="12"/>
        <v>1.737754384521395E-2</v>
      </c>
    </row>
    <row r="30" spans="1:24" x14ac:dyDescent="0.2">
      <c r="A30" s="11" t="s">
        <v>70</v>
      </c>
      <c r="B30" s="9">
        <f>Summary!$B$30</f>
        <v>1000694.0075739436</v>
      </c>
      <c r="C30" s="9">
        <f>[14]Results!C32</f>
        <v>1000694.0075739436</v>
      </c>
      <c r="D30" s="9">
        <f t="shared" si="7"/>
        <v>0</v>
      </c>
      <c r="F30" s="9">
        <f>Summary!$D$30</f>
        <v>7614453.0733685289</v>
      </c>
      <c r="G30" s="9">
        <f>[14]Results!$D$32</f>
        <v>7614453.1022889605</v>
      </c>
      <c r="H30" s="9">
        <f t="shared" si="8"/>
        <v>2.89204316213727E-2</v>
      </c>
      <c r="J30" s="9">
        <f>Summary!$F$30</f>
        <v>8615147.0809424669</v>
      </c>
      <c r="K30" s="9">
        <f>[14]Results!G32</f>
        <v>8615147.109862905</v>
      </c>
      <c r="L30" s="9">
        <f t="shared" si="9"/>
        <v>2.8920438140630722E-2</v>
      </c>
      <c r="N30" s="9">
        <f>Summary!$H$30</f>
        <v>-3785847.1564205615</v>
      </c>
      <c r="O30" s="13">
        <f>[14]Results!H32</f>
        <v>-3785847.0344515578</v>
      </c>
      <c r="P30" s="9">
        <f t="shared" si="10"/>
        <v>0.12196900369599462</v>
      </c>
      <c r="R30" s="9">
        <f>Summary!$J$30</f>
        <v>4829299.989148926</v>
      </c>
      <c r="S30" s="13">
        <f>[14]Results!I32</f>
        <v>4829300.0754113477</v>
      </c>
      <c r="T30" s="9">
        <f t="shared" si="11"/>
        <v>8.6262421682476997E-2</v>
      </c>
      <c r="V30" s="9">
        <f>Summary!$L$30</f>
        <v>3190341.4599134708</v>
      </c>
      <c r="W30" s="13">
        <f>[14]Results!H121</f>
        <v>3190341.6022472018</v>
      </c>
      <c r="X30" s="9">
        <f t="shared" si="12"/>
        <v>0.1423337310552597</v>
      </c>
    </row>
    <row r="31" spans="1:24" x14ac:dyDescent="0.2">
      <c r="A31" s="11" t="s">
        <v>71</v>
      </c>
      <c r="B31" s="9">
        <f>Summary!$B$31</f>
        <v>0</v>
      </c>
      <c r="C31" s="9">
        <f>[14]Results!C33</f>
        <v>0</v>
      </c>
      <c r="D31" s="9">
        <f t="shared" si="7"/>
        <v>0</v>
      </c>
      <c r="F31" s="9">
        <f>Summary!$D$31</f>
        <v>0</v>
      </c>
      <c r="G31" s="9">
        <f>[14]Results!D33</f>
        <v>0</v>
      </c>
      <c r="H31" s="9">
        <f t="shared" si="8"/>
        <v>0</v>
      </c>
      <c r="J31" s="9">
        <f>Summary!$F$31</f>
        <v>0</v>
      </c>
      <c r="K31" s="9">
        <f>[14]Results!G33</f>
        <v>0</v>
      </c>
      <c r="L31" s="9">
        <f t="shared" si="9"/>
        <v>0</v>
      </c>
      <c r="N31" s="9">
        <f>Summary!$H$31</f>
        <v>0</v>
      </c>
      <c r="O31" s="13">
        <f>[14]Results!H33</f>
        <v>0</v>
      </c>
      <c r="P31" s="9">
        <f t="shared" si="10"/>
        <v>0</v>
      </c>
      <c r="R31" s="9">
        <f>Summary!$J$31</f>
        <v>0</v>
      </c>
      <c r="S31" s="13">
        <f>[14]Results!I33</f>
        <v>0</v>
      </c>
      <c r="T31" s="9">
        <f t="shared" si="11"/>
        <v>0</v>
      </c>
      <c r="V31" s="9">
        <f>Summary!$L$31</f>
        <v>0</v>
      </c>
      <c r="W31" s="13">
        <f>[14]Results!H122</f>
        <v>0</v>
      </c>
      <c r="X31" s="9">
        <f t="shared" si="12"/>
        <v>0</v>
      </c>
    </row>
    <row r="32" spans="1:24" x14ac:dyDescent="0.2">
      <c r="A32" s="11" t="s">
        <v>72</v>
      </c>
      <c r="B32" s="9">
        <f>Summary!$B$32</f>
        <v>4870544.7604143675</v>
      </c>
      <c r="C32" s="9">
        <f>[14]Results!C34</f>
        <v>4870544.7604143675</v>
      </c>
      <c r="D32" s="9">
        <f t="shared" si="7"/>
        <v>0</v>
      </c>
      <c r="F32" s="9">
        <f>Summary!$D$32</f>
        <v>-1131640.190756897</v>
      </c>
      <c r="G32" s="9">
        <f>[14]Results!D34</f>
        <v>-1131640.190756897</v>
      </c>
      <c r="H32" s="9">
        <f t="shared" si="8"/>
        <v>0</v>
      </c>
      <c r="J32" s="9">
        <f>Summary!$F$32</f>
        <v>3738904.5696574706</v>
      </c>
      <c r="K32" s="9">
        <f>[14]Results!G34</f>
        <v>3738904.5696574706</v>
      </c>
      <c r="L32" s="9">
        <f t="shared" si="9"/>
        <v>0</v>
      </c>
      <c r="N32" s="9">
        <f>Summary!$H$32</f>
        <v>2086148.6571185363</v>
      </c>
      <c r="O32" s="13">
        <f>[14]Results!H34</f>
        <v>2086148.6571185363</v>
      </c>
      <c r="P32" s="9">
        <f t="shared" si="10"/>
        <v>0</v>
      </c>
      <c r="R32" s="9">
        <f>Summary!$J$32</f>
        <v>5825053.2267760066</v>
      </c>
      <c r="S32" s="13">
        <f>[14]Results!I34</f>
        <v>5825053.2267760066</v>
      </c>
      <c r="T32" s="9">
        <f t="shared" si="11"/>
        <v>0</v>
      </c>
      <c r="V32" s="9">
        <f>Summary!$L$32</f>
        <v>0</v>
      </c>
      <c r="W32" s="13">
        <f>[14]Results!H123</f>
        <v>0</v>
      </c>
      <c r="X32" s="9">
        <f t="shared" si="12"/>
        <v>0</v>
      </c>
    </row>
    <row r="33" spans="1:24" x14ac:dyDescent="0.2">
      <c r="A33" s="11" t="s">
        <v>73</v>
      </c>
      <c r="B33" s="9">
        <f>Summary!$B$33</f>
        <v>0</v>
      </c>
      <c r="C33" s="9">
        <f>[14]Results!C35</f>
        <v>0</v>
      </c>
      <c r="D33" s="9">
        <f t="shared" si="7"/>
        <v>0</v>
      </c>
      <c r="F33" s="9">
        <f>Summary!$D$33</f>
        <v>0</v>
      </c>
      <c r="G33" s="9">
        <f>[14]Results!D35</f>
        <v>0</v>
      </c>
      <c r="H33" s="9">
        <f t="shared" si="8"/>
        <v>0</v>
      </c>
      <c r="J33" s="9">
        <f>Summary!$F$33</f>
        <v>0</v>
      </c>
      <c r="K33" s="9">
        <f>[14]Results!G35</f>
        <v>0</v>
      </c>
      <c r="L33" s="9">
        <f t="shared" si="9"/>
        <v>0</v>
      </c>
      <c r="N33" s="9">
        <f>Summary!$H$33</f>
        <v>0</v>
      </c>
      <c r="O33" s="13">
        <f>[14]Results!H35</f>
        <v>0</v>
      </c>
      <c r="P33" s="9">
        <f t="shared" si="10"/>
        <v>0</v>
      </c>
      <c r="R33" s="9">
        <f>Summary!$J$33</f>
        <v>0</v>
      </c>
      <c r="S33" s="13">
        <f>[14]Results!I35</f>
        <v>0</v>
      </c>
      <c r="T33" s="9">
        <f t="shared" si="11"/>
        <v>0</v>
      </c>
      <c r="V33" s="9">
        <f>Summary!$L$33</f>
        <v>0</v>
      </c>
      <c r="W33" s="13">
        <f>[14]Results!H124</f>
        <v>0</v>
      </c>
      <c r="X33" s="9">
        <f t="shared" si="12"/>
        <v>0</v>
      </c>
    </row>
    <row r="34" spans="1:24" x14ac:dyDescent="0.2">
      <c r="A34" s="11" t="s">
        <v>74</v>
      </c>
      <c r="B34" s="9">
        <f>Summary!$B$34</f>
        <v>17412.424553640729</v>
      </c>
      <c r="C34" s="9">
        <f>[14]Results!C36</f>
        <v>17412.424553640729</v>
      </c>
      <c r="D34" s="9">
        <f t="shared" si="7"/>
        <v>0</v>
      </c>
      <c r="F34" s="9">
        <f>Summary!$D$34</f>
        <v>-3490.1945226639618</v>
      </c>
      <c r="G34" s="9">
        <f>[14]Results!D36</f>
        <v>-3490.1945226639618</v>
      </c>
      <c r="H34" s="9">
        <f t="shared" si="8"/>
        <v>0</v>
      </c>
      <c r="J34" s="9">
        <f>Summary!$F$34</f>
        <v>13922.230030976767</v>
      </c>
      <c r="K34" s="9">
        <f>[14]Results!G36</f>
        <v>13922.230030976767</v>
      </c>
      <c r="L34" s="9">
        <f t="shared" si="9"/>
        <v>0</v>
      </c>
      <c r="N34" s="9">
        <f>Summary!$H$34</f>
        <v>-776048.95839665306</v>
      </c>
      <c r="O34" s="13">
        <f>[14]Results!H36</f>
        <v>-776048.95839665306</v>
      </c>
      <c r="P34" s="9">
        <f t="shared" si="10"/>
        <v>0</v>
      </c>
      <c r="R34" s="9">
        <f>Summary!$J$34</f>
        <v>-762126.72836567624</v>
      </c>
      <c r="S34" s="13">
        <f>[14]Results!I36</f>
        <v>-762126.72836567624</v>
      </c>
      <c r="T34" s="9">
        <f t="shared" si="11"/>
        <v>0</v>
      </c>
      <c r="V34" s="9">
        <f>Summary!$L$34</f>
        <v>0</v>
      </c>
      <c r="W34" s="13">
        <f>[14]Results!H125</f>
        <v>0</v>
      </c>
      <c r="X34" s="9">
        <f t="shared" si="12"/>
        <v>0</v>
      </c>
    </row>
    <row r="35" spans="1:24" x14ac:dyDescent="0.2">
      <c r="A35" s="11" t="s">
        <v>75</v>
      </c>
      <c r="B35" s="7">
        <f>Summary!$B$35</f>
        <v>307222854.97562164</v>
      </c>
      <c r="C35" s="7">
        <f>[14]Results!C37</f>
        <v>307222854.97562164</v>
      </c>
      <c r="D35" s="7">
        <f t="shared" si="7"/>
        <v>0</v>
      </c>
      <c r="F35" s="7">
        <f>Summary!$D$35</f>
        <v>32687720.844984595</v>
      </c>
      <c r="G35" s="7">
        <f>[14]Results!D37</f>
        <v>32687720.786635105</v>
      </c>
      <c r="H35" s="7">
        <f t="shared" si="8"/>
        <v>-5.8349490165710449E-2</v>
      </c>
      <c r="J35" s="7">
        <f>Summary!$F$35</f>
        <v>339910575.82060623</v>
      </c>
      <c r="K35" s="7">
        <f>[14]Results!G37</f>
        <v>339910575.7622568</v>
      </c>
      <c r="L35" s="7">
        <f t="shared" si="9"/>
        <v>-5.8349430561065674E-2</v>
      </c>
      <c r="N35" s="7">
        <f>Summary!$H$35</f>
        <v>-43247326.939254448</v>
      </c>
      <c r="O35" s="228">
        <f>[14]Results!H37</f>
        <v>-43247327.165768325</v>
      </c>
      <c r="P35" s="7">
        <f t="shared" si="10"/>
        <v>-0.22651387751102448</v>
      </c>
      <c r="R35" s="7">
        <f>Summary!$J$35</f>
        <v>296663248.94597894</v>
      </c>
      <c r="S35" s="228">
        <f>[14]Results!I37</f>
        <v>296663248.59648848</v>
      </c>
      <c r="T35" s="7">
        <f t="shared" si="11"/>
        <v>-0.3494904637336731</v>
      </c>
      <c r="V35" s="7">
        <f>Summary!$L$35</f>
        <v>3638281.8266405291</v>
      </c>
      <c r="W35" s="228">
        <f>[14]Results!H126</f>
        <v>3638281.9889586489</v>
      </c>
      <c r="X35" s="7">
        <f t="shared" si="12"/>
        <v>0.16231811977922916</v>
      </c>
    </row>
    <row r="36" spans="1:24" x14ac:dyDescent="0.2">
      <c r="A36" s="11"/>
      <c r="B36" s="9"/>
      <c r="C36" s="9"/>
      <c r="D36" s="9"/>
      <c r="F36" s="9"/>
      <c r="G36" s="9"/>
      <c r="H36" s="9"/>
      <c r="J36" s="9"/>
      <c r="K36" s="9"/>
      <c r="L36" s="9"/>
      <c r="N36" s="9"/>
      <c r="O36" s="13">
        <f>[14]Results!H38</f>
        <v>0</v>
      </c>
      <c r="P36" s="9"/>
      <c r="R36" s="9"/>
      <c r="S36" s="13">
        <f>[14]Results!I38</f>
        <v>0</v>
      </c>
      <c r="T36" s="9"/>
      <c r="V36" s="9"/>
      <c r="W36" s="13">
        <f>[14]Results!H127</f>
        <v>0</v>
      </c>
      <c r="X36" s="9"/>
    </row>
    <row r="37" spans="1:24" ht="13.5" thickBot="1" x14ac:dyDescent="0.25">
      <c r="A37" s="11" t="s">
        <v>76</v>
      </c>
      <c r="B37" s="10">
        <f>Summary!$B$37</f>
        <v>40389777.94615829</v>
      </c>
      <c r="C37" s="10">
        <f>[14]Results!C39</f>
        <v>40389777.94615829</v>
      </c>
      <c r="D37" s="10">
        <f>C37-B37</f>
        <v>0</v>
      </c>
      <c r="F37" s="10">
        <f>Summary!$D$37</f>
        <v>14696665.378434006</v>
      </c>
      <c r="G37" s="10">
        <f>[14]Results!D39</f>
        <v>14696665.436783496</v>
      </c>
      <c r="H37" s="10">
        <f>G37-F37</f>
        <v>5.8349490165710449E-2</v>
      </c>
      <c r="J37" s="10">
        <f>Summary!$F$37</f>
        <v>55086443.324592352</v>
      </c>
      <c r="K37" s="10">
        <f>[14]Results!G39</f>
        <v>55086443.382941782</v>
      </c>
      <c r="L37" s="10">
        <f>K37-J37</f>
        <v>5.8349430561065674E-2</v>
      </c>
      <c r="N37" s="10">
        <f>Summary!$H$37</f>
        <v>-1236056.6605387777</v>
      </c>
      <c r="O37" s="229">
        <f>[14]Results!H39</f>
        <v>-1236056.4340249002</v>
      </c>
      <c r="P37" s="10">
        <f>O37-N37</f>
        <v>0.22651387751102448</v>
      </c>
      <c r="R37" s="10">
        <f>Summary!$J$37</f>
        <v>53850386.599426389</v>
      </c>
      <c r="S37" s="229">
        <f>[14]Results!I39</f>
        <v>53850386.948916852</v>
      </c>
      <c r="T37" s="10">
        <f>S37-R37</f>
        <v>0.3494904637336731</v>
      </c>
      <c r="V37" s="10">
        <f>Summary!$L$37</f>
        <v>5924919.8541250173</v>
      </c>
      <c r="W37" s="229">
        <f>[14]Results!H128</f>
        <v>5924920.1184590906</v>
      </c>
      <c r="X37" s="10">
        <f>W37-V37</f>
        <v>0.26433407329022884</v>
      </c>
    </row>
    <row r="38" spans="1:24" ht="13.5" thickTop="1" x14ac:dyDescent="0.2">
      <c r="A38" s="11"/>
      <c r="B38" s="9"/>
      <c r="C38" s="9"/>
      <c r="D38" s="9"/>
      <c r="F38" s="9"/>
      <c r="G38" s="9"/>
      <c r="H38" s="9"/>
      <c r="J38" s="9"/>
      <c r="K38" s="9"/>
      <c r="L38" s="9"/>
      <c r="N38" s="9"/>
      <c r="O38" s="13"/>
      <c r="P38" s="9"/>
      <c r="R38" s="9"/>
      <c r="S38" s="13"/>
      <c r="T38" s="9"/>
      <c r="V38" s="9"/>
      <c r="W38" s="13">
        <f>[14]Results!H129</f>
        <v>0</v>
      </c>
      <c r="X38" s="9"/>
    </row>
    <row r="39" spans="1:24" x14ac:dyDescent="0.2">
      <c r="A39" s="11" t="s">
        <v>77</v>
      </c>
      <c r="B39" s="9"/>
      <c r="C39" s="9"/>
      <c r="D39" s="9"/>
      <c r="F39" s="9"/>
      <c r="G39" s="9"/>
      <c r="H39" s="9"/>
      <c r="J39" s="9"/>
      <c r="K39" s="9"/>
      <c r="L39" s="9"/>
      <c r="N39" s="9"/>
      <c r="O39" s="13"/>
      <c r="P39" s="9"/>
      <c r="R39" s="9"/>
      <c r="S39" s="13"/>
      <c r="T39" s="9"/>
      <c r="V39" s="9"/>
      <c r="W39" s="13">
        <f>[14]Results!H130</f>
        <v>0</v>
      </c>
      <c r="X39" s="9"/>
    </row>
    <row r="40" spans="1:24" x14ac:dyDescent="0.2">
      <c r="A40" s="11" t="s">
        <v>78</v>
      </c>
      <c r="B40" s="9">
        <f>Summary!$B$40</f>
        <v>1647982661.0399942</v>
      </c>
      <c r="C40" s="9">
        <f>[14]Results!C42</f>
        <v>1647982661.0399942</v>
      </c>
      <c r="D40" s="9">
        <f t="shared" ref="D40:D51" si="13">C40-B40</f>
        <v>0</v>
      </c>
      <c r="F40" s="9">
        <f>Summary!$D$40</f>
        <v>40813248.065794274</v>
      </c>
      <c r="G40" s="9">
        <f>[14]Results!D42</f>
        <v>40813248.065794274</v>
      </c>
      <c r="H40" s="9">
        <f t="shared" ref="H40:H51" si="14">G40-F40</f>
        <v>0</v>
      </c>
      <c r="J40" s="9">
        <f>Summary!$F$40</f>
        <v>1688795909.1057885</v>
      </c>
      <c r="K40" s="9">
        <f>[14]Results!G42</f>
        <v>1688795909.1057885</v>
      </c>
      <c r="L40" s="9">
        <f t="shared" ref="L40:L51" si="15">K40-J40</f>
        <v>0</v>
      </c>
      <c r="N40" s="9">
        <f>Summary!$H$40</f>
        <v>21260243.746936575</v>
      </c>
      <c r="O40" s="13">
        <f>[14]Results!H42</f>
        <v>21260243.746936575</v>
      </c>
      <c r="P40" s="9">
        <f t="shared" ref="P40:P51" si="16">O40-N40</f>
        <v>0</v>
      </c>
      <c r="R40" s="9">
        <f>Summary!$J$40</f>
        <v>1710056152.852725</v>
      </c>
      <c r="S40" s="13">
        <f>[14]Results!I42</f>
        <v>1710056152.852725</v>
      </c>
      <c r="T40" s="9">
        <f t="shared" ref="T40:T51" si="17">S40-R40</f>
        <v>0</v>
      </c>
      <c r="V40" s="9">
        <f>Summary!$L$40</f>
        <v>0</v>
      </c>
      <c r="W40" s="13">
        <f>[14]Results!H131</f>
        <v>0</v>
      </c>
      <c r="X40" s="9">
        <f t="shared" ref="X40:X51" si="18">W40-V40</f>
        <v>0</v>
      </c>
    </row>
    <row r="41" spans="1:24" x14ac:dyDescent="0.2">
      <c r="A41" s="11" t="s">
        <v>79</v>
      </c>
      <c r="B41" s="9">
        <f>Summary!$B$41</f>
        <v>234061.84233843297</v>
      </c>
      <c r="C41" s="9">
        <f>[14]Results!C43</f>
        <v>234061.84233843297</v>
      </c>
      <c r="D41" s="9">
        <f t="shared" si="13"/>
        <v>0</v>
      </c>
      <c r="F41" s="9">
        <f>Summary!$D$41</f>
        <v>0</v>
      </c>
      <c r="G41" s="9">
        <f>[14]Results!D43</f>
        <v>0</v>
      </c>
      <c r="H41" s="9">
        <f t="shared" si="14"/>
        <v>0</v>
      </c>
      <c r="J41" s="9">
        <f>Summary!$F$41</f>
        <v>234061.84233843297</v>
      </c>
      <c r="K41" s="9">
        <f>[14]Results!G43</f>
        <v>234061.84233843297</v>
      </c>
      <c r="L41" s="9">
        <f t="shared" si="15"/>
        <v>0</v>
      </c>
      <c r="N41" s="9">
        <f>Summary!$H$41</f>
        <v>0</v>
      </c>
      <c r="O41" s="13">
        <f>[14]Results!H43</f>
        <v>0</v>
      </c>
      <c r="P41" s="9">
        <f t="shared" si="16"/>
        <v>0</v>
      </c>
      <c r="R41" s="9">
        <f>Summary!$J$41</f>
        <v>234061.84233843297</v>
      </c>
      <c r="S41" s="13">
        <f>[14]Results!I43</f>
        <v>234061.84233843297</v>
      </c>
      <c r="T41" s="9">
        <f t="shared" si="17"/>
        <v>0</v>
      </c>
      <c r="V41" s="9">
        <f>Summary!$L$41</f>
        <v>0</v>
      </c>
      <c r="W41" s="13">
        <f>[14]Results!H132</f>
        <v>0</v>
      </c>
      <c r="X41" s="9">
        <f t="shared" si="18"/>
        <v>0</v>
      </c>
    </row>
    <row r="42" spans="1:24" x14ac:dyDescent="0.2">
      <c r="A42" s="11" t="s">
        <v>80</v>
      </c>
      <c r="B42" s="9">
        <f>Summary!$B$42</f>
        <v>13696535.688252786</v>
      </c>
      <c r="C42" s="9">
        <f>[14]Results!C44</f>
        <v>13696535.688252786</v>
      </c>
      <c r="D42" s="9">
        <f t="shared" si="13"/>
        <v>0</v>
      </c>
      <c r="F42" s="9">
        <f>Summary!$D$42</f>
        <v>-5468734.5442685261</v>
      </c>
      <c r="G42" s="9">
        <f>[14]Results!D44</f>
        <v>-5468734.5442685261</v>
      </c>
      <c r="H42" s="9">
        <f t="shared" si="14"/>
        <v>0</v>
      </c>
      <c r="J42" s="9">
        <f>Summary!$F$42</f>
        <v>8227801.14398426</v>
      </c>
      <c r="K42" s="9">
        <f>[14]Results!G44</f>
        <v>8227801.14398426</v>
      </c>
      <c r="L42" s="9">
        <f t="shared" si="15"/>
        <v>0</v>
      </c>
      <c r="N42" s="9">
        <f>Summary!$H$42</f>
        <v>-202651.71009212057</v>
      </c>
      <c r="O42" s="13">
        <f>[14]Results!H44</f>
        <v>-202651.71009212057</v>
      </c>
      <c r="P42" s="9">
        <f t="shared" si="16"/>
        <v>0</v>
      </c>
      <c r="R42" s="9">
        <f>Summary!$J$42</f>
        <v>8025149.4338921392</v>
      </c>
      <c r="S42" s="13">
        <f>[14]Results!I44</f>
        <v>8025149.4338921392</v>
      </c>
      <c r="T42" s="9">
        <f t="shared" si="17"/>
        <v>0</v>
      </c>
      <c r="V42" s="9">
        <f>Summary!$L$42</f>
        <v>0</v>
      </c>
      <c r="W42" s="13">
        <f>[14]Results!H133</f>
        <v>0</v>
      </c>
      <c r="X42" s="9">
        <f t="shared" si="18"/>
        <v>0</v>
      </c>
    </row>
    <row r="43" spans="1:24" x14ac:dyDescent="0.2">
      <c r="A43" s="11" t="s">
        <v>81</v>
      </c>
      <c r="B43" s="9">
        <f>Summary!$B$43</f>
        <v>0</v>
      </c>
      <c r="C43" s="9">
        <f>[14]Results!C45</f>
        <v>0</v>
      </c>
      <c r="D43" s="9">
        <f t="shared" si="13"/>
        <v>0</v>
      </c>
      <c r="F43" s="9">
        <f>Summary!$D$43</f>
        <v>0</v>
      </c>
      <c r="G43" s="9">
        <f>[14]Results!D45</f>
        <v>0</v>
      </c>
      <c r="H43" s="9">
        <f t="shared" si="14"/>
        <v>0</v>
      </c>
      <c r="J43" s="9">
        <f>Summary!$F$43</f>
        <v>0</v>
      </c>
      <c r="K43" s="9">
        <f>[14]Results!G45</f>
        <v>0</v>
      </c>
      <c r="L43" s="9">
        <f t="shared" si="15"/>
        <v>0</v>
      </c>
      <c r="N43" s="9">
        <f>Summary!$H$43</f>
        <v>0</v>
      </c>
      <c r="O43" s="13">
        <f>[14]Results!H45</f>
        <v>0</v>
      </c>
      <c r="P43" s="9">
        <f t="shared" si="16"/>
        <v>0</v>
      </c>
      <c r="R43" s="9">
        <f>Summary!$J$43</f>
        <v>0</v>
      </c>
      <c r="S43" s="13">
        <f>[14]Results!I45</f>
        <v>0</v>
      </c>
      <c r="T43" s="9">
        <f t="shared" si="17"/>
        <v>0</v>
      </c>
      <c r="V43" s="9">
        <f>Summary!$L$43</f>
        <v>0</v>
      </c>
      <c r="W43" s="13">
        <f>[14]Results!H134</f>
        <v>0</v>
      </c>
      <c r="X43" s="9">
        <f t="shared" si="18"/>
        <v>0</v>
      </c>
    </row>
    <row r="44" spans="1:24" x14ac:dyDescent="0.2">
      <c r="A44" s="11" t="s">
        <v>82</v>
      </c>
      <c r="B44" s="9">
        <f>Summary!$B$44</f>
        <v>0</v>
      </c>
      <c r="C44" s="9">
        <f>[14]Results!C46</f>
        <v>0</v>
      </c>
      <c r="D44" s="9">
        <f t="shared" si="13"/>
        <v>0</v>
      </c>
      <c r="F44" s="9">
        <f>Summary!$D$44</f>
        <v>0</v>
      </c>
      <c r="G44" s="9">
        <f>[14]Results!D46</f>
        <v>0</v>
      </c>
      <c r="H44" s="9">
        <f t="shared" si="14"/>
        <v>0</v>
      </c>
      <c r="J44" s="9">
        <f>Summary!$F$44</f>
        <v>0</v>
      </c>
      <c r="K44" s="9">
        <f>[14]Results!G46</f>
        <v>0</v>
      </c>
      <c r="L44" s="9">
        <f t="shared" si="15"/>
        <v>0</v>
      </c>
      <c r="N44" s="9">
        <f>Summary!$H$44</f>
        <v>0</v>
      </c>
      <c r="O44" s="13">
        <f>[14]Results!H46</f>
        <v>0</v>
      </c>
      <c r="P44" s="9">
        <f t="shared" si="16"/>
        <v>0</v>
      </c>
      <c r="R44" s="9">
        <f>Summary!$J$44</f>
        <v>0</v>
      </c>
      <c r="S44" s="13">
        <f>[14]Results!I46</f>
        <v>0</v>
      </c>
      <c r="T44" s="9">
        <f t="shared" si="17"/>
        <v>0</v>
      </c>
      <c r="V44" s="9">
        <f>Summary!$L$44</f>
        <v>0</v>
      </c>
      <c r="W44" s="13">
        <f>[14]Results!H135</f>
        <v>0</v>
      </c>
      <c r="X44" s="9">
        <f t="shared" si="18"/>
        <v>0</v>
      </c>
    </row>
    <row r="45" spans="1:24" x14ac:dyDescent="0.2">
      <c r="A45" s="11" t="s">
        <v>83</v>
      </c>
      <c r="B45" s="9">
        <f>Summary!$B$45</f>
        <v>1743278.7185106373</v>
      </c>
      <c r="C45" s="9">
        <f>[14]Results!C47</f>
        <v>1743278.7185106373</v>
      </c>
      <c r="D45" s="9">
        <f t="shared" si="13"/>
        <v>0</v>
      </c>
      <c r="F45" s="9">
        <f>Summary!$D$45</f>
        <v>-1743278.7185106392</v>
      </c>
      <c r="G45" s="9">
        <f>[14]Results!D47</f>
        <v>-1743278.7185106392</v>
      </c>
      <c r="H45" s="9">
        <f t="shared" si="14"/>
        <v>0</v>
      </c>
      <c r="J45" s="9">
        <f>Summary!$F$45</f>
        <v>-1.862645149230957E-9</v>
      </c>
      <c r="K45" s="9">
        <f>[14]Results!G47</f>
        <v>-1.862645149230957E-9</v>
      </c>
      <c r="L45" s="9">
        <f t="shared" si="15"/>
        <v>0</v>
      </c>
      <c r="N45" s="9">
        <f>Summary!$H$45</f>
        <v>0</v>
      </c>
      <c r="O45" s="13">
        <f>[14]Results!H47</f>
        <v>0</v>
      </c>
      <c r="P45" s="9">
        <f t="shared" si="16"/>
        <v>0</v>
      </c>
      <c r="R45" s="9">
        <f>Summary!$J$45</f>
        <v>-1.862645149230957E-9</v>
      </c>
      <c r="S45" s="13">
        <f>[14]Results!I47</f>
        <v>-1.862645149230957E-9</v>
      </c>
      <c r="T45" s="9">
        <f t="shared" si="17"/>
        <v>0</v>
      </c>
      <c r="V45" s="9">
        <f>Summary!$L$45</f>
        <v>0</v>
      </c>
      <c r="W45" s="13">
        <f>[14]Results!H136</f>
        <v>0</v>
      </c>
      <c r="X45" s="9">
        <f t="shared" si="18"/>
        <v>0</v>
      </c>
    </row>
    <row r="46" spans="1:24" x14ac:dyDescent="0.2">
      <c r="A46" s="11" t="s">
        <v>84</v>
      </c>
      <c r="B46" s="9">
        <f>Summary!$B$46</f>
        <v>6914148.5720945587</v>
      </c>
      <c r="C46" s="9">
        <f>[14]Results!C48</f>
        <v>6914148.5720945587</v>
      </c>
      <c r="D46" s="9">
        <f t="shared" si="13"/>
        <v>0</v>
      </c>
      <c r="F46" s="9">
        <f>Summary!$D$46</f>
        <v>-6914148.5720945681</v>
      </c>
      <c r="G46" s="9">
        <f>[14]Results!D48</f>
        <v>-6914148.5720945681</v>
      </c>
      <c r="H46" s="9">
        <f t="shared" si="14"/>
        <v>0</v>
      </c>
      <c r="J46" s="9">
        <f>Summary!$F$46</f>
        <v>-9.3132257461547852E-9</v>
      </c>
      <c r="K46" s="9">
        <f>[14]Results!G48</f>
        <v>-9.3132257461547852E-9</v>
      </c>
      <c r="L46" s="9">
        <f t="shared" si="15"/>
        <v>0</v>
      </c>
      <c r="N46" s="9">
        <f>Summary!$H$46</f>
        <v>0</v>
      </c>
      <c r="O46" s="13">
        <f>[14]Results!H48</f>
        <v>0</v>
      </c>
      <c r="P46" s="9">
        <f t="shared" si="16"/>
        <v>0</v>
      </c>
      <c r="R46" s="9">
        <f>Summary!$J$46</f>
        <v>-9.3132257461547852E-9</v>
      </c>
      <c r="S46" s="13">
        <f>[14]Results!I48</f>
        <v>-9.3132257461547852E-9</v>
      </c>
      <c r="T46" s="9">
        <f t="shared" si="17"/>
        <v>0</v>
      </c>
      <c r="V46" s="9">
        <f>Summary!$L$46</f>
        <v>0</v>
      </c>
      <c r="W46" s="13">
        <f>[14]Results!H137</f>
        <v>0</v>
      </c>
      <c r="X46" s="9">
        <f t="shared" si="18"/>
        <v>0</v>
      </c>
    </row>
    <row r="47" spans="1:24" x14ac:dyDescent="0.2">
      <c r="A47" s="11" t="s">
        <v>85</v>
      </c>
      <c r="B47" s="9">
        <f>Summary!$B$47</f>
        <v>6926884.9267722946</v>
      </c>
      <c r="C47" s="9">
        <f>[14]Results!C49</f>
        <v>6926884.9267722946</v>
      </c>
      <c r="D47" s="9">
        <f t="shared" si="13"/>
        <v>0</v>
      </c>
      <c r="F47" s="9">
        <f>Summary!$D$47</f>
        <v>-6926884.9266495155</v>
      </c>
      <c r="G47" s="9">
        <f>[14]Results!D49</f>
        <v>-6926884.9266495155</v>
      </c>
      <c r="H47" s="9">
        <f t="shared" si="14"/>
        <v>0</v>
      </c>
      <c r="J47" s="9">
        <f>Summary!$F$47</f>
        <v>1.2277904897928238E-4</v>
      </c>
      <c r="K47" s="9">
        <f>[14]Results!G49</f>
        <v>1.2277904897928238E-4</v>
      </c>
      <c r="L47" s="9">
        <f t="shared" si="15"/>
        <v>0</v>
      </c>
      <c r="N47" s="9">
        <f>Summary!$H$47</f>
        <v>0</v>
      </c>
      <c r="O47" s="13">
        <f>[14]Results!H49</f>
        <v>0</v>
      </c>
      <c r="P47" s="9">
        <f t="shared" si="16"/>
        <v>0</v>
      </c>
      <c r="R47" s="9">
        <f>Summary!$J$47</f>
        <v>1.2277904897928238E-4</v>
      </c>
      <c r="S47" s="13">
        <f>[14]Results!I49</f>
        <v>1.2277904897928238E-4</v>
      </c>
      <c r="T47" s="9">
        <f t="shared" si="17"/>
        <v>0</v>
      </c>
      <c r="V47" s="9">
        <f>Summary!$L$47</f>
        <v>0</v>
      </c>
      <c r="W47" s="13">
        <f>[14]Results!H138</f>
        <v>0</v>
      </c>
      <c r="X47" s="9">
        <f t="shared" si="18"/>
        <v>0</v>
      </c>
    </row>
    <row r="48" spans="1:24" x14ac:dyDescent="0.2">
      <c r="A48" s="11" t="s">
        <v>86</v>
      </c>
      <c r="B48" s="9">
        <f>Summary!$B$48</f>
        <v>2438703.9515725183</v>
      </c>
      <c r="C48" s="9">
        <f>[14]Results!C50</f>
        <v>2438703.9515725183</v>
      </c>
      <c r="D48" s="9">
        <f t="shared" si="13"/>
        <v>0</v>
      </c>
      <c r="F48" s="9">
        <f>Summary!$D$48</f>
        <v>28579779.133268069</v>
      </c>
      <c r="G48" s="9">
        <f>[14]Results!D50</f>
        <v>28579779.133268081</v>
      </c>
      <c r="H48" s="9">
        <f t="shared" si="14"/>
        <v>0</v>
      </c>
      <c r="J48" s="9">
        <f>Summary!$F$48</f>
        <v>31018483.084840588</v>
      </c>
      <c r="K48" s="9">
        <f>[14]Results!G50</f>
        <v>31018483.084840599</v>
      </c>
      <c r="L48" s="9">
        <f t="shared" si="15"/>
        <v>0</v>
      </c>
      <c r="N48" s="9">
        <f>Summary!$H$48</f>
        <v>0</v>
      </c>
      <c r="O48" s="13">
        <f>[14]Results!H50</f>
        <v>0</v>
      </c>
      <c r="P48" s="9">
        <f t="shared" si="16"/>
        <v>0</v>
      </c>
      <c r="R48" s="9">
        <f>Summary!$J$48</f>
        <v>31018483.084840588</v>
      </c>
      <c r="S48" s="13">
        <f>[14]Results!I50</f>
        <v>31018483.084840599</v>
      </c>
      <c r="T48" s="9">
        <f t="shared" si="17"/>
        <v>0</v>
      </c>
      <c r="V48" s="9">
        <f>Summary!$L$48</f>
        <v>0</v>
      </c>
      <c r="W48" s="13">
        <f>[14]Results!H139</f>
        <v>0</v>
      </c>
      <c r="X48" s="9">
        <f t="shared" si="18"/>
        <v>0</v>
      </c>
    </row>
    <row r="49" spans="1:24" x14ac:dyDescent="0.2">
      <c r="A49" s="11" t="s">
        <v>87</v>
      </c>
      <c r="B49" s="9">
        <f>Summary!$B$49</f>
        <v>1932316.2836254868</v>
      </c>
      <c r="C49" s="9">
        <f>[14]Results!C51</f>
        <v>1932316.2836254868</v>
      </c>
      <c r="D49" s="9">
        <f t="shared" si="13"/>
        <v>0</v>
      </c>
      <c r="F49" s="9">
        <f>Summary!$D$49</f>
        <v>0</v>
      </c>
      <c r="G49" s="9">
        <f>[14]Results!D51</f>
        <v>0</v>
      </c>
      <c r="H49" s="9">
        <f t="shared" si="14"/>
        <v>0</v>
      </c>
      <c r="J49" s="9">
        <f>Summary!$F$49</f>
        <v>1932316.2836254868</v>
      </c>
      <c r="K49" s="9">
        <f>[14]Results!G51</f>
        <v>1932316.2836254868</v>
      </c>
      <c r="L49" s="9">
        <f t="shared" si="15"/>
        <v>0</v>
      </c>
      <c r="N49" s="9">
        <f>Summary!$H$49</f>
        <v>0</v>
      </c>
      <c r="O49" s="13">
        <f>[14]Results!H51</f>
        <v>0</v>
      </c>
      <c r="P49" s="9">
        <f t="shared" si="16"/>
        <v>0</v>
      </c>
      <c r="R49" s="9">
        <f>Summary!$J$49</f>
        <v>1932316.2836254868</v>
      </c>
      <c r="S49" s="13">
        <f>[14]Results!I51</f>
        <v>1932316.2836254868</v>
      </c>
      <c r="T49" s="9">
        <f t="shared" si="17"/>
        <v>0</v>
      </c>
      <c r="V49" s="9">
        <f>Summary!$L$49</f>
        <v>0</v>
      </c>
      <c r="W49" s="13">
        <f>[14]Results!H140</f>
        <v>0</v>
      </c>
      <c r="X49" s="9">
        <f t="shared" si="18"/>
        <v>0</v>
      </c>
    </row>
    <row r="50" spans="1:24" x14ac:dyDescent="0.2">
      <c r="A50" s="11" t="s">
        <v>88</v>
      </c>
      <c r="B50" s="9">
        <f>Summary!$B$50</f>
        <v>0</v>
      </c>
      <c r="C50" s="9">
        <f>[14]Results!C52</f>
        <v>0</v>
      </c>
      <c r="D50" s="9">
        <f t="shared" si="13"/>
        <v>0</v>
      </c>
      <c r="F50" s="9">
        <f>Summary!$D$50</f>
        <v>0</v>
      </c>
      <c r="G50" s="9">
        <f>[14]Results!D52</f>
        <v>0</v>
      </c>
      <c r="H50" s="9">
        <f t="shared" si="14"/>
        <v>0</v>
      </c>
      <c r="J50" s="9">
        <f>Summary!$F$50</f>
        <v>0</v>
      </c>
      <c r="K50" s="9">
        <f>[14]Results!G52</f>
        <v>0</v>
      </c>
      <c r="L50" s="9">
        <f t="shared" si="15"/>
        <v>0</v>
      </c>
      <c r="N50" s="9">
        <f>Summary!$H$50</f>
        <v>0</v>
      </c>
      <c r="O50" s="13">
        <f>[14]Results!H52</f>
        <v>0</v>
      </c>
      <c r="P50" s="9">
        <f t="shared" si="16"/>
        <v>0</v>
      </c>
      <c r="R50" s="9">
        <f>Summary!$J$50</f>
        <v>0</v>
      </c>
      <c r="S50" s="13">
        <f>[14]Results!I52</f>
        <v>0</v>
      </c>
      <c r="T50" s="9">
        <f t="shared" si="17"/>
        <v>0</v>
      </c>
      <c r="V50" s="9">
        <f>Summary!$L$50</f>
        <v>0</v>
      </c>
      <c r="W50" s="13">
        <f>[14]Results!H141</f>
        <v>0</v>
      </c>
      <c r="X50" s="9">
        <f t="shared" si="18"/>
        <v>0</v>
      </c>
    </row>
    <row r="51" spans="1:24" ht="13.5" thickBot="1" x14ac:dyDescent="0.25">
      <c r="A51" s="11" t="s">
        <v>89</v>
      </c>
      <c r="B51" s="10">
        <f>Summary!$B$51</f>
        <v>1681868591.0231607</v>
      </c>
      <c r="C51" s="10">
        <f>[14]Results!C53</f>
        <v>1681868591.0231607</v>
      </c>
      <c r="D51" s="10">
        <f t="shared" si="13"/>
        <v>0</v>
      </c>
      <c r="F51" s="10">
        <f>Summary!$D$51</f>
        <v>48339980.437539093</v>
      </c>
      <c r="G51" s="10">
        <f>[14]Results!D53</f>
        <v>48339980.437539101</v>
      </c>
      <c r="H51" s="10">
        <f t="shared" si="14"/>
        <v>0</v>
      </c>
      <c r="J51" s="10">
        <f>Summary!$F$51</f>
        <v>1730208571.4607</v>
      </c>
      <c r="K51" s="10">
        <f>[14]Results!G53</f>
        <v>1730208571.4607</v>
      </c>
      <c r="L51" s="10">
        <f t="shared" si="15"/>
        <v>0</v>
      </c>
      <c r="N51" s="10">
        <f>Summary!$H$51</f>
        <v>21057592.036844455</v>
      </c>
      <c r="O51" s="229">
        <f>[14]Results!H53</f>
        <v>21057592.036844455</v>
      </c>
      <c r="P51" s="10">
        <f t="shared" si="16"/>
        <v>0</v>
      </c>
      <c r="R51" s="10">
        <f>Summary!$J$51</f>
        <v>1751266163.4975445</v>
      </c>
      <c r="S51" s="229">
        <f>[14]Results!I53</f>
        <v>1751266163.4975445</v>
      </c>
      <c r="T51" s="10">
        <f t="shared" si="17"/>
        <v>0</v>
      </c>
      <c r="V51" s="10">
        <f>Summary!$L$51</f>
        <v>0</v>
      </c>
      <c r="W51" s="229">
        <f>[14]Results!H142</f>
        <v>0</v>
      </c>
      <c r="X51" s="10">
        <f t="shared" si="18"/>
        <v>0</v>
      </c>
    </row>
    <row r="52" spans="1:24" ht="13.5" thickTop="1" x14ac:dyDescent="0.2">
      <c r="A52" s="11"/>
      <c r="B52" s="9"/>
      <c r="C52" s="9"/>
      <c r="D52" s="9"/>
      <c r="F52" s="9"/>
      <c r="G52" s="9"/>
      <c r="H52" s="9"/>
      <c r="J52" s="9"/>
      <c r="K52" s="9"/>
      <c r="L52" s="9"/>
      <c r="N52" s="9"/>
      <c r="O52" s="13"/>
      <c r="P52" s="9"/>
      <c r="R52" s="9"/>
      <c r="S52" s="13"/>
      <c r="T52" s="9"/>
      <c r="V52" s="9"/>
      <c r="W52" s="13">
        <f>[14]Results!H143</f>
        <v>0</v>
      </c>
      <c r="X52" s="9"/>
    </row>
    <row r="53" spans="1:24" x14ac:dyDescent="0.2">
      <c r="A53" s="11" t="s">
        <v>90</v>
      </c>
      <c r="B53" s="9"/>
      <c r="C53" s="9"/>
      <c r="D53" s="9"/>
      <c r="F53" s="9"/>
      <c r="G53" s="9"/>
      <c r="H53" s="9"/>
      <c r="J53" s="9"/>
      <c r="K53" s="9"/>
      <c r="L53" s="9"/>
      <c r="N53" s="9"/>
      <c r="O53" s="13"/>
      <c r="P53" s="9"/>
      <c r="R53" s="9"/>
      <c r="S53" s="13"/>
      <c r="T53" s="9"/>
      <c r="V53" s="9"/>
      <c r="W53" s="13">
        <f>[14]Results!H144</f>
        <v>0</v>
      </c>
      <c r="X53" s="9"/>
    </row>
    <row r="54" spans="1:24" x14ac:dyDescent="0.2">
      <c r="A54" s="11" t="s">
        <v>91</v>
      </c>
      <c r="B54" s="9">
        <f>Summary!$B$54</f>
        <v>-609540662.46340728</v>
      </c>
      <c r="C54" s="9">
        <f>[14]Results!C56</f>
        <v>-609540662.46340728</v>
      </c>
      <c r="D54" s="9">
        <f t="shared" ref="D54:D62" si="19">C54-B54</f>
        <v>0</v>
      </c>
      <c r="F54" s="9">
        <f>Summary!$D$54</f>
        <v>-22052912.761320852</v>
      </c>
      <c r="G54" s="9">
        <f>[14]Results!D56</f>
        <v>-22052912.761320852</v>
      </c>
      <c r="H54" s="9">
        <f t="shared" ref="H54:H62" si="20">G54-F54</f>
        <v>0</v>
      </c>
      <c r="J54" s="9">
        <f>Summary!$F$54</f>
        <v>-631593575.22472811</v>
      </c>
      <c r="K54" s="9">
        <f>[14]Results!G56</f>
        <v>-631593575.22472811</v>
      </c>
      <c r="L54" s="9">
        <f t="shared" ref="L54:L62" si="21">K54-J54</f>
        <v>0</v>
      </c>
      <c r="N54" s="9">
        <f>Summary!$H$54</f>
        <v>-678296.13492404297</v>
      </c>
      <c r="O54" s="13">
        <f>[14]Results!H56</f>
        <v>-678296.13492404297</v>
      </c>
      <c r="P54" s="9">
        <f t="shared" ref="P54:P62" si="22">O54-N54</f>
        <v>0</v>
      </c>
      <c r="R54" s="9">
        <f>Summary!$J$54</f>
        <v>-632271871.35965216</v>
      </c>
      <c r="S54" s="13">
        <f>[14]Results!I56</f>
        <v>-632271871.35965216</v>
      </c>
      <c r="T54" s="9">
        <f t="shared" ref="T54:T62" si="23">S54-R54</f>
        <v>0</v>
      </c>
      <c r="V54" s="9">
        <f>Summary!$L$54</f>
        <v>0</v>
      </c>
      <c r="W54" s="13">
        <f>[14]Results!H145</f>
        <v>0</v>
      </c>
      <c r="X54" s="9">
        <f t="shared" ref="X54:X62" si="24">W54-V54</f>
        <v>0</v>
      </c>
    </row>
    <row r="55" spans="1:24" x14ac:dyDescent="0.2">
      <c r="A55" s="11" t="s">
        <v>92</v>
      </c>
      <c r="B55" s="9">
        <f>Summary!$B$55</f>
        <v>-46230330.034970716</v>
      </c>
      <c r="C55" s="9">
        <f>[14]Results!C57</f>
        <v>-46230330.034970716</v>
      </c>
      <c r="D55" s="9">
        <f t="shared" si="19"/>
        <v>0</v>
      </c>
      <c r="F55" s="9">
        <f>Summary!$D$55</f>
        <v>0</v>
      </c>
      <c r="G55" s="9">
        <f>[14]Results!D57</f>
        <v>0</v>
      </c>
      <c r="H55" s="9">
        <f t="shared" si="20"/>
        <v>0</v>
      </c>
      <c r="J55" s="9">
        <f>Summary!$F$55</f>
        <v>-46230330.034970716</v>
      </c>
      <c r="K55" s="9">
        <f>[14]Results!G57</f>
        <v>-46230330.034970716</v>
      </c>
      <c r="L55" s="9">
        <f t="shared" si="21"/>
        <v>0</v>
      </c>
      <c r="N55" s="9">
        <f>Summary!$H$55</f>
        <v>0</v>
      </c>
      <c r="O55" s="13">
        <f>[14]Results!H57</f>
        <v>0</v>
      </c>
      <c r="P55" s="9">
        <f t="shared" si="22"/>
        <v>0</v>
      </c>
      <c r="R55" s="9">
        <f>Summary!$J$55</f>
        <v>-46230330.034970716</v>
      </c>
      <c r="S55" s="13">
        <f>[14]Results!I57</f>
        <v>-46230330.034970716</v>
      </c>
      <c r="T55" s="9">
        <f t="shared" si="23"/>
        <v>0</v>
      </c>
      <c r="V55" s="9">
        <f>Summary!$L$55</f>
        <v>0</v>
      </c>
      <c r="W55" s="13">
        <f>[14]Results!H146</f>
        <v>0</v>
      </c>
      <c r="X55" s="9">
        <f t="shared" si="24"/>
        <v>0</v>
      </c>
    </row>
    <row r="56" spans="1:24" x14ac:dyDescent="0.2">
      <c r="A56" s="11" t="s">
        <v>93</v>
      </c>
      <c r="B56" s="9">
        <f>Summary!$B$56</f>
        <v>-231233127.40146789</v>
      </c>
      <c r="C56" s="9">
        <f>[14]Results!C58</f>
        <v>-231233127.40146789</v>
      </c>
      <c r="D56" s="9">
        <f t="shared" si="19"/>
        <v>0</v>
      </c>
      <c r="F56" s="9">
        <f>Summary!$D$56</f>
        <v>-13518776.472470958</v>
      </c>
      <c r="G56" s="9">
        <f>[14]Results!D58</f>
        <v>-13518776.296315685</v>
      </c>
      <c r="H56" s="9">
        <f t="shared" si="20"/>
        <v>0.17615527287125587</v>
      </c>
      <c r="J56" s="9">
        <f>Summary!$F$56</f>
        <v>-244751903.87393886</v>
      </c>
      <c r="K56" s="9">
        <f>[14]Results!G58</f>
        <v>-244751903.69778359</v>
      </c>
      <c r="L56" s="9">
        <f t="shared" si="21"/>
        <v>0.17615526914596558</v>
      </c>
      <c r="N56" s="9">
        <f>Summary!$H$56</f>
        <v>-1822838.6024499815</v>
      </c>
      <c r="O56" s="13">
        <f>[14]Results!H58</f>
        <v>-1822838.6024499815</v>
      </c>
      <c r="P56" s="9">
        <f t="shared" si="22"/>
        <v>0</v>
      </c>
      <c r="R56" s="9">
        <f>Summary!$J$56</f>
        <v>-246574742.47638884</v>
      </c>
      <c r="S56" s="13">
        <f>[14]Results!I58</f>
        <v>-246574742.30023357</v>
      </c>
      <c r="T56" s="9">
        <f t="shared" si="23"/>
        <v>0.17615526914596558</v>
      </c>
      <c r="V56" s="9">
        <f>Summary!$L$56</f>
        <v>0</v>
      </c>
      <c r="W56" s="13">
        <f>[14]Results!H147</f>
        <v>0</v>
      </c>
      <c r="X56" s="9">
        <f t="shared" si="24"/>
        <v>0</v>
      </c>
    </row>
    <row r="57" spans="1:24" x14ac:dyDescent="0.2">
      <c r="A57" s="11" t="s">
        <v>94</v>
      </c>
      <c r="B57" s="9">
        <f>Summary!$B$57</f>
        <v>-248420.79258380539</v>
      </c>
      <c r="C57" s="9">
        <f>[14]Results!C59</f>
        <v>-248420.79258380539</v>
      </c>
      <c r="D57" s="9">
        <f t="shared" si="19"/>
        <v>0</v>
      </c>
      <c r="F57" s="9">
        <f>Summary!$D$57</f>
        <v>1645.6848</v>
      </c>
      <c r="G57" s="9">
        <f>[14]Results!D59</f>
        <v>1645.6848</v>
      </c>
      <c r="H57" s="9">
        <f t="shared" si="20"/>
        <v>0</v>
      </c>
      <c r="J57" s="9">
        <f>Summary!$F$57</f>
        <v>-246775.1077838054</v>
      </c>
      <c r="K57" s="9">
        <f>[14]Results!G59</f>
        <v>-246775.1077838054</v>
      </c>
      <c r="L57" s="9">
        <f t="shared" si="21"/>
        <v>0</v>
      </c>
      <c r="N57" s="9">
        <f>Summary!$H$57</f>
        <v>0</v>
      </c>
      <c r="O57" s="13">
        <f>[14]Results!H59</f>
        <v>0</v>
      </c>
      <c r="P57" s="9">
        <f t="shared" si="22"/>
        <v>0</v>
      </c>
      <c r="R57" s="9">
        <f>Summary!$J$57</f>
        <v>-246775.1077838054</v>
      </c>
      <c r="S57" s="13">
        <f>[14]Results!I59</f>
        <v>-246775.1077838054</v>
      </c>
      <c r="T57" s="9">
        <f t="shared" si="23"/>
        <v>0</v>
      </c>
      <c r="V57" s="9">
        <f>Summary!$L$57</f>
        <v>0</v>
      </c>
      <c r="W57" s="13">
        <f>[14]Results!H148</f>
        <v>0</v>
      </c>
      <c r="X57" s="9">
        <f t="shared" si="24"/>
        <v>0</v>
      </c>
    </row>
    <row r="58" spans="1:24" x14ac:dyDescent="0.2">
      <c r="A58" s="11" t="s">
        <v>95</v>
      </c>
      <c r="B58" s="9">
        <f>Summary!$B$58</f>
        <v>-7410.1812785572438</v>
      </c>
      <c r="C58" s="9">
        <f>[14]Results!C60</f>
        <v>-7410.1812785572438</v>
      </c>
      <c r="D58" s="9">
        <f t="shared" si="19"/>
        <v>0</v>
      </c>
      <c r="F58" s="9">
        <f>Summary!$D$58</f>
        <v>-481414.22831967368</v>
      </c>
      <c r="G58" s="9">
        <f>[14]Results!D60</f>
        <v>-481414.22831967159</v>
      </c>
      <c r="H58" s="9">
        <f t="shared" si="20"/>
        <v>2.0954757928848267E-9</v>
      </c>
      <c r="J58" s="9">
        <f>Summary!$F$58</f>
        <v>-488824.40959823091</v>
      </c>
      <c r="K58" s="9">
        <f>[14]Results!G60</f>
        <v>-488824.40959822881</v>
      </c>
      <c r="L58" s="9">
        <f t="shared" si="21"/>
        <v>2.0954757928848267E-9</v>
      </c>
      <c r="N58" s="9">
        <f>Summary!$H$58</f>
        <v>0</v>
      </c>
      <c r="O58" s="13">
        <f>[14]Results!H60</f>
        <v>0</v>
      </c>
      <c r="P58" s="9">
        <f t="shared" si="22"/>
        <v>0</v>
      </c>
      <c r="R58" s="9">
        <f>Summary!$J$58</f>
        <v>-488824.40959823091</v>
      </c>
      <c r="S58" s="13">
        <f>[14]Results!I60</f>
        <v>-488824.40959822881</v>
      </c>
      <c r="T58" s="9">
        <f t="shared" si="23"/>
        <v>2.0954757928848267E-9</v>
      </c>
      <c r="V58" s="9">
        <f>Summary!$L$58</f>
        <v>0</v>
      </c>
      <c r="W58" s="13">
        <f>[14]Results!H149</f>
        <v>0</v>
      </c>
      <c r="X58" s="9">
        <f t="shared" si="24"/>
        <v>0</v>
      </c>
    </row>
    <row r="59" spans="1:24" x14ac:dyDescent="0.2">
      <c r="A59" s="11" t="s">
        <v>96</v>
      </c>
      <c r="B59" s="9">
        <f>Summary!$B$59</f>
        <v>0</v>
      </c>
      <c r="C59" s="9">
        <f>[14]Results!C61</f>
        <v>0</v>
      </c>
      <c r="D59" s="9">
        <f t="shared" si="19"/>
        <v>0</v>
      </c>
      <c r="F59" s="9">
        <f>Summary!$D$59</f>
        <v>-3361133.729166666</v>
      </c>
      <c r="G59" s="9">
        <f>[14]Results!D61</f>
        <v>-3361133.7291666698</v>
      </c>
      <c r="H59" s="9">
        <f t="shared" si="20"/>
        <v>-3.7252902984619141E-9</v>
      </c>
      <c r="J59" s="9">
        <f>Summary!$F$59</f>
        <v>-3361133.729166666</v>
      </c>
      <c r="K59" s="9">
        <f>[14]Results!G61</f>
        <v>-3361133.7291666698</v>
      </c>
      <c r="L59" s="9">
        <f t="shared" si="21"/>
        <v>-3.7252902984619141E-9</v>
      </c>
      <c r="N59" s="9">
        <f>Summary!$H$59</f>
        <v>0</v>
      </c>
      <c r="O59" s="13">
        <f>[14]Results!H61</f>
        <v>0</v>
      </c>
      <c r="P59" s="9">
        <f t="shared" si="22"/>
        <v>0</v>
      </c>
      <c r="R59" s="9">
        <f>Summary!$J$59</f>
        <v>-3361133.729166666</v>
      </c>
      <c r="S59" s="13">
        <f>[14]Results!I61</f>
        <v>-3361133.7291666698</v>
      </c>
      <c r="T59" s="9">
        <f t="shared" si="23"/>
        <v>-3.7252902984619141E-9</v>
      </c>
      <c r="V59" s="9">
        <f>Summary!$L$59</f>
        <v>0</v>
      </c>
      <c r="W59" s="13">
        <f>[14]Results!H150</f>
        <v>0</v>
      </c>
      <c r="X59" s="9">
        <f t="shared" si="24"/>
        <v>0</v>
      </c>
    </row>
    <row r="60" spans="1:24" x14ac:dyDescent="0.2">
      <c r="A60" s="11" t="s">
        <v>97</v>
      </c>
      <c r="B60" s="9">
        <f>Summary!$B$60</f>
        <v>-6352268.3274010532</v>
      </c>
      <c r="C60" s="9">
        <f>[14]Results!C62</f>
        <v>-6352268.3274010532</v>
      </c>
      <c r="D60" s="9">
        <f t="shared" si="19"/>
        <v>0</v>
      </c>
      <c r="F60" s="9">
        <f>Summary!$D$60</f>
        <v>3501826.1956963525</v>
      </c>
      <c r="G60" s="9">
        <f>[14]Results!D62</f>
        <v>3501826.1956963525</v>
      </c>
      <c r="H60" s="9">
        <f t="shared" si="20"/>
        <v>0</v>
      </c>
      <c r="J60" s="9">
        <f>Summary!$F$60</f>
        <v>-2850442.1317047006</v>
      </c>
      <c r="K60" s="9">
        <f>[14]Results!G62</f>
        <v>-2850442.1317047006</v>
      </c>
      <c r="L60" s="9">
        <f t="shared" si="21"/>
        <v>0</v>
      </c>
      <c r="N60" s="9">
        <f>Summary!$H$60</f>
        <v>-402745.59474258736</v>
      </c>
      <c r="O60" s="13">
        <f>[14]Results!H62</f>
        <v>-402745.59474258736</v>
      </c>
      <c r="P60" s="9">
        <f t="shared" si="22"/>
        <v>0</v>
      </c>
      <c r="R60" s="9">
        <f>Summary!$J$60</f>
        <v>-3253187.7264472879</v>
      </c>
      <c r="S60" s="13">
        <f>[14]Results!I62</f>
        <v>-3253187.7264472879</v>
      </c>
      <c r="T60" s="9">
        <f t="shared" si="23"/>
        <v>0</v>
      </c>
      <c r="V60" s="9">
        <f>Summary!$L$60</f>
        <v>0</v>
      </c>
      <c r="W60" s="13">
        <f>[14]Results!H151</f>
        <v>0</v>
      </c>
      <c r="X60" s="9">
        <f t="shared" si="24"/>
        <v>0</v>
      </c>
    </row>
    <row r="61" spans="1:24" x14ac:dyDescent="0.2">
      <c r="A61" s="11"/>
      <c r="B61" s="9">
        <f>Summary!$B$61</f>
        <v>0</v>
      </c>
      <c r="C61" s="9">
        <f>[14]Results!C63</f>
        <v>0</v>
      </c>
      <c r="D61" s="9">
        <f t="shared" si="19"/>
        <v>0</v>
      </c>
      <c r="F61" s="9">
        <f>Summary!$D$61</f>
        <v>0</v>
      </c>
      <c r="G61" s="9">
        <f>[14]Results!D63</f>
        <v>0</v>
      </c>
      <c r="H61" s="9">
        <f t="shared" si="20"/>
        <v>0</v>
      </c>
      <c r="J61" s="9">
        <f>Summary!$F$61</f>
        <v>0</v>
      </c>
      <c r="K61" s="9">
        <f>[14]Results!G63</f>
        <v>0</v>
      </c>
      <c r="L61" s="9">
        <f t="shared" si="21"/>
        <v>0</v>
      </c>
      <c r="N61" s="9">
        <f>Summary!$H$61</f>
        <v>0</v>
      </c>
      <c r="O61" s="13">
        <f>[14]Results!H63</f>
        <v>0</v>
      </c>
      <c r="P61" s="9">
        <f t="shared" si="22"/>
        <v>0</v>
      </c>
      <c r="R61" s="9">
        <f>Summary!$J$61</f>
        <v>0</v>
      </c>
      <c r="S61" s="13">
        <f>[14]Results!I63</f>
        <v>0</v>
      </c>
      <c r="T61" s="9">
        <f t="shared" si="23"/>
        <v>0</v>
      </c>
      <c r="V61" s="9">
        <f>Summary!$L$61</f>
        <v>0</v>
      </c>
      <c r="W61" s="13">
        <f>[14]Results!H152</f>
        <v>0</v>
      </c>
      <c r="X61" s="9">
        <f t="shared" si="24"/>
        <v>0</v>
      </c>
    </row>
    <row r="62" spans="1:24" ht="13.5" thickBot="1" x14ac:dyDescent="0.25">
      <c r="A62" s="11" t="s">
        <v>98</v>
      </c>
      <c r="B62" s="10">
        <f>Summary!$B$62</f>
        <v>-893612219.20110941</v>
      </c>
      <c r="C62" s="10">
        <f>[14]Results!C64</f>
        <v>-893612219.20110941</v>
      </c>
      <c r="D62" s="10">
        <f t="shared" si="19"/>
        <v>0</v>
      </c>
      <c r="F62" s="10">
        <f>Summary!$D$62</f>
        <v>-35910765.310781799</v>
      </c>
      <c r="G62" s="10">
        <f>[14]Results!D64</f>
        <v>-35910765.13462653</v>
      </c>
      <c r="H62" s="10">
        <f t="shared" si="20"/>
        <v>0.17615526914596558</v>
      </c>
      <c r="J62" s="10">
        <f>Summary!$F$62</f>
        <v>-929522984.51189101</v>
      </c>
      <c r="K62" s="10">
        <f>[14]Results!G64</f>
        <v>-929522984.3357358</v>
      </c>
      <c r="L62" s="10">
        <f t="shared" si="21"/>
        <v>0.1761552095413208</v>
      </c>
      <c r="N62" s="10">
        <f>Summary!$H$62</f>
        <v>-2903880.3321166118</v>
      </c>
      <c r="O62" s="229">
        <f>[14]Results!H64</f>
        <v>-2903880.3321166118</v>
      </c>
      <c r="P62" s="10">
        <f t="shared" si="22"/>
        <v>0</v>
      </c>
      <c r="R62" s="10">
        <f>Summary!$J$62</f>
        <v>-932426864.84400773</v>
      </c>
      <c r="S62" s="229">
        <f>[14]Results!I64</f>
        <v>-932426864.66785252</v>
      </c>
      <c r="T62" s="10">
        <f t="shared" si="23"/>
        <v>0.1761552095413208</v>
      </c>
      <c r="V62" s="10">
        <f>Summary!$L$62</f>
        <v>0</v>
      </c>
      <c r="W62" s="229">
        <f>[14]Results!H153</f>
        <v>0</v>
      </c>
      <c r="X62" s="10">
        <f t="shared" si="24"/>
        <v>0</v>
      </c>
    </row>
    <row r="63" spans="1:24" ht="13.5" thickTop="1" x14ac:dyDescent="0.2">
      <c r="A63" s="11"/>
      <c r="B63" s="9"/>
      <c r="C63" s="9"/>
      <c r="D63" s="9"/>
      <c r="F63" s="9"/>
      <c r="G63" s="9"/>
      <c r="H63" s="9"/>
      <c r="J63" s="9"/>
      <c r="K63" s="9"/>
      <c r="L63" s="9"/>
      <c r="N63" s="9"/>
      <c r="O63" s="13"/>
      <c r="P63" s="9"/>
      <c r="R63" s="9"/>
      <c r="S63" s="13"/>
      <c r="T63" s="9"/>
      <c r="V63" s="9"/>
      <c r="W63" s="13">
        <f>[14]Results!H154</f>
        <v>0</v>
      </c>
      <c r="X63" s="9"/>
    </row>
    <row r="64" spans="1:24" ht="13.5" thickBot="1" x14ac:dyDescent="0.25">
      <c r="A64" s="11" t="s">
        <v>99</v>
      </c>
      <c r="B64" s="10">
        <f>Summary!$B$64</f>
        <v>788256371.82205129</v>
      </c>
      <c r="C64" s="10">
        <f>[14]Results!C66</f>
        <v>788256371.82205129</v>
      </c>
      <c r="D64" s="10">
        <f>C64-B64</f>
        <v>0</v>
      </c>
      <c r="F64" s="10">
        <f>Summary!$D$64</f>
        <v>12429215.126757294</v>
      </c>
      <c r="G64" s="10">
        <f>[14]Results!D66</f>
        <v>12429215.302912571</v>
      </c>
      <c r="H64" s="10">
        <f>G64-F64</f>
        <v>0.17615527659654617</v>
      </c>
      <c r="J64" s="10">
        <f>Summary!$F$64</f>
        <v>800685586.94880903</v>
      </c>
      <c r="K64" s="10">
        <f>[14]Results!G66</f>
        <v>800685587.12496424</v>
      </c>
      <c r="L64" s="10">
        <f>K64-J64</f>
        <v>0.1761552095413208</v>
      </c>
      <c r="N64" s="10">
        <f>Summary!$H$64</f>
        <v>18153711.704727843</v>
      </c>
      <c r="O64" s="229">
        <f>[14]Results!H66</f>
        <v>18153711.704727843</v>
      </c>
      <c r="P64" s="10">
        <f>O64-N64</f>
        <v>0</v>
      </c>
      <c r="R64" s="10">
        <f>Summary!$J$64</f>
        <v>818839298.6535368</v>
      </c>
      <c r="S64" s="229">
        <f>[14]Results!I66</f>
        <v>818839298.82969201</v>
      </c>
      <c r="T64" s="10">
        <f>S64-R64</f>
        <v>0.1761552095413208</v>
      </c>
      <c r="V64" s="10">
        <f>Summary!$L$64</f>
        <v>0</v>
      </c>
      <c r="W64" s="229">
        <f>[14]Results!H155</f>
        <v>0</v>
      </c>
      <c r="X64" s="10">
        <f>W64-V64</f>
        <v>0</v>
      </c>
    </row>
    <row r="65" spans="1:24" ht="13.5" thickTop="1" x14ac:dyDescent="0.2">
      <c r="A65" s="11"/>
      <c r="B65" s="9"/>
      <c r="C65" s="9"/>
      <c r="D65" s="9"/>
      <c r="F65" s="9"/>
      <c r="G65" s="9"/>
      <c r="H65" s="9"/>
      <c r="J65" s="9"/>
      <c r="K65" s="9"/>
      <c r="L65" s="9"/>
      <c r="N65" s="9"/>
      <c r="O65" s="13"/>
      <c r="P65" s="9"/>
      <c r="R65" s="9"/>
      <c r="S65" s="13"/>
      <c r="T65" s="9"/>
      <c r="V65" s="9"/>
      <c r="W65" s="13">
        <f>[14]Results!H156</f>
        <v>0</v>
      </c>
      <c r="X65" s="9"/>
    </row>
    <row r="66" spans="1:24" x14ac:dyDescent="0.2">
      <c r="A66" s="11" t="s">
        <v>48</v>
      </c>
      <c r="B66" s="24"/>
      <c r="C66" s="24"/>
      <c r="D66" s="24"/>
      <c r="F66" s="24"/>
      <c r="G66" s="24"/>
      <c r="H66" s="24"/>
      <c r="J66" s="24"/>
      <c r="K66" s="24"/>
      <c r="L66" s="24"/>
      <c r="N66" s="24"/>
      <c r="O66" s="289"/>
      <c r="P66" s="24"/>
      <c r="R66" s="24"/>
      <c r="S66" s="289"/>
      <c r="T66" s="24"/>
      <c r="V66" s="24"/>
      <c r="W66" s="24"/>
      <c r="X66" s="24"/>
    </row>
    <row r="67" spans="1:24" x14ac:dyDescent="0.2">
      <c r="A67" s="11" t="s">
        <v>100</v>
      </c>
      <c r="B67" s="24">
        <f>Summary!$B$67</f>
        <v>5.0682103677458901E-2</v>
      </c>
      <c r="C67" s="24">
        <f>[14]Results!C69</f>
        <v>5.0682103677458901E-2</v>
      </c>
      <c r="D67" s="24">
        <f t="shared" ref="D67" si="25">C67-B67</f>
        <v>0</v>
      </c>
      <c r="F67" s="24">
        <f>Summary!$D$67</f>
        <v>3.5763139610078473E-2</v>
      </c>
      <c r="G67" s="24">
        <f>[14]Results!D69</f>
        <v>3.5763139727671561E-2</v>
      </c>
      <c r="H67" s="24">
        <f t="shared" ref="H67" si="26">G67-F67</f>
        <v>1.175930880448206E-10</v>
      </c>
      <c r="J67" s="24">
        <f>Summary!$F$67</f>
        <v>8.6445243287537374E-2</v>
      </c>
      <c r="K67" s="24">
        <f>[14]Results!G69</f>
        <v>8.6445243405130379E-2</v>
      </c>
      <c r="L67" s="24">
        <f t="shared" ref="L67" si="27">K67-J67</f>
        <v>1.1759300477809376E-10</v>
      </c>
      <c r="N67" s="24">
        <f>Summary!$H$67</f>
        <v>-6.1808607394673726E-3</v>
      </c>
      <c r="O67" s="289">
        <f>[14]Results!H69</f>
        <v>-6.1808600166034927E-3</v>
      </c>
      <c r="P67" s="24">
        <f t="shared" ref="P67" si="28">O67-N67</f>
        <v>7.2286387986508771E-10</v>
      </c>
      <c r="R67" s="24">
        <f>Summary!$J$67</f>
        <v>8.0264382548070001E-2</v>
      </c>
      <c r="S67" s="289">
        <f>[14]Results!I69</f>
        <v>8.026438338852683E-2</v>
      </c>
      <c r="T67" s="24">
        <f t="shared" ref="T67" si="29">S67-R67</f>
        <v>8.4045682913203024E-10</v>
      </c>
      <c r="V67" s="24"/>
      <c r="W67" s="24"/>
      <c r="X67" s="24"/>
    </row>
    <row r="68" spans="1:24" x14ac:dyDescent="0.2">
      <c r="A68" s="11"/>
      <c r="B68" s="22"/>
      <c r="C68" s="22"/>
      <c r="D68" s="22"/>
      <c r="F68" s="22"/>
      <c r="G68" s="22"/>
      <c r="H68" s="22"/>
      <c r="J68" s="22"/>
      <c r="K68" s="22"/>
      <c r="L68" s="22"/>
      <c r="N68" s="22"/>
      <c r="O68" s="16"/>
      <c r="P68" s="22"/>
      <c r="R68" s="22"/>
      <c r="S68" s="16"/>
      <c r="T68" s="22"/>
      <c r="V68" s="22"/>
      <c r="W68" s="16"/>
      <c r="X68" s="22"/>
    </row>
    <row r="69" spans="1:24" x14ac:dyDescent="0.2">
      <c r="A69" s="11" t="s">
        <v>101</v>
      </c>
      <c r="B69" s="9"/>
      <c r="C69" s="9"/>
      <c r="D69" s="9"/>
      <c r="F69" s="9"/>
      <c r="G69" s="9"/>
      <c r="H69" s="9"/>
      <c r="J69" s="9"/>
      <c r="K69" s="9"/>
      <c r="L69" s="9"/>
      <c r="N69" s="9"/>
      <c r="O69" s="13"/>
      <c r="P69" s="9"/>
      <c r="R69" s="9"/>
      <c r="S69" s="13"/>
      <c r="T69" s="9"/>
      <c r="V69" s="9"/>
      <c r="W69" s="13">
        <f>[14]Results!H160</f>
        <v>0</v>
      </c>
      <c r="X69" s="9"/>
    </row>
    <row r="70" spans="1:24" x14ac:dyDescent="0.2">
      <c r="A70" s="11" t="s">
        <v>102</v>
      </c>
      <c r="B70" s="9">
        <f>Summary!$B$71</f>
        <v>46261016.714146547</v>
      </c>
      <c r="C70" s="9">
        <f>[14]Results!C72</f>
        <v>46261016.714146547</v>
      </c>
      <c r="D70" s="9">
        <f t="shared" ref="D70:D79" si="30">C70-B70</f>
        <v>0</v>
      </c>
      <c r="F70" s="9">
        <f>Summary!$D$71</f>
        <v>21179478.261045638</v>
      </c>
      <c r="G70" s="9">
        <f>[14]Results!D72</f>
        <v>21179478.348315548</v>
      </c>
      <c r="H70" s="9">
        <f t="shared" ref="H70:H76" si="31">G70-F70</f>
        <v>8.7269909679889679E-2</v>
      </c>
      <c r="J70" s="9">
        <f>Summary!$F$71</f>
        <v>67440494.975192159</v>
      </c>
      <c r="K70" s="9">
        <f>[14]Results!G72</f>
        <v>67440495.062462091</v>
      </c>
      <c r="L70" s="9">
        <f t="shared" ref="L70:L76" si="32">K70-J70</f>
        <v>8.726993203163147E-2</v>
      </c>
      <c r="N70" s="9">
        <f>Summary!$H$71</f>
        <v>-2935755.1598407975</v>
      </c>
      <c r="O70" s="13">
        <f>[14]Results!H72</f>
        <v>-2935754.8113579303</v>
      </c>
      <c r="P70" s="9">
        <f t="shared" ref="P70:P75" si="33">O70-N70</f>
        <v>0.34848286723718047</v>
      </c>
      <c r="R70" s="9">
        <f>Summary!$J$71</f>
        <v>64504740</v>
      </c>
      <c r="S70" s="13">
        <f>[14]Results!I72</f>
        <v>64504740.251104176</v>
      </c>
      <c r="T70" s="9">
        <f t="shared" ref="T70:T76" si="34">S70-R70</f>
        <v>0.25110417604446411</v>
      </c>
      <c r="V70" s="9">
        <f>Summary!$L$71</f>
        <v>9115261.314038489</v>
      </c>
      <c r="W70" s="13">
        <f>[14]Results!H161</f>
        <v>9115261.7207062915</v>
      </c>
      <c r="X70" s="9">
        <f t="shared" ref="X70:X76" si="35">W70-V70</f>
        <v>0.4066678024828434</v>
      </c>
    </row>
    <row r="71" spans="1:24" x14ac:dyDescent="0.2">
      <c r="A71" s="11" t="s">
        <v>103</v>
      </c>
      <c r="B71" s="9">
        <f>Summary!$B$72</f>
        <v>0</v>
      </c>
      <c r="C71" s="9">
        <f>[14]Results!C73</f>
        <v>0</v>
      </c>
      <c r="D71" s="9">
        <f t="shared" si="30"/>
        <v>0</v>
      </c>
      <c r="F71" s="9">
        <f>Summary!$D$72</f>
        <v>0</v>
      </c>
      <c r="G71" s="9">
        <f>[14]Results!D73</f>
        <v>0</v>
      </c>
      <c r="H71" s="9">
        <f t="shared" si="31"/>
        <v>0</v>
      </c>
      <c r="J71" s="9">
        <f>Summary!$F$72</f>
        <v>0</v>
      </c>
      <c r="K71" s="9">
        <f>[14]Results!G73</f>
        <v>0</v>
      </c>
      <c r="L71" s="9">
        <f t="shared" si="32"/>
        <v>0</v>
      </c>
      <c r="N71" s="9">
        <f>Summary!$H$72</f>
        <v>0</v>
      </c>
      <c r="O71" s="13">
        <f>[14]Results!H73</f>
        <v>0</v>
      </c>
      <c r="P71" s="9">
        <f t="shared" si="33"/>
        <v>0</v>
      </c>
      <c r="R71" s="9">
        <f>Summary!$J$72</f>
        <v>0</v>
      </c>
      <c r="S71" s="13">
        <f>[14]Results!I73</f>
        <v>0</v>
      </c>
      <c r="T71" s="9">
        <f t="shared" si="34"/>
        <v>0</v>
      </c>
      <c r="V71" s="9">
        <f>Summary!$L$72</f>
        <v>0</v>
      </c>
      <c r="W71" s="13">
        <f>[14]Results!H162</f>
        <v>0</v>
      </c>
      <c r="X71" s="9">
        <f t="shared" si="35"/>
        <v>0</v>
      </c>
    </row>
    <row r="72" spans="1:24" x14ac:dyDescent="0.2">
      <c r="A72" s="11" t="s">
        <v>104</v>
      </c>
      <c r="B72" s="9">
        <f>Summary!$B$73</f>
        <v>-3560991.667928237</v>
      </c>
      <c r="C72" s="9">
        <f>[14]Results!C74</f>
        <v>-3560991.667928237</v>
      </c>
      <c r="D72" s="9">
        <f t="shared" si="30"/>
        <v>0</v>
      </c>
      <c r="F72" s="9">
        <f>Summary!$D$73</f>
        <v>0</v>
      </c>
      <c r="G72" s="9">
        <f>[14]Results!D74</f>
        <v>0</v>
      </c>
      <c r="H72" s="9">
        <f t="shared" si="31"/>
        <v>0</v>
      </c>
      <c r="J72" s="9">
        <f>Summary!$F$73</f>
        <v>-3560991.667928237</v>
      </c>
      <c r="K72" s="9">
        <f>[14]Results!G74</f>
        <v>-3560991.667928237</v>
      </c>
      <c r="L72" s="9">
        <f t="shared" si="32"/>
        <v>0</v>
      </c>
      <c r="N72" s="9">
        <f>Summary!$H$73</f>
        <v>0</v>
      </c>
      <c r="O72" s="13">
        <f>[14]Results!H74</f>
        <v>0</v>
      </c>
      <c r="P72" s="9">
        <f t="shared" si="33"/>
        <v>0</v>
      </c>
      <c r="R72" s="9">
        <f>Summary!$J$73</f>
        <v>-3560991.667928237</v>
      </c>
      <c r="S72" s="13">
        <f>[14]Results!$I74</f>
        <v>-3560991.667928237</v>
      </c>
      <c r="T72" s="9">
        <f t="shared" si="34"/>
        <v>0</v>
      </c>
      <c r="V72" s="9">
        <f>Summary!$L$73</f>
        <v>0</v>
      </c>
      <c r="W72" s="13">
        <f>[14]Results!H163</f>
        <v>0</v>
      </c>
      <c r="X72" s="9">
        <f t="shared" si="35"/>
        <v>0</v>
      </c>
    </row>
    <row r="73" spans="1:24" x14ac:dyDescent="0.2">
      <c r="A73" s="11" t="s">
        <v>105</v>
      </c>
      <c r="B73" s="9">
        <f>Summary!$B$74</f>
        <v>21485186.423176125</v>
      </c>
      <c r="C73" s="9">
        <f>[14]Results!C75</f>
        <v>21485186.423176125</v>
      </c>
      <c r="D73" s="9">
        <f t="shared" si="30"/>
        <v>0</v>
      </c>
      <c r="F73" s="9">
        <f>Summary!$D$74</f>
        <v>-394343.39106928557</v>
      </c>
      <c r="G73" s="9">
        <f>[14]Results!D75</f>
        <v>-394343.38642918319</v>
      </c>
      <c r="H73" s="9">
        <f t="shared" si="31"/>
        <v>4.6401023864746094E-3</v>
      </c>
      <c r="J73" s="9">
        <f>Summary!$F$74</f>
        <v>21090843.032106839</v>
      </c>
      <c r="K73" s="9">
        <f>[14]Results!G75</f>
        <v>21090843.036746942</v>
      </c>
      <c r="L73" s="9">
        <f t="shared" si="32"/>
        <v>4.6401023864746094E-3</v>
      </c>
      <c r="N73" s="9">
        <f>Summary!$H$74</f>
        <v>478186.5569400005</v>
      </c>
      <c r="O73" s="13">
        <f>[14]Results!H75</f>
        <v>478186.5569400005</v>
      </c>
      <c r="P73" s="9">
        <f t="shared" si="33"/>
        <v>0</v>
      </c>
      <c r="R73" s="9">
        <f>Summary!$J$74</f>
        <v>21569029.58904684</v>
      </c>
      <c r="S73" s="13">
        <f>[14]Results!$I75</f>
        <v>21569029.593686942</v>
      </c>
      <c r="T73" s="9">
        <f t="shared" si="34"/>
        <v>4.6401023864746094E-3</v>
      </c>
      <c r="V73" s="9">
        <f>Summary!$L$74</f>
        <v>0</v>
      </c>
      <c r="W73" s="13">
        <f>[14]Results!H164</f>
        <v>0</v>
      </c>
      <c r="X73" s="9">
        <f t="shared" si="35"/>
        <v>0</v>
      </c>
    </row>
    <row r="74" spans="1:24" x14ac:dyDescent="0.2">
      <c r="A74" s="11" t="s">
        <v>106</v>
      </c>
      <c r="B74" s="9">
        <f>Summary!$B$75</f>
        <v>62962240.07826855</v>
      </c>
      <c r="C74" s="9">
        <f>[14]Results!C76</f>
        <v>62962240.07826855</v>
      </c>
      <c r="D74" s="9">
        <f t="shared" si="30"/>
        <v>0</v>
      </c>
      <c r="F74" s="9">
        <f>Summary!$D$75</f>
        <v>722834.51554850512</v>
      </c>
      <c r="G74" s="9">
        <f>[14]Results!D76</f>
        <v>722834.51554850524</v>
      </c>
      <c r="H74" s="9">
        <f t="shared" si="31"/>
        <v>0</v>
      </c>
      <c r="J74" s="9">
        <f>Summary!$F$75</f>
        <v>63685074.593817055</v>
      </c>
      <c r="K74" s="9">
        <f>[14]Results!G76</f>
        <v>63685074.593817055</v>
      </c>
      <c r="L74" s="9">
        <f t="shared" si="32"/>
        <v>0</v>
      </c>
      <c r="N74" s="9">
        <f>Summary!$H$75</f>
        <v>276747.67003499484</v>
      </c>
      <c r="O74" s="13">
        <f>[14]Results!H76</f>
        <v>276747.67003499484</v>
      </c>
      <c r="P74" s="9">
        <f t="shared" si="33"/>
        <v>0</v>
      </c>
      <c r="R74" s="9">
        <f>Summary!$J$75</f>
        <v>63961822.263852052</v>
      </c>
      <c r="S74" s="13">
        <f>[14]Results!$I76</f>
        <v>63961822.263852052</v>
      </c>
      <c r="T74" s="9">
        <f t="shared" si="34"/>
        <v>0</v>
      </c>
      <c r="V74" s="9">
        <f>Summary!$L$75</f>
        <v>0</v>
      </c>
      <c r="W74" s="13">
        <f>[14]Results!H165</f>
        <v>0</v>
      </c>
      <c r="X74" s="9">
        <f t="shared" si="35"/>
        <v>0</v>
      </c>
    </row>
    <row r="75" spans="1:24" x14ac:dyDescent="0.2">
      <c r="A75" s="11" t="s">
        <v>107</v>
      </c>
      <c r="B75" s="8">
        <f>Summary!$B$76</f>
        <v>72669281.761237845</v>
      </c>
      <c r="C75" s="8">
        <f>[14]Results!C77</f>
        <v>72669281.761237845</v>
      </c>
      <c r="D75" s="8">
        <f t="shared" si="30"/>
        <v>0</v>
      </c>
      <c r="F75" s="8">
        <f>Summary!$D$76</f>
        <v>541075.95803906047</v>
      </c>
      <c r="G75" s="8">
        <f>[14]Results!D77</f>
        <v>541075.95803906047</v>
      </c>
      <c r="H75" s="8">
        <f t="shared" si="31"/>
        <v>0</v>
      </c>
      <c r="J75" s="8">
        <f>Summary!$F$76</f>
        <v>73210357.719276905</v>
      </c>
      <c r="K75" s="8">
        <f>[14]Results!G77</f>
        <v>73210357.719276905</v>
      </c>
      <c r="L75" s="8">
        <f t="shared" si="32"/>
        <v>0</v>
      </c>
      <c r="N75" s="8">
        <f>Summary!$H$76</f>
        <v>5773702.2720606495</v>
      </c>
      <c r="O75" s="290">
        <f>[14]Results!H77</f>
        <v>5773702.2720606495</v>
      </c>
      <c r="P75" s="8">
        <f t="shared" si="33"/>
        <v>0</v>
      </c>
      <c r="R75" s="8">
        <f>Summary!$J$76</f>
        <v>78984059.991337553</v>
      </c>
      <c r="S75" s="290">
        <f>[14]Results!$I77</f>
        <v>78984059.991337553</v>
      </c>
      <c r="T75" s="8">
        <f t="shared" si="34"/>
        <v>0</v>
      </c>
      <c r="V75" s="8">
        <f>Summary!$L$76</f>
        <v>0</v>
      </c>
      <c r="W75" s="290">
        <v>0</v>
      </c>
      <c r="X75" s="8">
        <f t="shared" si="35"/>
        <v>0</v>
      </c>
    </row>
    <row r="76" spans="1:24" x14ac:dyDescent="0.2">
      <c r="A76" s="11" t="s">
        <v>108</v>
      </c>
      <c r="B76" s="9">
        <f>Summary!$B$77</f>
        <v>18629780.275929362</v>
      </c>
      <c r="C76" s="9">
        <f>[14]Results!C78</f>
        <v>18629780.275929362</v>
      </c>
      <c r="D76" s="9">
        <f t="shared" si="30"/>
        <v>0</v>
      </c>
      <c r="F76" s="9">
        <f>Summary!$D$77</f>
        <v>21755580.209624369</v>
      </c>
      <c r="G76" s="9">
        <f>[14]Results!D78</f>
        <v>21755580.292254176</v>
      </c>
      <c r="H76" s="9">
        <f t="shared" si="31"/>
        <v>8.262980729341507E-2</v>
      </c>
      <c r="J76" s="9">
        <f>Summary!$F$77</f>
        <v>40385360.485553712</v>
      </c>
      <c r="K76" s="9">
        <f>[14]Results!G78</f>
        <v>40385360.568183541</v>
      </c>
      <c r="L76" s="9">
        <f t="shared" si="32"/>
        <v>8.262982964515686E-2</v>
      </c>
      <c r="N76" s="9">
        <f>Summary!$H$77</f>
        <v>-8910896.3188064527</v>
      </c>
      <c r="O76" s="13">
        <f>[14]Results!H78</f>
        <v>-8910895.970323585</v>
      </c>
      <c r="P76" s="9">
        <f>O76-N76</f>
        <v>0.34848286770284176</v>
      </c>
      <c r="R76" s="9">
        <f>Summary!$J$77</f>
        <v>31474464.35139589</v>
      </c>
      <c r="S76" s="13">
        <f>[14]Results!$I78</f>
        <v>31474464.597859956</v>
      </c>
      <c r="T76" s="9">
        <f t="shared" si="34"/>
        <v>0.24646406620740891</v>
      </c>
      <c r="V76" s="9">
        <f>Summary!$L$77</f>
        <v>9115261.314038489</v>
      </c>
      <c r="W76" s="13">
        <f>W70</f>
        <v>9115261.7207062915</v>
      </c>
      <c r="X76" s="9">
        <f t="shared" si="35"/>
        <v>0.4066678024828434</v>
      </c>
    </row>
    <row r="77" spans="1:24" x14ac:dyDescent="0.2">
      <c r="A77" s="11"/>
      <c r="B77" s="9"/>
      <c r="C77" s="9"/>
      <c r="D77" s="9"/>
      <c r="F77" s="9"/>
      <c r="G77" s="9"/>
      <c r="H77" s="9"/>
      <c r="J77" s="9"/>
      <c r="K77" s="9"/>
      <c r="L77" s="9"/>
      <c r="N77" s="9"/>
      <c r="O77" s="13"/>
      <c r="P77" s="9"/>
      <c r="R77" s="9"/>
      <c r="S77" s="13"/>
      <c r="T77" s="9"/>
      <c r="V77" s="9"/>
      <c r="W77" s="13"/>
      <c r="X77" s="9"/>
    </row>
    <row r="78" spans="1:24" x14ac:dyDescent="0.2">
      <c r="A78" s="11" t="s">
        <v>109</v>
      </c>
      <c r="B78" s="9">
        <f>Summary!$B$79</f>
        <v>0</v>
      </c>
      <c r="C78" s="9">
        <f>[14]Results!C80</f>
        <v>0</v>
      </c>
      <c r="D78" s="9">
        <f t="shared" si="30"/>
        <v>0</v>
      </c>
      <c r="F78" s="9">
        <f>Summary!$D$79</f>
        <v>0</v>
      </c>
      <c r="G78" s="9">
        <f>[14]Results!D80</f>
        <v>0</v>
      </c>
      <c r="H78" s="9">
        <f t="shared" ref="H78:H79" si="36">G78-F78</f>
        <v>0</v>
      </c>
      <c r="J78" s="9">
        <f>Summary!$F$79</f>
        <v>0</v>
      </c>
      <c r="K78" s="9">
        <f>[14]Results!G80</f>
        <v>0</v>
      </c>
      <c r="L78" s="9">
        <f t="shared" ref="L78:L82" si="37">K78-J78</f>
        <v>0</v>
      </c>
      <c r="N78" s="9">
        <f>Summary!$H$79</f>
        <v>0</v>
      </c>
      <c r="O78" s="13">
        <f>[14]Results!H80</f>
        <v>0</v>
      </c>
      <c r="P78" s="9">
        <f t="shared" ref="P78:P82" si="38">O78-N78</f>
        <v>0</v>
      </c>
      <c r="R78" s="9">
        <f>Summary!$J$79</f>
        <v>0</v>
      </c>
      <c r="S78" s="13">
        <f>[14]Results!I$80</f>
        <v>0</v>
      </c>
      <c r="T78" s="9">
        <f t="shared" ref="T78:T82" si="39">S78-R78</f>
        <v>0</v>
      </c>
      <c r="V78" s="9">
        <f>Summary!$L$79</f>
        <v>0</v>
      </c>
      <c r="W78" s="13">
        <v>0</v>
      </c>
      <c r="X78" s="9">
        <f t="shared" ref="X78:X79" si="40">W78-V78</f>
        <v>0</v>
      </c>
    </row>
    <row r="79" spans="1:24" x14ac:dyDescent="0.2">
      <c r="A79" s="11" t="s">
        <v>110</v>
      </c>
      <c r="B79" s="9">
        <f>Summary!$B$80</f>
        <v>18629780.275929362</v>
      </c>
      <c r="C79" s="9">
        <f>[14]Results!C81</f>
        <v>18629780.275929362</v>
      </c>
      <c r="D79" s="9">
        <f t="shared" si="30"/>
        <v>0</v>
      </c>
      <c r="F79" s="9">
        <f>Summary!$D$80</f>
        <v>21755580.209624369</v>
      </c>
      <c r="G79" s="9">
        <f>[14]Results!D81</f>
        <v>21755580.292254176</v>
      </c>
      <c r="H79" s="9">
        <f t="shared" si="36"/>
        <v>8.262980729341507E-2</v>
      </c>
      <c r="J79" s="9">
        <f>Summary!$F$80</f>
        <v>40385360.485553712</v>
      </c>
      <c r="K79" s="9">
        <f>[14]Results!G81</f>
        <v>40385360.568183541</v>
      </c>
      <c r="L79" s="9">
        <f t="shared" si="37"/>
        <v>8.262982964515686E-2</v>
      </c>
      <c r="N79" s="9">
        <f>Summary!$H$80</f>
        <v>-8910896.3188064527</v>
      </c>
      <c r="O79" s="13">
        <f>[14]Results!H81</f>
        <v>-8910895.970323585</v>
      </c>
      <c r="P79" s="9">
        <f>O79-N79</f>
        <v>0.34848286770284176</v>
      </c>
      <c r="R79" s="9">
        <f>Summary!$J$80</f>
        <v>31474464.35139589</v>
      </c>
      <c r="S79" s="13">
        <f>[14]Results!I81</f>
        <v>31474464.597859956</v>
      </c>
      <c r="T79" s="9">
        <f t="shared" si="39"/>
        <v>0.24646406620740891</v>
      </c>
      <c r="V79" s="9">
        <f>Summary!$L$80</f>
        <v>9115261.314038489</v>
      </c>
      <c r="W79" s="13">
        <f>[14]Results!$H$169</f>
        <v>9115261.7207062915</v>
      </c>
      <c r="X79" s="9">
        <f t="shared" si="40"/>
        <v>0.4066678024828434</v>
      </c>
    </row>
    <row r="80" spans="1:24" x14ac:dyDescent="0.2">
      <c r="A80" s="11"/>
      <c r="B80" s="9"/>
      <c r="C80" s="9"/>
      <c r="D80" s="9"/>
      <c r="F80" s="9"/>
      <c r="G80" s="9"/>
      <c r="H80" s="9"/>
      <c r="J80" s="9"/>
      <c r="K80" s="9"/>
      <c r="L80" s="9"/>
      <c r="N80" s="9"/>
      <c r="O80" s="13"/>
      <c r="P80" s="9"/>
      <c r="R80" s="9"/>
      <c r="S80" s="13"/>
      <c r="T80" s="9"/>
      <c r="V80" s="9"/>
      <c r="W80" s="13"/>
      <c r="X80" s="9"/>
    </row>
    <row r="81" spans="1:24" x14ac:dyDescent="0.2">
      <c r="A81" s="11" t="s">
        <v>139</v>
      </c>
      <c r="B81" s="9">
        <f>Summary!$B$82</f>
        <v>6520423.096575276</v>
      </c>
      <c r="C81" s="9">
        <f>C79*0.35</f>
        <v>6520423.096575276</v>
      </c>
      <c r="D81" s="9"/>
      <c r="F81" s="9">
        <f>Summary!$D$82</f>
        <v>7614453.0733685289</v>
      </c>
      <c r="G81" s="9">
        <f>G79*0.35</f>
        <v>7614453.1022889614</v>
      </c>
      <c r="H81" s="9"/>
      <c r="J81" s="9">
        <f>Summary!$F$82</f>
        <v>14134876.169943798</v>
      </c>
      <c r="K81" s="9">
        <f>K79*0.35</f>
        <v>14134876.198864238</v>
      </c>
      <c r="L81" s="9">
        <f t="shared" si="37"/>
        <v>2.8920440003275871E-2</v>
      </c>
      <c r="N81" s="9">
        <f>Summary!$H$82</f>
        <v>-3118813.7115822583</v>
      </c>
      <c r="O81" s="13">
        <f>O79*0.35</f>
        <v>-3118813.5896132546</v>
      </c>
      <c r="P81" s="9">
        <f t="shared" si="38"/>
        <v>0.12196900369599462</v>
      </c>
      <c r="R81" s="9">
        <f>Summary!$J$82</f>
        <v>11016062.522988562</v>
      </c>
      <c r="S81" s="13">
        <f>S79*0.35</f>
        <v>11016062.609250983</v>
      </c>
      <c r="T81" s="9">
        <f t="shared" si="39"/>
        <v>8.6262421682476997E-2</v>
      </c>
      <c r="V81" s="9">
        <f>Summary!$L$82</f>
        <v>3190341.4599134708</v>
      </c>
      <c r="W81" s="13">
        <f>W79*0.35</f>
        <v>3190341.6022472018</v>
      </c>
      <c r="X81" s="9">
        <f t="shared" ref="X81:X83" si="41">W81-V81</f>
        <v>0.1423337310552597</v>
      </c>
    </row>
    <row r="82" spans="1:24" x14ac:dyDescent="0.2">
      <c r="A82" s="11" t="s">
        <v>140</v>
      </c>
      <c r="B82" s="9">
        <f>Summary!$B$83</f>
        <v>-5519729.0890013324</v>
      </c>
      <c r="C82" s="9">
        <f>C83-C81</f>
        <v>-5519729.0890013324</v>
      </c>
      <c r="D82" s="9"/>
      <c r="F82" s="9">
        <f>Summary!$D$83</f>
        <v>0</v>
      </c>
      <c r="G82" s="9">
        <f>G83-G81</f>
        <v>0</v>
      </c>
      <c r="H82" s="9"/>
      <c r="J82" s="9">
        <f>Summary!$F$83</f>
        <v>-5519729.0890013324</v>
      </c>
      <c r="K82" s="9">
        <f>K83-K81</f>
        <v>-5519729.0890013333</v>
      </c>
      <c r="L82" s="9">
        <f t="shared" si="37"/>
        <v>0</v>
      </c>
      <c r="N82" s="9">
        <f>Summary!$H$83</f>
        <v>-667033.44483830314</v>
      </c>
      <c r="O82" s="13">
        <f>O83-O81</f>
        <v>-667033.44483830314</v>
      </c>
      <c r="P82" s="9">
        <f t="shared" si="38"/>
        <v>0</v>
      </c>
      <c r="R82" s="9">
        <f>Summary!$J$83</f>
        <v>-6186762.5338396356</v>
      </c>
      <c r="S82" s="13">
        <f>S83-S81</f>
        <v>-6186762.5338396356</v>
      </c>
      <c r="T82" s="9">
        <f t="shared" si="39"/>
        <v>0</v>
      </c>
      <c r="V82" s="9">
        <f>Summary!$L$83</f>
        <v>0</v>
      </c>
      <c r="W82" s="13">
        <f>W83-W81</f>
        <v>0</v>
      </c>
      <c r="X82" s="9">
        <f t="shared" si="41"/>
        <v>0</v>
      </c>
    </row>
    <row r="83" spans="1:24" x14ac:dyDescent="0.2">
      <c r="A83" s="11" t="s">
        <v>141</v>
      </c>
      <c r="B83" s="9">
        <f>Summary!$B$84</f>
        <v>1000694.0075739436</v>
      </c>
      <c r="C83" s="9">
        <f>[14]Results!$C$83</f>
        <v>1000694.0075739436</v>
      </c>
      <c r="D83" s="9">
        <f t="shared" ref="D83" si="42">C83-B83</f>
        <v>0</v>
      </c>
      <c r="F83" s="9">
        <f>Summary!$D$84</f>
        <v>7614453.0733685289</v>
      </c>
      <c r="G83" s="9">
        <f>[14]Results!$D$83</f>
        <v>7614453.1022889605</v>
      </c>
      <c r="H83" s="9">
        <f t="shared" ref="H83" si="43">G83-F83</f>
        <v>2.89204316213727E-2</v>
      </c>
      <c r="J83" s="9">
        <f>Summary!$F$84</f>
        <v>8615147.0809424669</v>
      </c>
      <c r="K83" s="9">
        <f>[14]Results!G83</f>
        <v>8615147.109862905</v>
      </c>
      <c r="L83" s="9">
        <f t="shared" ref="L83" si="44">K83-J83</f>
        <v>2.8920438140630722E-2</v>
      </c>
      <c r="N83" s="9">
        <f>Summary!$H$84</f>
        <v>-3785847.1564205615</v>
      </c>
      <c r="O83" s="13">
        <f>[14]Results!$H$83</f>
        <v>-3785847.0344515578</v>
      </c>
      <c r="P83" s="9">
        <f t="shared" ref="P83" si="45">O83-N83</f>
        <v>0.12196900369599462</v>
      </c>
      <c r="R83" s="9">
        <f>Summary!$J$84</f>
        <v>4829299.989148926</v>
      </c>
      <c r="S83" s="13">
        <f>[14]Results!$I$83</f>
        <v>4829300.0754113477</v>
      </c>
      <c r="T83" s="9">
        <f t="shared" ref="T83" si="46">S83-R83</f>
        <v>8.6262421682476997E-2</v>
      </c>
      <c r="V83" s="9">
        <f>Summary!$L$84</f>
        <v>3190341.4599134708</v>
      </c>
      <c r="W83" s="13">
        <f>[14]Results!$H$171</f>
        <v>3190341.6022472018</v>
      </c>
      <c r="X83" s="9">
        <f t="shared" si="41"/>
        <v>0.1423337310552597</v>
      </c>
    </row>
    <row r="84" spans="1:24" x14ac:dyDescent="0.2">
      <c r="A84" s="11"/>
      <c r="B84" s="9"/>
      <c r="C84" s="9"/>
      <c r="D84" s="9"/>
    </row>
    <row r="85" spans="1:24" x14ac:dyDescent="0.2">
      <c r="A85" s="11"/>
      <c r="B85" s="9"/>
      <c r="C85" s="9"/>
      <c r="D85" s="9"/>
    </row>
    <row r="86" spans="1:24" x14ac:dyDescent="0.2">
      <c r="A86" s="11"/>
      <c r="B86" s="9"/>
      <c r="C86" s="9"/>
      <c r="D86" s="9"/>
    </row>
    <row r="87" spans="1:24" x14ac:dyDescent="0.2">
      <c r="A87" s="23"/>
      <c r="B87" s="9"/>
      <c r="C87" s="9"/>
      <c r="D87" s="9"/>
    </row>
    <row r="88" spans="1:24" x14ac:dyDescent="0.2">
      <c r="A88" s="21"/>
      <c r="B88" s="6"/>
      <c r="C88" s="6"/>
      <c r="D88" s="6"/>
    </row>
    <row r="89" spans="1:24" x14ac:dyDescent="0.2">
      <c r="A89" s="21"/>
    </row>
    <row r="90" spans="1:24" x14ac:dyDescent="0.2">
      <c r="A90" s="21"/>
    </row>
    <row r="91" spans="1:24" x14ac:dyDescent="0.2">
      <c r="A91" s="21"/>
    </row>
    <row r="92" spans="1:24" x14ac:dyDescent="0.2">
      <c r="A92" s="21"/>
    </row>
    <row r="93" spans="1:24" x14ac:dyDescent="0.2">
      <c r="A93" s="21"/>
    </row>
    <row r="94" spans="1:24" x14ac:dyDescent="0.2">
      <c r="A94" s="21"/>
    </row>
    <row r="95" spans="1:24" x14ac:dyDescent="0.2">
      <c r="A95" s="21"/>
    </row>
    <row r="96" spans="1:24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  <row r="110" spans="1:1" x14ac:dyDescent="0.2">
      <c r="A110" s="21"/>
    </row>
    <row r="111" spans="1:1" x14ac:dyDescent="0.2">
      <c r="A111" s="21"/>
    </row>
    <row r="112" spans="1: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  <row r="142" spans="1:1" x14ac:dyDescent="0.2">
      <c r="A142" s="21"/>
    </row>
    <row r="143" spans="1:1" x14ac:dyDescent="0.2">
      <c r="A143" s="21"/>
    </row>
    <row r="144" spans="1:1" x14ac:dyDescent="0.2">
      <c r="A144" s="21"/>
    </row>
  </sheetData>
  <pageMargins left="1.03" right="0.5" top="0.5" bottom="0.5" header="0.5" footer="0.5"/>
  <pageSetup scale="29" orientation="portrait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97"/>
  <sheetViews>
    <sheetView view="pageBreakPreview" topLeftCell="D40" zoomScaleNormal="100" zoomScaleSheetLayoutView="100" workbookViewId="0">
      <selection activeCell="Q14" sqref="Q14"/>
    </sheetView>
  </sheetViews>
  <sheetFormatPr defaultRowHeight="11.25" x14ac:dyDescent="0.2"/>
  <cols>
    <col min="1" max="1" width="5.140625" style="76" customWidth="1"/>
    <col min="2" max="2" width="11.140625" style="204" customWidth="1"/>
    <col min="3" max="3" width="53.140625" style="76" customWidth="1"/>
    <col min="4" max="4" width="14.140625" style="76" customWidth="1"/>
    <col min="5" max="7" width="13" style="76" customWidth="1"/>
    <col min="8" max="8" width="1.5703125" style="76" customWidth="1"/>
    <col min="9" max="11" width="10.7109375" style="76" customWidth="1"/>
    <col min="12" max="12" width="1.5703125" style="76" customWidth="1"/>
    <col min="13" max="15" width="10.7109375" style="76" customWidth="1"/>
    <col min="16" max="16" width="1.5703125" style="76" customWidth="1"/>
    <col min="17" max="17" width="29.7109375" style="283" customWidth="1"/>
    <col min="18" max="18" width="9.5703125" style="76" bestFit="1" customWidth="1"/>
    <col min="19" max="16384" width="9.140625" style="76"/>
  </cols>
  <sheetData>
    <row r="1" spans="1:18" ht="19.5" x14ac:dyDescent="0.3">
      <c r="A1" s="212" t="s">
        <v>391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82"/>
    </row>
    <row r="2" spans="1:18" ht="6" customHeight="1" x14ac:dyDescent="0.2">
      <c r="A2" s="214"/>
    </row>
    <row r="3" spans="1:18" ht="12.75" customHeight="1" x14ac:dyDescent="0.2">
      <c r="A3" s="315" t="s">
        <v>236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</row>
    <row r="4" spans="1:18" ht="12.75" customHeight="1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</row>
    <row r="5" spans="1:18" ht="12.75" x14ac:dyDescent="0.2">
      <c r="B5" s="215"/>
    </row>
    <row r="6" spans="1:18" x14ac:dyDescent="0.2">
      <c r="B6" s="222" t="s">
        <v>237</v>
      </c>
      <c r="C6" s="222" t="s">
        <v>238</v>
      </c>
      <c r="D6" s="222"/>
      <c r="E6" s="222" t="s">
        <v>239</v>
      </c>
      <c r="F6" s="222" t="s">
        <v>240</v>
      </c>
      <c r="G6" s="222" t="s">
        <v>241</v>
      </c>
      <c r="H6" s="222"/>
      <c r="I6" s="222" t="s">
        <v>242</v>
      </c>
      <c r="J6" s="222" t="s">
        <v>355</v>
      </c>
      <c r="K6" s="222" t="s">
        <v>356</v>
      </c>
      <c r="L6" s="222"/>
      <c r="M6" s="222" t="s">
        <v>357</v>
      </c>
      <c r="N6" s="222" t="s">
        <v>358</v>
      </c>
      <c r="O6" s="222" t="s">
        <v>359</v>
      </c>
      <c r="P6" s="222"/>
      <c r="Q6" s="222" t="s">
        <v>360</v>
      </c>
    </row>
    <row r="7" spans="1:18" ht="5.25" customHeight="1" x14ac:dyDescent="0.2"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</row>
    <row r="8" spans="1:18" x14ac:dyDescent="0.2">
      <c r="B8" s="222"/>
      <c r="C8" s="222"/>
      <c r="D8" s="222"/>
      <c r="E8" s="321" t="s">
        <v>392</v>
      </c>
      <c r="F8" s="321"/>
      <c r="G8" s="321"/>
      <c r="H8" s="222"/>
      <c r="I8" s="321" t="s">
        <v>393</v>
      </c>
      <c r="J8" s="321"/>
      <c r="K8" s="321"/>
      <c r="L8" s="222"/>
      <c r="M8" s="321" t="s">
        <v>160</v>
      </c>
      <c r="N8" s="321"/>
      <c r="O8" s="321"/>
      <c r="P8" s="222"/>
      <c r="Q8" s="222"/>
    </row>
    <row r="9" spans="1:18" x14ac:dyDescent="0.2">
      <c r="E9" s="216" t="s">
        <v>186</v>
      </c>
      <c r="F9" s="217" t="s">
        <v>187</v>
      </c>
      <c r="G9" s="216" t="s">
        <v>189</v>
      </c>
      <c r="I9" s="216" t="s">
        <v>186</v>
      </c>
      <c r="J9" s="217" t="s">
        <v>187</v>
      </c>
      <c r="K9" s="216" t="s">
        <v>189</v>
      </c>
      <c r="L9" s="306"/>
      <c r="M9" s="216" t="s">
        <v>186</v>
      </c>
      <c r="N9" s="217" t="s">
        <v>187</v>
      </c>
      <c r="O9" s="216" t="s">
        <v>189</v>
      </c>
      <c r="P9" s="306"/>
      <c r="Q9" s="205" t="s">
        <v>394</v>
      </c>
    </row>
    <row r="10" spans="1:18" x14ac:dyDescent="0.2">
      <c r="C10" s="206" t="s">
        <v>188</v>
      </c>
      <c r="D10" s="206"/>
      <c r="E10" s="207">
        <f>ROUND(Unadj_Op_revenue,0)-1</f>
        <v>40389777</v>
      </c>
      <c r="F10" s="207">
        <f>ROUND(Unadj_rate_base,0)+2</f>
        <v>788256374</v>
      </c>
      <c r="G10" s="207">
        <f>-(E10-(F10*Overall_ROR))/gross_up_factor</f>
        <v>27686124.286982477</v>
      </c>
      <c r="H10" s="206"/>
      <c r="I10" s="207">
        <f>ROUND(Unadj_Op_revenue,0)</f>
        <v>40389778</v>
      </c>
      <c r="J10" s="207">
        <f>ROUND(Unadj_rate_base,0)</f>
        <v>788256372</v>
      </c>
      <c r="K10" s="207">
        <f>-(I10-(J10*Overall_ROR))/gross_up_factor</f>
        <v>27686122.437252834</v>
      </c>
      <c r="L10" s="207"/>
      <c r="M10" s="207">
        <f>E10-I10</f>
        <v>-1</v>
      </c>
      <c r="N10" s="207">
        <f>F10-J10</f>
        <v>2</v>
      </c>
      <c r="O10" s="207">
        <f>G10-K10</f>
        <v>1.8497296422719955</v>
      </c>
      <c r="P10" s="207"/>
      <c r="Q10" s="74" t="s">
        <v>395</v>
      </c>
      <c r="R10" s="283"/>
    </row>
    <row r="11" spans="1:18" x14ac:dyDescent="0.2">
      <c r="C11" s="206"/>
      <c r="D11" s="206"/>
      <c r="E11" s="207"/>
      <c r="F11" s="207"/>
      <c r="G11" s="207"/>
      <c r="H11" s="206"/>
      <c r="I11" s="207"/>
      <c r="J11" s="207"/>
      <c r="K11" s="207"/>
      <c r="L11" s="207"/>
      <c r="M11" s="207"/>
      <c r="N11" s="207"/>
      <c r="O11" s="207"/>
      <c r="P11" s="207"/>
      <c r="Q11" s="74"/>
    </row>
    <row r="12" spans="1:18" s="220" customFormat="1" ht="24.75" customHeight="1" x14ac:dyDescent="0.2">
      <c r="A12" s="218" t="s">
        <v>235</v>
      </c>
      <c r="B12" s="218" t="s">
        <v>228</v>
      </c>
      <c r="C12" s="218"/>
      <c r="D12" s="218" t="s">
        <v>354</v>
      </c>
      <c r="E12" s="218"/>
      <c r="F12" s="218"/>
      <c r="G12" s="219"/>
      <c r="H12" s="218"/>
      <c r="I12" s="218"/>
      <c r="J12" s="218"/>
      <c r="K12" s="219"/>
      <c r="L12" s="219"/>
      <c r="M12" s="218"/>
      <c r="N12" s="218"/>
      <c r="O12" s="219"/>
      <c r="P12" s="219"/>
      <c r="Q12" s="219"/>
    </row>
    <row r="13" spans="1:18" x14ac:dyDescent="0.2">
      <c r="A13" s="204">
        <v>1</v>
      </c>
      <c r="B13" s="203">
        <v>3.1</v>
      </c>
      <c r="C13" s="76" t="str">
        <f t="array" ref="C13:C21">TRANSPOSE('Total Adj'!C9:K9)</f>
        <v>Temperature Normalization</v>
      </c>
      <c r="D13" s="204" t="s">
        <v>386</v>
      </c>
      <c r="E13" s="74">
        <v>-3700295</v>
      </c>
      <c r="F13" s="74"/>
      <c r="G13" s="74">
        <f t="shared" ref="G13" si="0">-(E13-(F13*Overall_ROR))/gross_up_factor</f>
        <v>5972552.6591881197</v>
      </c>
      <c r="I13" s="74">
        <f>'Total Adj'!$C$40</f>
        <v>-3700294.8254999998</v>
      </c>
      <c r="J13" s="74">
        <f>'Total Adj'!C$67</f>
        <v>0</v>
      </c>
      <c r="K13" s="74">
        <f t="shared" ref="K13:K36" si="1">-(I13-(J13*Overall_ROR))/gross_up_factor</f>
        <v>5972552.3775320789</v>
      </c>
      <c r="L13" s="74"/>
      <c r="M13" s="74">
        <f t="shared" ref="M13:M22" si="2">E13-I13</f>
        <v>-0.17450000019744039</v>
      </c>
      <c r="N13" s="74">
        <f t="shared" ref="N13:N22" si="3">F13-J13</f>
        <v>0</v>
      </c>
      <c r="O13" s="74">
        <f t="shared" ref="O13:O22" si="4">G13-K13</f>
        <v>0.28165604081004858</v>
      </c>
      <c r="P13" s="74"/>
      <c r="Q13" s="74" t="s">
        <v>396</v>
      </c>
      <c r="R13" s="78"/>
    </row>
    <row r="14" spans="1:18" x14ac:dyDescent="0.2">
      <c r="A14" s="204">
        <f>A13+1</f>
        <v>2</v>
      </c>
      <c r="B14" s="203">
        <v>3.2</v>
      </c>
      <c r="C14" s="76" t="str">
        <v>Revenue Normalization</v>
      </c>
      <c r="D14" s="204" t="s">
        <v>386</v>
      </c>
      <c r="E14" s="74">
        <v>-4827929</v>
      </c>
      <c r="F14" s="74"/>
      <c r="G14" s="74">
        <f>-(E14-(F14*Overall_ROR))/gross_up_factor+1</f>
        <v>7792639.2051488981</v>
      </c>
      <c r="I14" s="74">
        <f>'Total Adj'!D$40</f>
        <v>-4827929.8803313505</v>
      </c>
      <c r="J14" s="74">
        <f>'Total Adj'!D$67</f>
        <v>0</v>
      </c>
      <c r="K14" s="74">
        <f t="shared" si="1"/>
        <v>7792639.6260694861</v>
      </c>
      <c r="L14" s="74"/>
      <c r="M14" s="74">
        <f t="shared" si="2"/>
        <v>0.88033135049045086</v>
      </c>
      <c r="N14" s="74">
        <f t="shared" si="3"/>
        <v>0</v>
      </c>
      <c r="O14" s="74">
        <f t="shared" si="4"/>
        <v>-0.42092058807611465</v>
      </c>
      <c r="P14" s="74"/>
      <c r="Q14" s="74" t="s">
        <v>396</v>
      </c>
    </row>
    <row r="15" spans="1:18" x14ac:dyDescent="0.2">
      <c r="A15" s="204">
        <f t="shared" ref="A15:A79" si="5">A14+1</f>
        <v>3</v>
      </c>
      <c r="B15" s="203">
        <v>3.3</v>
      </c>
      <c r="C15" s="76" t="str">
        <v>Effective Price Change</v>
      </c>
      <c r="D15" s="204" t="s">
        <v>386</v>
      </c>
      <c r="E15" s="74">
        <v>11066786</v>
      </c>
      <c r="F15" s="74"/>
      <c r="G15" s="74">
        <f>-(E15-(F15*Overall_ROR))/gross_up_factor+1</f>
        <v>-17862618.643289484</v>
      </c>
      <c r="I15" s="74">
        <f>'Total Adj'!E$40</f>
        <v>11066786.133521356</v>
      </c>
      <c r="J15" s="74">
        <f>'Total Adj'!E$67</f>
        <v>0</v>
      </c>
      <c r="K15" s="74">
        <f>-(I15-(J15*Overall_ROR))/gross_up_factor</f>
        <v>-17862619.85880293</v>
      </c>
      <c r="L15" s="74"/>
      <c r="M15" s="74">
        <f t="shared" si="2"/>
        <v>-0.13352135568857193</v>
      </c>
      <c r="N15" s="74">
        <f t="shared" si="3"/>
        <v>0</v>
      </c>
      <c r="O15" s="74">
        <f t="shared" si="4"/>
        <v>1.2155134454369545</v>
      </c>
      <c r="P15" s="74"/>
      <c r="Q15" s="74" t="s">
        <v>396</v>
      </c>
    </row>
    <row r="16" spans="1:18" x14ac:dyDescent="0.2">
      <c r="A16" s="204">
        <f t="shared" si="5"/>
        <v>4</v>
      </c>
      <c r="B16" s="203">
        <v>3.4</v>
      </c>
      <c r="C16" s="76" t="str">
        <v>SO2 Emission Allowance Sales</v>
      </c>
      <c r="D16" s="204" t="s">
        <v>386</v>
      </c>
      <c r="E16" s="74">
        <v>481474</v>
      </c>
      <c r="F16" s="74">
        <v>-249925</v>
      </c>
      <c r="G16" s="74">
        <f>-(E16-(F16*Overall_ROR))/gross_up_factor+1</f>
        <v>-806582.04414494394</v>
      </c>
      <c r="I16" s="74">
        <f>'Total Adj'!F$40</f>
        <v>481473.27761135239</v>
      </c>
      <c r="J16" s="74">
        <f>'Total Adj'!F$67</f>
        <v>-249924.71937285986</v>
      </c>
      <c r="K16" s="74">
        <f t="shared" si="1"/>
        <v>-806581.84509009949</v>
      </c>
      <c r="L16" s="74"/>
      <c r="M16" s="74">
        <f t="shared" si="2"/>
        <v>0.72238864761311561</v>
      </c>
      <c r="N16" s="74">
        <f t="shared" si="3"/>
        <v>-0.28062714013503864</v>
      </c>
      <c r="O16" s="74">
        <f t="shared" si="4"/>
        <v>-0.19905484444461763</v>
      </c>
      <c r="P16" s="74"/>
      <c r="Q16" s="74" t="s">
        <v>396</v>
      </c>
    </row>
    <row r="17" spans="1:19" x14ac:dyDescent="0.2">
      <c r="A17" s="204">
        <f t="shared" si="5"/>
        <v>5</v>
      </c>
      <c r="B17" s="203">
        <v>3.5</v>
      </c>
      <c r="C17" s="76" t="str">
        <v>Renewable Energy Credit and Renewable Energy Attribute Revenue</v>
      </c>
      <c r="D17" s="204" t="s">
        <v>386</v>
      </c>
      <c r="E17" s="74">
        <v>-1464670</v>
      </c>
      <c r="F17" s="74"/>
      <c r="G17" s="74">
        <f t="shared" ref="G17:G18" si="6">-(E17-(F17*Overall_ROR))/gross_up_factor</f>
        <v>2364086.8372205631</v>
      </c>
      <c r="I17" s="74">
        <f>'Total Adj'!G$40</f>
        <v>-1464670.435197121</v>
      </c>
      <c r="J17" s="74">
        <f>'Total Adj'!G$67</f>
        <v>0</v>
      </c>
      <c r="K17" s="74">
        <f t="shared" si="1"/>
        <v>2364087.5396612394</v>
      </c>
      <c r="L17" s="74"/>
      <c r="M17" s="74">
        <f t="shared" si="2"/>
        <v>0.43519712099805474</v>
      </c>
      <c r="N17" s="74">
        <f t="shared" si="3"/>
        <v>0</v>
      </c>
      <c r="O17" s="74">
        <f t="shared" si="4"/>
        <v>-0.70244067627936602</v>
      </c>
      <c r="P17" s="74"/>
      <c r="Q17" s="74" t="s">
        <v>396</v>
      </c>
    </row>
    <row r="18" spans="1:19" x14ac:dyDescent="0.2">
      <c r="A18" s="204">
        <f t="shared" si="5"/>
        <v>6</v>
      </c>
      <c r="B18" s="203">
        <v>3.6</v>
      </c>
      <c r="C18" s="76" t="str">
        <v>Wheeling Revenue</v>
      </c>
      <c r="D18" s="204" t="s">
        <v>386</v>
      </c>
      <c r="E18" s="74">
        <v>225696</v>
      </c>
      <c r="F18" s="74"/>
      <c r="G18" s="74">
        <f t="shared" si="6"/>
        <v>-364290.21063675248</v>
      </c>
      <c r="I18" s="74">
        <f>'Total Adj'!H$40</f>
        <v>225695.19587542658</v>
      </c>
      <c r="J18" s="74">
        <f>'Total Adj'!H$67</f>
        <v>0</v>
      </c>
      <c r="K18" s="74">
        <f t="shared" si="1"/>
        <v>-364288.9127195974</v>
      </c>
      <c r="L18" s="74"/>
      <c r="M18" s="74">
        <f t="shared" si="2"/>
        <v>0.80412457342026755</v>
      </c>
      <c r="N18" s="74">
        <f t="shared" si="3"/>
        <v>0</v>
      </c>
      <c r="O18" s="74">
        <f t="shared" si="4"/>
        <v>-1.2979171550832689</v>
      </c>
      <c r="P18" s="74"/>
      <c r="Q18" s="74" t="s">
        <v>396</v>
      </c>
    </row>
    <row r="19" spans="1:19" x14ac:dyDescent="0.2">
      <c r="A19" s="204">
        <f t="shared" si="5"/>
        <v>7</v>
      </c>
      <c r="B19" s="203">
        <v>3.7</v>
      </c>
      <c r="C19" s="76" t="str">
        <v>Ancillary Revenue</v>
      </c>
      <c r="D19" s="204" t="s">
        <v>386</v>
      </c>
      <c r="E19" s="209">
        <v>26862</v>
      </c>
      <c r="F19" s="209"/>
      <c r="G19" s="209">
        <f>-(E19-(F19*Overall_ROR))/gross_up_factor</f>
        <v>-43357.275441852951</v>
      </c>
      <c r="I19" s="209">
        <f>'Total Adj'!I$40</f>
        <v>26861.784592098978</v>
      </c>
      <c r="J19" s="209">
        <f>'Total Adj'!I$67</f>
        <v>0</v>
      </c>
      <c r="K19" s="209">
        <f>-(I19-(J19*Overall_ROR))/gross_up_factor</f>
        <v>-43356.927757402918</v>
      </c>
      <c r="L19" s="209"/>
      <c r="M19" s="209">
        <f t="shared" si="2"/>
        <v>0.21540790102153551</v>
      </c>
      <c r="N19" s="209">
        <f t="shared" si="3"/>
        <v>0</v>
      </c>
      <c r="O19" s="209">
        <f t="shared" si="4"/>
        <v>-0.34768445003282977</v>
      </c>
      <c r="P19" s="209"/>
      <c r="Q19" s="74" t="s">
        <v>396</v>
      </c>
    </row>
    <row r="20" spans="1:19" x14ac:dyDescent="0.2">
      <c r="A20" s="204">
        <f t="shared" si="5"/>
        <v>8</v>
      </c>
      <c r="B20" s="232" t="s">
        <v>285</v>
      </c>
      <c r="C20" s="76" t="str">
        <v>Schedule 300 Fee Change</v>
      </c>
      <c r="D20" s="204" t="s">
        <v>239</v>
      </c>
      <c r="E20" s="209">
        <v>0</v>
      </c>
      <c r="F20" s="209"/>
      <c r="G20" s="209">
        <f>-(E20-(F20*Overall_ROR))/gross_up_factor</f>
        <v>0</v>
      </c>
      <c r="H20" s="303"/>
      <c r="I20" s="209">
        <f>'Total Adj'!$J$40</f>
        <v>0</v>
      </c>
      <c r="J20" s="209">
        <f>'Total Adj'!J$67</f>
        <v>0</v>
      </c>
      <c r="K20" s="209">
        <f>-(I20-(J20*Overall_ROR))/gross_up_factor</f>
        <v>0</v>
      </c>
      <c r="L20" s="209"/>
      <c r="M20" s="209">
        <f t="shared" si="2"/>
        <v>0</v>
      </c>
      <c r="N20" s="209">
        <f t="shared" si="3"/>
        <v>0</v>
      </c>
      <c r="O20" s="209">
        <f t="shared" si="4"/>
        <v>0</v>
      </c>
      <c r="P20" s="209"/>
      <c r="Q20" s="74" t="s">
        <v>397</v>
      </c>
    </row>
    <row r="21" spans="1:19" x14ac:dyDescent="0.2">
      <c r="A21" s="204">
        <f t="shared" si="5"/>
        <v>9</v>
      </c>
      <c r="B21" s="232" t="s">
        <v>295</v>
      </c>
      <c r="C21" s="76" t="str">
        <v>Wind Wake Loss Revenues</v>
      </c>
      <c r="D21" s="204" t="s">
        <v>386</v>
      </c>
      <c r="E21" s="77">
        <v>16828</v>
      </c>
      <c r="F21" s="77"/>
      <c r="G21" s="77">
        <f>-(E21-(F21*Overall_ROR))/gross_up_factor+1</f>
        <v>-27160.649584375755</v>
      </c>
      <c r="I21" s="77">
        <f>'Total Adj'!$K$40</f>
        <v>16827.577914443347</v>
      </c>
      <c r="J21" s="77">
        <f>'Total Adj'!K67</f>
        <v>0</v>
      </c>
      <c r="K21" s="77">
        <f>-(I21-(J21*Overall_ROR))/gross_up_factor</f>
        <v>-27160.968306744162</v>
      </c>
      <c r="L21" s="209"/>
      <c r="M21" s="77">
        <f t="shared" si="2"/>
        <v>0.42208555665274616</v>
      </c>
      <c r="N21" s="77">
        <f t="shared" si="3"/>
        <v>0</v>
      </c>
      <c r="O21" s="77">
        <f t="shared" si="4"/>
        <v>0.3187223684071796</v>
      </c>
      <c r="P21" s="209"/>
      <c r="Q21" s="74" t="s">
        <v>397</v>
      </c>
    </row>
    <row r="22" spans="1:19" x14ac:dyDescent="0.2">
      <c r="A22" s="204">
        <f t="shared" si="5"/>
        <v>10</v>
      </c>
      <c r="B22" s="203"/>
      <c r="C22" s="206" t="s">
        <v>229</v>
      </c>
      <c r="D22" s="206"/>
      <c r="E22" s="207">
        <f>SUM(E13:E21)</f>
        <v>1824752</v>
      </c>
      <c r="F22" s="207">
        <f>SUM(F13:F21)</f>
        <v>-249925</v>
      </c>
      <c r="G22" s="207">
        <f>SUM(G13:G21)</f>
        <v>-2974730.1215398288</v>
      </c>
      <c r="H22" s="206"/>
      <c r="I22" s="207">
        <f>SUM(I13:I21)</f>
        <v>1824748.8284862053</v>
      </c>
      <c r="J22" s="207">
        <f>SUM(J13:J21)</f>
        <v>-249924.71937285986</v>
      </c>
      <c r="K22" s="207">
        <f>SUM(K13:K21)</f>
        <v>-2974728.9694139683</v>
      </c>
      <c r="L22" s="207"/>
      <c r="M22" s="207">
        <f t="shared" si="2"/>
        <v>3.1715137946885079</v>
      </c>
      <c r="N22" s="207">
        <f t="shared" si="3"/>
        <v>-0.28062714013503864</v>
      </c>
      <c r="O22" s="207">
        <f t="shared" si="4"/>
        <v>-1.1521258605644107</v>
      </c>
      <c r="P22" s="207"/>
      <c r="Q22" s="284"/>
    </row>
    <row r="23" spans="1:19" x14ac:dyDescent="0.2">
      <c r="A23" s="204">
        <f t="shared" si="5"/>
        <v>11</v>
      </c>
      <c r="E23" s="74"/>
      <c r="F23" s="74"/>
      <c r="G23" s="74"/>
      <c r="I23" s="74"/>
      <c r="J23" s="74"/>
      <c r="K23" s="74"/>
      <c r="L23" s="74"/>
      <c r="M23" s="74"/>
      <c r="N23" s="74"/>
      <c r="O23" s="74"/>
      <c r="P23" s="74"/>
      <c r="Q23" s="284"/>
      <c r="R23" s="231">
        <f>SUM('Total Adj'!C71:K71)-K22</f>
        <v>0</v>
      </c>
      <c r="S23" s="76" t="s">
        <v>274</v>
      </c>
    </row>
    <row r="24" spans="1:19" x14ac:dyDescent="0.2">
      <c r="A24" s="204">
        <f t="shared" si="5"/>
        <v>12</v>
      </c>
      <c r="B24" s="203">
        <v>4.0999999999999996</v>
      </c>
      <c r="C24" s="76" t="str">
        <f t="array" ref="C24:C34">TRANSPOSE('Total Adj'!L9:V9)</f>
        <v>Miscellan -eous Expense &amp; Revenue</v>
      </c>
      <c r="D24" s="204" t="s">
        <v>386</v>
      </c>
      <c r="E24" s="74">
        <v>14374</v>
      </c>
      <c r="F24" s="74"/>
      <c r="G24" s="74">
        <f t="shared" ref="G24:G25" si="7">-(E24-(F24*Overall_ROR))/gross_up_factor</f>
        <v>-23200.710192881928</v>
      </c>
      <c r="I24" s="74">
        <f>'Total Adj'!L$40</f>
        <v>14374.098749112274</v>
      </c>
      <c r="J24" s="74">
        <f>'Total Adj'!L$67</f>
        <v>0</v>
      </c>
      <c r="K24" s="74">
        <f t="shared" si="1"/>
        <v>-23200.869581328825</v>
      </c>
      <c r="L24" s="74"/>
      <c r="M24" s="74">
        <f>E24-I24</f>
        <v>-9.8749112274163053E-2</v>
      </c>
      <c r="N24" s="74">
        <f>F24-J24</f>
        <v>0</v>
      </c>
      <c r="O24" s="74">
        <f>G24-K24</f>
        <v>0.15938844689662801</v>
      </c>
      <c r="P24" s="74"/>
      <c r="Q24" s="74" t="s">
        <v>397</v>
      </c>
    </row>
    <row r="25" spans="1:19" x14ac:dyDescent="0.2">
      <c r="A25" s="204">
        <f t="shared" si="5"/>
        <v>13</v>
      </c>
      <c r="B25" s="203">
        <v>4.2</v>
      </c>
      <c r="C25" s="76" t="str">
        <v>General Wage Increase - Restating</v>
      </c>
      <c r="D25" s="204" t="s">
        <v>386</v>
      </c>
      <c r="E25" s="74">
        <v>30933</v>
      </c>
      <c r="F25" s="74"/>
      <c r="G25" s="74">
        <f t="shared" si="7"/>
        <v>-49928.173674441125</v>
      </c>
      <c r="I25" s="74">
        <f>'Total Adj'!M$40</f>
        <v>30932.837736162648</v>
      </c>
      <c r="J25" s="74">
        <f>'Total Adj'!M$67</f>
        <v>0</v>
      </c>
      <c r="K25" s="74">
        <f t="shared" si="1"/>
        <v>-49927.91176848139</v>
      </c>
      <c r="L25" s="74"/>
      <c r="M25" s="74">
        <f t="shared" ref="M25:M37" si="8">E25-I25</f>
        <v>0.1622638373519294</v>
      </c>
      <c r="N25" s="74">
        <f t="shared" ref="N25:N37" si="9">F25-J25</f>
        <v>0</v>
      </c>
      <c r="O25" s="74">
        <f t="shared" ref="O25:O37" si="10">G25-K25</f>
        <v>-0.26190595973457675</v>
      </c>
      <c r="P25" s="74"/>
      <c r="Q25" s="74" t="s">
        <v>397</v>
      </c>
    </row>
    <row r="26" spans="1:19" x14ac:dyDescent="0.2">
      <c r="A26" s="204">
        <f t="shared" si="5"/>
        <v>14</v>
      </c>
      <c r="B26" s="203">
        <v>4.3</v>
      </c>
      <c r="C26" s="76" t="str">
        <v>General Wage Increase - Pro Forma</v>
      </c>
      <c r="D26" s="204" t="s">
        <v>239</v>
      </c>
      <c r="E26" s="74">
        <v>447635</v>
      </c>
      <c r="F26" s="74"/>
      <c r="G26" s="74">
        <f>-(E26-(F26*Overall_ROR))/gross_up_factor</f>
        <v>-722516.34250665805</v>
      </c>
      <c r="I26" s="74">
        <f>'Total Adj'!N$40</f>
        <v>447617.81318040681</v>
      </c>
      <c r="J26" s="74">
        <f>'Total Adj'!N$67</f>
        <v>0</v>
      </c>
      <c r="K26" s="74">
        <f>-(I26-(J26*Overall_ROR))/gross_up_factor</f>
        <v>-722488.60169543501</v>
      </c>
      <c r="L26" s="74"/>
      <c r="M26" s="74">
        <f t="shared" si="8"/>
        <v>17.186819593189284</v>
      </c>
      <c r="N26" s="74">
        <f t="shared" si="9"/>
        <v>0</v>
      </c>
      <c r="O26" s="74">
        <f t="shared" si="10"/>
        <v>-27.740811223047785</v>
      </c>
      <c r="P26" s="74"/>
      <c r="Q26" s="74" t="s">
        <v>397</v>
      </c>
    </row>
    <row r="27" spans="1:19" x14ac:dyDescent="0.2">
      <c r="A27" s="204">
        <f t="shared" si="5"/>
        <v>15</v>
      </c>
      <c r="B27" s="203">
        <v>4.4000000000000004</v>
      </c>
      <c r="C27" s="76" t="str">
        <v>Irrigation Load Control Program</v>
      </c>
      <c r="D27" s="204" t="s">
        <v>386</v>
      </c>
      <c r="E27" s="74">
        <v>3472</v>
      </c>
      <c r="F27" s="74"/>
      <c r="G27" s="74">
        <f>-(E27-(F27*Overall_ROR))/gross_up_factor</f>
        <v>-5604.067468323783</v>
      </c>
      <c r="I27" s="74">
        <f>'Total Adj'!O$40</f>
        <v>3471.4899197574941</v>
      </c>
      <c r="J27" s="74">
        <f>'Total Adj'!O$67</f>
        <v>0</v>
      </c>
      <c r="K27" s="74">
        <f>-(I27-(J27*Overall_ROR))/gross_up_factor</f>
        <v>-5603.2441606932352</v>
      </c>
      <c r="L27" s="74"/>
      <c r="M27" s="74">
        <f t="shared" si="8"/>
        <v>0.51008024250586459</v>
      </c>
      <c r="N27" s="74">
        <f t="shared" si="9"/>
        <v>0</v>
      </c>
      <c r="O27" s="74">
        <f t="shared" si="10"/>
        <v>-0.82330763054778799</v>
      </c>
      <c r="P27" s="74"/>
      <c r="Q27" s="74" t="s">
        <v>397</v>
      </c>
    </row>
    <row r="28" spans="1:19" x14ac:dyDescent="0.2">
      <c r="A28" s="204">
        <f t="shared" si="5"/>
        <v>16</v>
      </c>
      <c r="B28" s="203">
        <v>4.5</v>
      </c>
      <c r="C28" s="76" t="str">
        <v>Remove Non-Recurring Entries</v>
      </c>
      <c r="D28" s="204" t="s">
        <v>386</v>
      </c>
      <c r="E28" s="74">
        <v>-101034</v>
      </c>
      <c r="F28" s="74"/>
      <c r="G28" s="74">
        <f t="shared" ref="G28:G33" si="11">-(E28-(F28*Overall_ROR))/gross_up_factor</f>
        <v>163076.42643854409</v>
      </c>
      <c r="I28" s="74">
        <f>'Total Adj'!P$40</f>
        <v>-101033.78529856091</v>
      </c>
      <c r="J28" s="74">
        <f>'Total Adj'!P$67</f>
        <v>0</v>
      </c>
      <c r="K28" s="74">
        <f t="shared" si="1"/>
        <v>163076.07989437639</v>
      </c>
      <c r="L28" s="74"/>
      <c r="M28" s="74">
        <f t="shared" si="8"/>
        <v>-0.21470143909391481</v>
      </c>
      <c r="N28" s="74">
        <f t="shared" si="9"/>
        <v>0</v>
      </c>
      <c r="O28" s="74">
        <f t="shared" si="10"/>
        <v>0.3465441676962655</v>
      </c>
      <c r="P28" s="74"/>
      <c r="Q28" s="74" t="s">
        <v>397</v>
      </c>
    </row>
    <row r="29" spans="1:19" x14ac:dyDescent="0.2">
      <c r="A29" s="204">
        <f t="shared" si="5"/>
        <v>17</v>
      </c>
      <c r="B29" s="203">
        <v>4.5999999999999996</v>
      </c>
      <c r="C29" s="76" t="str">
        <v>DSM Revenue and Expense Removal</v>
      </c>
      <c r="D29" s="204" t="s">
        <v>386</v>
      </c>
      <c r="E29" s="74">
        <v>6923690</v>
      </c>
      <c r="F29" s="74"/>
      <c r="G29" s="74">
        <f t="shared" si="11"/>
        <v>-11175353.07884755</v>
      </c>
      <c r="I29" s="74">
        <f>'Total Adj'!Q$40</f>
        <v>6923689.1386707202</v>
      </c>
      <c r="J29" s="74">
        <f>'Total Adj'!Q$67</f>
        <v>0</v>
      </c>
      <c r="K29" s="74">
        <f t="shared" si="1"/>
        <v>-11175351.688597724</v>
      </c>
      <c r="L29" s="74"/>
      <c r="M29" s="74">
        <f t="shared" si="8"/>
        <v>0.86132927983999252</v>
      </c>
      <c r="N29" s="74">
        <f t="shared" si="9"/>
        <v>0</v>
      </c>
      <c r="O29" s="74">
        <f t="shared" si="10"/>
        <v>-1.3902498260140419</v>
      </c>
      <c r="P29" s="74"/>
      <c r="Q29" s="74" t="s">
        <v>397</v>
      </c>
    </row>
    <row r="30" spans="1:19" x14ac:dyDescent="0.2">
      <c r="A30" s="204">
        <f t="shared" si="5"/>
        <v>18</v>
      </c>
      <c r="B30" s="203">
        <v>4.7</v>
      </c>
      <c r="C30" s="76" t="str">
        <v>Insurance Expense</v>
      </c>
      <c r="D30" s="204" t="s">
        <v>239</v>
      </c>
      <c r="E30" s="74">
        <v>1739135</v>
      </c>
      <c r="F30" s="74"/>
      <c r="G30" s="74">
        <f t="shared" si="11"/>
        <v>-2807093.8584456458</v>
      </c>
      <c r="I30" s="74">
        <f>'Total Adj'!R$40</f>
        <v>1739134.8326140966</v>
      </c>
      <c r="J30" s="74">
        <f>'Total Adj'!R$67</f>
        <v>0</v>
      </c>
      <c r="K30" s="74">
        <f t="shared" si="1"/>
        <v>-2807093.5882722889</v>
      </c>
      <c r="L30" s="74"/>
      <c r="M30" s="74">
        <f t="shared" si="8"/>
        <v>0.16738590341992676</v>
      </c>
      <c r="N30" s="74">
        <f t="shared" si="9"/>
        <v>0</v>
      </c>
      <c r="O30" s="74">
        <f t="shared" si="10"/>
        <v>-0.27017335686832666</v>
      </c>
      <c r="P30" s="74"/>
      <c r="Q30" s="74" t="s">
        <v>398</v>
      </c>
    </row>
    <row r="31" spans="1:19" x14ac:dyDescent="0.2">
      <c r="A31" s="204">
        <f t="shared" si="5"/>
        <v>19</v>
      </c>
      <c r="B31" s="203">
        <v>4.8</v>
      </c>
      <c r="C31" s="76" t="str">
        <v>Advertising</v>
      </c>
      <c r="D31" s="204" t="s">
        <v>386</v>
      </c>
      <c r="E31" s="74">
        <v>261</v>
      </c>
      <c r="F31" s="74"/>
      <c r="G31" s="74">
        <f t="shared" si="11"/>
        <v>-421.27350496327978</v>
      </c>
      <c r="I31" s="74">
        <f>'Total Adj'!S$40</f>
        <v>261.26530187496314</v>
      </c>
      <c r="J31" s="74">
        <f>'Total Adj'!S$67</f>
        <v>0</v>
      </c>
      <c r="K31" s="74">
        <f t="shared" si="1"/>
        <v>-421.70172201591981</v>
      </c>
      <c r="L31" s="74"/>
      <c r="M31" s="74">
        <f t="shared" si="8"/>
        <v>-0.26530187496314284</v>
      </c>
      <c r="N31" s="74">
        <f t="shared" si="9"/>
        <v>0</v>
      </c>
      <c r="O31" s="74">
        <f t="shared" si="10"/>
        <v>0.4282170526400364</v>
      </c>
      <c r="P31" s="74"/>
      <c r="Q31" s="74" t="s">
        <v>398</v>
      </c>
    </row>
    <row r="32" spans="1:19" x14ac:dyDescent="0.2">
      <c r="A32" s="204">
        <f t="shared" si="5"/>
        <v>20</v>
      </c>
      <c r="B32" s="203">
        <v>4.9000000000000004</v>
      </c>
      <c r="C32" s="76" t="str">
        <v>Memberships &amp; Subscriptions</v>
      </c>
      <c r="D32" s="204" t="s">
        <v>386</v>
      </c>
      <c r="E32" s="74">
        <v>-973</v>
      </c>
      <c r="F32" s="74"/>
      <c r="G32" s="74">
        <f t="shared" si="11"/>
        <v>1570.4947139052538</v>
      </c>
      <c r="I32" s="74">
        <f>'Total Adj'!T$40</f>
        <v>-972.74282173129757</v>
      </c>
      <c r="J32" s="74">
        <f>'Total Adj'!T$67</f>
        <v>0</v>
      </c>
      <c r="K32" s="74">
        <f t="shared" si="1"/>
        <v>1570.079608960209</v>
      </c>
      <c r="L32" s="74"/>
      <c r="M32" s="74">
        <f t="shared" si="8"/>
        <v>-0.25717826870243243</v>
      </c>
      <c r="N32" s="74">
        <f t="shared" si="9"/>
        <v>0</v>
      </c>
      <c r="O32" s="74">
        <f t="shared" si="10"/>
        <v>0.41510494504473172</v>
      </c>
      <c r="P32" s="74"/>
      <c r="Q32" s="74" t="s">
        <v>398</v>
      </c>
    </row>
    <row r="33" spans="1:19" x14ac:dyDescent="0.2">
      <c r="A33" s="204">
        <f t="shared" si="5"/>
        <v>21</v>
      </c>
      <c r="B33" s="208">
        <v>4.0999999999999996</v>
      </c>
      <c r="C33" s="76" t="str">
        <v>Uncollectible Expense</v>
      </c>
      <c r="D33" s="204" t="s">
        <v>386</v>
      </c>
      <c r="E33" s="74">
        <v>-274576</v>
      </c>
      <c r="F33" s="74"/>
      <c r="G33" s="74">
        <f t="shared" si="11"/>
        <v>443186.18352029694</v>
      </c>
      <c r="I33" s="74">
        <f>'Total Adj'!U$40</f>
        <v>-274576.25423230953</v>
      </c>
      <c r="J33" s="74">
        <f>'Total Adj'!U$67</f>
        <v>0</v>
      </c>
      <c r="K33" s="74">
        <f t="shared" si="1"/>
        <v>443186.59387024376</v>
      </c>
      <c r="L33" s="74"/>
      <c r="M33" s="74">
        <f t="shared" si="8"/>
        <v>0.25423230952583253</v>
      </c>
      <c r="N33" s="74">
        <f t="shared" si="9"/>
        <v>0</v>
      </c>
      <c r="O33" s="74">
        <f t="shared" si="10"/>
        <v>-0.41034994681831449</v>
      </c>
      <c r="P33" s="74"/>
      <c r="Q33" s="74" t="s">
        <v>398</v>
      </c>
    </row>
    <row r="34" spans="1:19" x14ac:dyDescent="0.2">
      <c r="A34" s="204">
        <f t="shared" si="5"/>
        <v>22</v>
      </c>
      <c r="B34" s="203" t="s">
        <v>315</v>
      </c>
      <c r="C34" s="76" t="str">
        <v>Legal Expenses</v>
      </c>
      <c r="D34" s="204" t="s">
        <v>386</v>
      </c>
      <c r="E34" s="74">
        <v>-60982</v>
      </c>
      <c r="F34" s="74"/>
      <c r="G34" s="74">
        <f>-(E34-(F34*Overall_ROR))/gross_up_factor</f>
        <v>98429.505286094733</v>
      </c>
      <c r="H34" s="303"/>
      <c r="I34" s="74">
        <f>'Total Adj'!V$40+'Total Adj'!W40</f>
        <v>-60982.83889417944</v>
      </c>
      <c r="J34" s="74">
        <f>'Total Adj'!V$67</f>
        <v>0</v>
      </c>
      <c r="K34" s="74">
        <f>-(I34-(J34*Overall_ROR))/gross_up_factor</f>
        <v>98430.859323992307</v>
      </c>
      <c r="L34" s="74"/>
      <c r="M34" s="74">
        <f t="shared" si="8"/>
        <v>0.83889417944010347</v>
      </c>
      <c r="N34" s="74">
        <f t="shared" si="9"/>
        <v>0</v>
      </c>
      <c r="O34" s="74">
        <f t="shared" si="10"/>
        <v>-1.3540378975740168</v>
      </c>
      <c r="P34" s="74"/>
      <c r="Q34" s="74" t="s">
        <v>398</v>
      </c>
    </row>
    <row r="35" spans="1:19" x14ac:dyDescent="0.2">
      <c r="A35" s="204">
        <f t="shared" si="5"/>
        <v>23</v>
      </c>
      <c r="B35" s="203">
        <v>4.12</v>
      </c>
      <c r="C35" s="76" t="str">
        <f>'Total Adj'!X9</f>
        <v xml:space="preserve">Collection Agency Fees </v>
      </c>
      <c r="D35" s="204" t="s">
        <v>239</v>
      </c>
      <c r="E35" s="74">
        <v>0</v>
      </c>
      <c r="F35" s="74"/>
      <c r="G35" s="74">
        <f t="shared" ref="G35:G36" si="12">-(E35-(F35*Overall_ROR))/gross_up_factor</f>
        <v>0</v>
      </c>
      <c r="H35" s="303"/>
      <c r="I35" s="74">
        <f>'Total Adj'!X40</f>
        <v>0</v>
      </c>
      <c r="J35" s="74">
        <f>'Total Adj'!W$67</f>
        <v>0</v>
      </c>
      <c r="K35" s="74">
        <f t="shared" si="1"/>
        <v>0</v>
      </c>
      <c r="L35" s="74"/>
      <c r="M35" s="74">
        <f t="shared" si="8"/>
        <v>0</v>
      </c>
      <c r="N35" s="74">
        <f t="shared" si="9"/>
        <v>0</v>
      </c>
      <c r="O35" s="74">
        <f t="shared" si="10"/>
        <v>0</v>
      </c>
      <c r="P35" s="74"/>
      <c r="Q35" s="74" t="s">
        <v>398</v>
      </c>
    </row>
    <row r="36" spans="1:19" x14ac:dyDescent="0.2">
      <c r="A36" s="204">
        <f t="shared" si="5"/>
        <v>24</v>
      </c>
      <c r="B36" s="232" t="s">
        <v>314</v>
      </c>
      <c r="C36" s="76" t="str">
        <f>'Total Adj'!Y9</f>
        <v xml:space="preserve">IHS Global Insight Escalation </v>
      </c>
      <c r="D36" s="204" t="s">
        <v>239</v>
      </c>
      <c r="E36" s="77">
        <v>0</v>
      </c>
      <c r="F36" s="77"/>
      <c r="G36" s="77">
        <f t="shared" si="12"/>
        <v>0</v>
      </c>
      <c r="H36" s="303"/>
      <c r="I36" s="77">
        <f>'Total Adj'!Y40+'Total Adj'!Z40+'Total Adj'!AA40+'Total Adj'!AB40+'Total Adj'!AC40</f>
        <v>0</v>
      </c>
      <c r="J36" s="77">
        <f>'Total Adj'!X$67</f>
        <v>0</v>
      </c>
      <c r="K36" s="77">
        <f t="shared" si="1"/>
        <v>0</v>
      </c>
      <c r="L36" s="209"/>
      <c r="M36" s="77">
        <f t="shared" si="8"/>
        <v>0</v>
      </c>
      <c r="N36" s="77">
        <f t="shared" si="9"/>
        <v>0</v>
      </c>
      <c r="O36" s="77">
        <f t="shared" si="10"/>
        <v>0</v>
      </c>
      <c r="P36" s="209"/>
      <c r="Q36" s="74" t="s">
        <v>399</v>
      </c>
    </row>
    <row r="37" spans="1:19" x14ac:dyDescent="0.2">
      <c r="A37" s="204">
        <f t="shared" si="5"/>
        <v>25</v>
      </c>
      <c r="B37" s="203"/>
      <c r="C37" s="206" t="s">
        <v>230</v>
      </c>
      <c r="D37" s="206"/>
      <c r="E37" s="210">
        <f>SUM(E24:E36)</f>
        <v>8721935</v>
      </c>
      <c r="F37" s="210">
        <f>SUM(F24:F36)</f>
        <v>0</v>
      </c>
      <c r="G37" s="210">
        <f>SUM(G24:G36)</f>
        <v>-14077854.894681625</v>
      </c>
      <c r="H37" s="206"/>
      <c r="I37" s="210">
        <f>SUM(I24:I36)</f>
        <v>8721915.8549253512</v>
      </c>
      <c r="J37" s="210">
        <f>SUM(J24:J36)</f>
        <v>0</v>
      </c>
      <c r="K37" s="210">
        <f>SUM(K24:K36)</f>
        <v>-14077823.993100397</v>
      </c>
      <c r="L37" s="210"/>
      <c r="M37" s="210">
        <f t="shared" si="8"/>
        <v>19.145074648782611</v>
      </c>
      <c r="N37" s="210">
        <f t="shared" si="9"/>
        <v>0</v>
      </c>
      <c r="O37" s="210">
        <f t="shared" si="10"/>
        <v>-30.901581227779388</v>
      </c>
      <c r="P37" s="210"/>
      <c r="Q37" s="284"/>
      <c r="R37" s="231">
        <f>SUM('Total Adj'!L71:AC71)-K37</f>
        <v>0</v>
      </c>
      <c r="S37" s="76" t="s">
        <v>274</v>
      </c>
    </row>
    <row r="38" spans="1:19" x14ac:dyDescent="0.2">
      <c r="A38" s="204">
        <f t="shared" si="5"/>
        <v>26</v>
      </c>
      <c r="E38" s="74"/>
      <c r="F38" s="74"/>
      <c r="G38" s="74"/>
      <c r="I38" s="74"/>
      <c r="J38" s="74"/>
      <c r="K38" s="74"/>
      <c r="L38" s="74"/>
      <c r="M38" s="74"/>
      <c r="N38" s="74"/>
      <c r="O38" s="74"/>
      <c r="P38" s="74"/>
      <c r="Q38" s="284"/>
    </row>
    <row r="39" spans="1:19" x14ac:dyDescent="0.2">
      <c r="A39" s="204">
        <f t="shared" si="5"/>
        <v>27</v>
      </c>
      <c r="B39" s="203">
        <v>5.0999999999999996</v>
      </c>
      <c r="C39" s="76" t="str">
        <f t="array" ref="C39:C42">TRANSPOSE('Total Adj'!AD9:AG9)</f>
        <v>Net Power Costs - Restating</v>
      </c>
      <c r="D39" s="204" t="s">
        <v>386</v>
      </c>
      <c r="E39" s="74">
        <v>7484568</v>
      </c>
      <c r="F39" s="74"/>
      <c r="G39" s="74">
        <f t="shared" ref="G39:G41" si="13">-(E39-(F39*Overall_ROR))/gross_up_factor</f>
        <v>-12080652.086191589</v>
      </c>
      <c r="I39" s="74">
        <f>'Total Adj'!AD$40</f>
        <v>7484567.7885333151</v>
      </c>
      <c r="J39" s="74">
        <f>'Total Adj'!AD$67</f>
        <v>0</v>
      </c>
      <c r="K39" s="74">
        <f t="shared" ref="K39:K42" si="14">-(I39-(J39*Overall_ROR))/gross_up_factor</f>
        <v>-12080651.744868558</v>
      </c>
      <c r="L39" s="74"/>
      <c r="M39" s="74">
        <f t="shared" ref="M39:M43" si="15">E39-I39</f>
        <v>0.21146668493747711</v>
      </c>
      <c r="N39" s="74">
        <f t="shared" ref="N39:N43" si="16">F39-J39</f>
        <v>0</v>
      </c>
      <c r="O39" s="74">
        <f t="shared" ref="O39:O43" si="17">G39-K39</f>
        <v>-0.34132303111255169</v>
      </c>
      <c r="P39" s="74"/>
      <c r="Q39" s="74" t="s">
        <v>399</v>
      </c>
    </row>
    <row r="40" spans="1:19" x14ac:dyDescent="0.2">
      <c r="A40" s="204">
        <f t="shared" si="5"/>
        <v>28</v>
      </c>
      <c r="B40" s="204" t="s">
        <v>201</v>
      </c>
      <c r="C40" s="76" t="str">
        <v>Net Power Costs - Pro Forma</v>
      </c>
      <c r="D40" s="204" t="s">
        <v>239</v>
      </c>
      <c r="E40" s="74">
        <v>-3069123</v>
      </c>
      <c r="F40" s="74"/>
      <c r="G40" s="74">
        <f>-(E40-(F40*Overall_ROR))/gross_up_factor-1</f>
        <v>4953792.882656767</v>
      </c>
      <c r="H40" s="303"/>
      <c r="I40" s="74">
        <f>'Total Adj'!AE$40</f>
        <v>-3069122.4573623389</v>
      </c>
      <c r="J40" s="74">
        <f>'Total Adj'!AE$67</f>
        <v>0</v>
      </c>
      <c r="K40" s="74">
        <f t="shared" si="14"/>
        <v>4953793.0067990292</v>
      </c>
      <c r="L40" s="74"/>
      <c r="M40" s="74">
        <f t="shared" si="15"/>
        <v>-0.5426376610994339</v>
      </c>
      <c r="N40" s="74">
        <f t="shared" si="16"/>
        <v>0</v>
      </c>
      <c r="O40" s="74">
        <f t="shared" si="17"/>
        <v>-0.12414226215332747</v>
      </c>
      <c r="P40" s="74"/>
      <c r="Q40" s="74" t="s">
        <v>399</v>
      </c>
    </row>
    <row r="41" spans="1:19" x14ac:dyDescent="0.2">
      <c r="A41" s="204">
        <f t="shared" si="5"/>
        <v>29</v>
      </c>
      <c r="B41" s="203">
        <v>5.2</v>
      </c>
      <c r="C41" s="76" t="str">
        <v>James River Royalty Offset</v>
      </c>
      <c r="D41" s="204" t="s">
        <v>386</v>
      </c>
      <c r="E41" s="74">
        <v>441934</v>
      </c>
      <c r="F41" s="74"/>
      <c r="G41" s="74">
        <f t="shared" si="13"/>
        <v>-713314.50246146391</v>
      </c>
      <c r="I41" s="74">
        <f>'Total Adj'!AF$40</f>
        <v>441933.97090947971</v>
      </c>
      <c r="J41" s="74">
        <f>'Total Adj'!AF$67</f>
        <v>0</v>
      </c>
      <c r="K41" s="74">
        <f t="shared" si="14"/>
        <v>-713314.4555071902</v>
      </c>
      <c r="L41" s="74"/>
      <c r="M41" s="74">
        <f t="shared" si="15"/>
        <v>2.9090520285535604E-2</v>
      </c>
      <c r="N41" s="74">
        <f t="shared" si="16"/>
        <v>0</v>
      </c>
      <c r="O41" s="74">
        <f t="shared" si="17"/>
        <v>-4.6954273711889982E-2</v>
      </c>
      <c r="P41" s="74"/>
      <c r="Q41" s="74" t="s">
        <v>400</v>
      </c>
    </row>
    <row r="42" spans="1:19" x14ac:dyDescent="0.2">
      <c r="A42" s="204">
        <f t="shared" si="5"/>
        <v>30</v>
      </c>
      <c r="B42" s="203">
        <v>5.3</v>
      </c>
      <c r="C42" s="76" t="str">
        <v>Colstrip #3 Removal</v>
      </c>
      <c r="D42" s="204" t="s">
        <v>386</v>
      </c>
      <c r="E42" s="77">
        <v>314398</v>
      </c>
      <c r="F42" s="77">
        <v>-8567345</v>
      </c>
      <c r="G42" s="77">
        <f>-(E42-(F42*Overall_ROR))/gross_up_factor-1</f>
        <v>-1516931.3284642077</v>
      </c>
      <c r="I42" s="77">
        <f>'Total Adj'!AG$40</f>
        <v>314398.52210624242</v>
      </c>
      <c r="J42" s="77">
        <f>'Total Adj'!AG$67</f>
        <v>-8567345.2846213318</v>
      </c>
      <c r="K42" s="77">
        <f t="shared" si="14"/>
        <v>-1516931.2047189083</v>
      </c>
      <c r="L42" s="209"/>
      <c r="M42" s="77">
        <f t="shared" si="15"/>
        <v>-0.52210624242434278</v>
      </c>
      <c r="N42" s="77">
        <f t="shared" si="16"/>
        <v>0.28462133184075356</v>
      </c>
      <c r="O42" s="77">
        <f t="shared" si="17"/>
        <v>-0.12374529941007495</v>
      </c>
      <c r="P42" s="209"/>
      <c r="Q42" s="74" t="s">
        <v>400</v>
      </c>
    </row>
    <row r="43" spans="1:19" x14ac:dyDescent="0.2">
      <c r="A43" s="204">
        <f t="shared" si="5"/>
        <v>31</v>
      </c>
      <c r="B43" s="203"/>
      <c r="C43" s="206" t="s">
        <v>231</v>
      </c>
      <c r="D43" s="206"/>
      <c r="E43" s="207">
        <f>SUM(E39:E42)</f>
        <v>5171777</v>
      </c>
      <c r="F43" s="207">
        <f>SUM(F39:F42)</f>
        <v>-8567345</v>
      </c>
      <c r="G43" s="207">
        <f>SUM(G39:G42)</f>
        <v>-9357105.0344604943</v>
      </c>
      <c r="H43" s="206"/>
      <c r="I43" s="207">
        <f>SUM(I39:I42)</f>
        <v>5171777.8241866985</v>
      </c>
      <c r="J43" s="207">
        <f>SUM(J39:J42)</f>
        <v>-8567345.2846213318</v>
      </c>
      <c r="K43" s="207">
        <f>SUM(K39:K42)</f>
        <v>-9357104.398295626</v>
      </c>
      <c r="L43" s="207"/>
      <c r="M43" s="207">
        <f t="shared" si="15"/>
        <v>-0.82418669853359461</v>
      </c>
      <c r="N43" s="207">
        <f t="shared" si="16"/>
        <v>0.28462133184075356</v>
      </c>
      <c r="O43" s="207">
        <f t="shared" si="17"/>
        <v>-0.63616486825048923</v>
      </c>
      <c r="P43" s="207"/>
      <c r="Q43" s="284"/>
      <c r="R43" s="231">
        <f>SUM('Total Adj'!AD71:AG71)-K43</f>
        <v>0</v>
      </c>
      <c r="S43" s="76" t="s">
        <v>274</v>
      </c>
    </row>
    <row r="44" spans="1:19" x14ac:dyDescent="0.2">
      <c r="A44" s="204">
        <f t="shared" si="5"/>
        <v>32</v>
      </c>
      <c r="E44" s="74"/>
      <c r="F44" s="74"/>
      <c r="G44" s="74"/>
      <c r="I44" s="74"/>
      <c r="J44" s="74"/>
      <c r="K44" s="74"/>
      <c r="L44" s="74"/>
      <c r="M44" s="74"/>
      <c r="N44" s="74"/>
      <c r="O44" s="74"/>
      <c r="P44" s="74"/>
      <c r="Q44" s="284"/>
    </row>
    <row r="45" spans="1:19" x14ac:dyDescent="0.2">
      <c r="A45" s="204">
        <f t="shared" si="5"/>
        <v>33</v>
      </c>
      <c r="B45" s="232" t="s">
        <v>14</v>
      </c>
      <c r="C45" s="76" t="s">
        <v>319</v>
      </c>
      <c r="D45" s="204" t="s">
        <v>386</v>
      </c>
      <c r="E45" s="209">
        <v>-3781</v>
      </c>
      <c r="F45" s="209">
        <v>-212765</v>
      </c>
      <c r="G45" s="209">
        <f>-(E45-(F45*Overall_ROR))/gross_up_factor+1</f>
        <v>-18965.741990154143</v>
      </c>
      <c r="I45" s="209">
        <f>'Total Adj'!AH40</f>
        <v>-3780.842571246576</v>
      </c>
      <c r="J45" s="209">
        <f>'Total Adj'!AH67</f>
        <v>-212765.11892330143</v>
      </c>
      <c r="K45" s="209">
        <f t="shared" ref="K45:K46" si="18">-(I45-(J45*Overall_ROR))/gross_up_factor</f>
        <v>-18967.010104357076</v>
      </c>
      <c r="L45" s="209"/>
      <c r="M45" s="209">
        <f t="shared" ref="M45:M50" si="19">E45-I45</f>
        <v>-0.1574287534240284</v>
      </c>
      <c r="N45" s="209">
        <f t="shared" ref="N45:N50" si="20">F45-J45</f>
        <v>0.11892330143018626</v>
      </c>
      <c r="O45" s="209">
        <f t="shared" ref="O45:O50" si="21">G45-K45</f>
        <v>1.2681142029323382</v>
      </c>
      <c r="P45" s="209"/>
      <c r="Q45" s="74" t="s">
        <v>400</v>
      </c>
    </row>
    <row r="46" spans="1:19" x14ac:dyDescent="0.2">
      <c r="A46" s="204">
        <f t="shared" si="5"/>
        <v>34</v>
      </c>
      <c r="B46" s="232" t="s">
        <v>316</v>
      </c>
      <c r="C46" s="76" t="str">
        <f>'Total Adj'!AI9</f>
        <v>Depreciation and Amortization Reserve to December 2013 Balance</v>
      </c>
      <c r="D46" s="204" t="s">
        <v>239</v>
      </c>
      <c r="E46" s="209">
        <v>0</v>
      </c>
      <c r="F46" s="209">
        <v>0</v>
      </c>
      <c r="G46" s="209">
        <f t="shared" ref="G46:G49" si="22">-(E46-(F46*Overall_ROR))/gross_up_factor</f>
        <v>0</v>
      </c>
      <c r="H46" s="303"/>
      <c r="I46" s="209">
        <f>SUM('Total Adj'!AI40:AK40)</f>
        <v>0</v>
      </c>
      <c r="J46" s="209">
        <f>SUM('Total Adj'!AI67:AK67)</f>
        <v>0</v>
      </c>
      <c r="K46" s="209">
        <f t="shared" si="18"/>
        <v>0</v>
      </c>
      <c r="L46" s="209"/>
      <c r="M46" s="209">
        <f t="shared" si="19"/>
        <v>0</v>
      </c>
      <c r="N46" s="209">
        <f t="shared" si="20"/>
        <v>0</v>
      </c>
      <c r="O46" s="209">
        <f t="shared" si="21"/>
        <v>0</v>
      </c>
      <c r="P46" s="209"/>
      <c r="Q46" s="74" t="s">
        <v>400</v>
      </c>
    </row>
    <row r="47" spans="1:19" x14ac:dyDescent="0.2">
      <c r="A47" s="204">
        <f t="shared" si="5"/>
        <v>35</v>
      </c>
      <c r="B47" s="232" t="s">
        <v>317</v>
      </c>
      <c r="C47" s="76" t="str">
        <f>'Total Adj'!AL9</f>
        <v>Depreciation Study &amp; Annual Depreciation</v>
      </c>
      <c r="D47" s="204" t="s">
        <v>239</v>
      </c>
      <c r="E47" s="209">
        <v>-886437</v>
      </c>
      <c r="F47" s="209">
        <v>-886437</v>
      </c>
      <c r="G47" s="209">
        <f t="shared" si="22"/>
        <v>1326328.9468162376</v>
      </c>
      <c r="I47" s="209">
        <f>SUM('Total Adj'!AL40:AN40)</f>
        <v>-886437.27354477905</v>
      </c>
      <c r="J47" s="209">
        <f>SUM('Total Adj'!AL67:AN67)</f>
        <v>-886437.27354477916</v>
      </c>
      <c r="K47" s="209">
        <f t="shared" ref="K47:K49" si="23">-(I47-(J47*Overall_ROR))/gross_up_factor</f>
        <v>1326329.356106868</v>
      </c>
      <c r="L47" s="209"/>
      <c r="M47" s="209">
        <f t="shared" si="19"/>
        <v>0.27354477904736996</v>
      </c>
      <c r="N47" s="209">
        <f t="shared" si="20"/>
        <v>0.27354477916378528</v>
      </c>
      <c r="O47" s="209">
        <f t="shared" si="21"/>
        <v>-0.40929063037037849</v>
      </c>
      <c r="P47" s="209"/>
      <c r="Q47" s="74" t="s">
        <v>401</v>
      </c>
    </row>
    <row r="48" spans="1:19" x14ac:dyDescent="0.2">
      <c r="A48" s="204">
        <f t="shared" si="5"/>
        <v>36</v>
      </c>
      <c r="B48" s="232" t="s">
        <v>318</v>
      </c>
      <c r="C48" s="76" t="str">
        <f>'Total Adj'!AO9</f>
        <v>Vehicle Depreciation -  Depreciation Study</v>
      </c>
      <c r="D48" s="204" t="s">
        <v>386</v>
      </c>
      <c r="E48" s="209">
        <v>74724</v>
      </c>
      <c r="F48" s="209">
        <v>-143764</v>
      </c>
      <c r="G48" s="209">
        <f t="shared" si="22"/>
        <v>-137549.46654830116</v>
      </c>
      <c r="I48" s="209">
        <f>SUM('Total Adj'!AO40:AQ40)</f>
        <v>74723.834586859637</v>
      </c>
      <c r="J48" s="209">
        <f>'Total Adj'!AQ67</f>
        <v>-143763.74042216278</v>
      </c>
      <c r="K48" s="209">
        <f t="shared" si="23"/>
        <v>-137549.16897373501</v>
      </c>
      <c r="L48" s="209"/>
      <c r="M48" s="209">
        <f t="shared" si="19"/>
        <v>0.16541314036294352</v>
      </c>
      <c r="N48" s="209">
        <f t="shared" si="20"/>
        <v>-0.25957783721969463</v>
      </c>
      <c r="O48" s="209">
        <f t="shared" si="21"/>
        <v>-0.29757456615334377</v>
      </c>
      <c r="P48" s="209"/>
      <c r="Q48" s="74" t="s">
        <v>401</v>
      </c>
    </row>
    <row r="49" spans="1:19" x14ac:dyDescent="0.2">
      <c r="A49" s="204">
        <f t="shared" si="5"/>
        <v>37</v>
      </c>
      <c r="B49" s="232">
        <v>6.5</v>
      </c>
      <c r="C49" s="76" t="s">
        <v>388</v>
      </c>
      <c r="D49" s="204" t="s">
        <v>239</v>
      </c>
      <c r="E49" s="77">
        <v>0</v>
      </c>
      <c r="F49" s="77">
        <v>0</v>
      </c>
      <c r="G49" s="77">
        <f t="shared" si="22"/>
        <v>0</v>
      </c>
      <c r="H49" s="303"/>
      <c r="I49" s="77">
        <f>'Total Adj'!AR40</f>
        <v>0</v>
      </c>
      <c r="J49" s="77">
        <f>'Total Adj'!AR67</f>
        <v>0</v>
      </c>
      <c r="K49" s="77">
        <f t="shared" si="23"/>
        <v>0</v>
      </c>
      <c r="L49" s="209"/>
      <c r="M49" s="77">
        <f t="shared" si="19"/>
        <v>0</v>
      </c>
      <c r="N49" s="77">
        <f t="shared" si="20"/>
        <v>0</v>
      </c>
      <c r="O49" s="77">
        <f t="shared" si="21"/>
        <v>0</v>
      </c>
      <c r="P49" s="209"/>
      <c r="Q49" s="74" t="s">
        <v>402</v>
      </c>
    </row>
    <row r="50" spans="1:19" x14ac:dyDescent="0.2">
      <c r="A50" s="204">
        <f t="shared" si="5"/>
        <v>38</v>
      </c>
      <c r="B50" s="203"/>
      <c r="C50" s="206" t="s">
        <v>232</v>
      </c>
      <c r="D50" s="206"/>
      <c r="E50" s="207">
        <f t="shared" ref="E50:F50" si="24">SUM(E45:E49)</f>
        <v>-815494</v>
      </c>
      <c r="F50" s="207">
        <f t="shared" si="24"/>
        <v>-1242966</v>
      </c>
      <c r="G50" s="207">
        <f>SUM(G45:G49)</f>
        <v>1169813.7382777822</v>
      </c>
      <c r="H50" s="206"/>
      <c r="I50" s="207">
        <f t="shared" ref="I50:J50" si="25">SUM(I45:I49)</f>
        <v>-815494.28152916592</v>
      </c>
      <c r="J50" s="207">
        <f t="shared" si="25"/>
        <v>-1242966.1328902433</v>
      </c>
      <c r="K50" s="207">
        <f>SUM(K45:K49)</f>
        <v>1169813.1770287759</v>
      </c>
      <c r="L50" s="207"/>
      <c r="M50" s="207">
        <f t="shared" si="19"/>
        <v>0.28152916592080146</v>
      </c>
      <c r="N50" s="207">
        <f t="shared" si="20"/>
        <v>0.13289024331606925</v>
      </c>
      <c r="O50" s="207">
        <f t="shared" si="21"/>
        <v>0.56124900630675256</v>
      </c>
      <c r="P50" s="207"/>
      <c r="Q50" s="284"/>
      <c r="R50" s="231">
        <f>SUM('Total Adj'!AH71:AR71)-K50</f>
        <v>0</v>
      </c>
      <c r="S50" s="76" t="s">
        <v>274</v>
      </c>
    </row>
    <row r="51" spans="1:19" x14ac:dyDescent="0.2">
      <c r="A51" s="204">
        <f t="shared" si="5"/>
        <v>39</v>
      </c>
      <c r="E51" s="74"/>
      <c r="F51" s="74"/>
      <c r="G51" s="74"/>
      <c r="I51" s="74"/>
      <c r="J51" s="74"/>
      <c r="K51" s="74"/>
      <c r="L51" s="74"/>
      <c r="M51" s="74"/>
      <c r="N51" s="74"/>
      <c r="O51" s="74"/>
      <c r="P51" s="74"/>
      <c r="Q51" s="284"/>
    </row>
    <row r="52" spans="1:19" x14ac:dyDescent="0.2">
      <c r="A52" s="204">
        <f t="shared" si="5"/>
        <v>40</v>
      </c>
      <c r="B52" s="203" t="s">
        <v>15</v>
      </c>
      <c r="C52" s="76" t="str">
        <f t="array" ref="C52:C57">TRANSPOSE('Total Adj'!AS9:AX9)</f>
        <v>Interest True Up</v>
      </c>
      <c r="D52" s="204" t="s">
        <v>239</v>
      </c>
      <c r="E52" s="74">
        <v>29821</v>
      </c>
      <c r="F52" s="74"/>
      <c r="G52" s="74">
        <f t="shared" ref="G52:G58" si="26">-(E52-(F52*Overall_ROR))/gross_up_factor</f>
        <v>-48133.322572835117</v>
      </c>
      <c r="H52" s="303"/>
      <c r="I52" s="74">
        <f>'Total Adj'!AS$40</f>
        <v>29345.108054750221</v>
      </c>
      <c r="J52" s="74">
        <f>'Total Adj'!AS$67</f>
        <v>0</v>
      </c>
      <c r="K52" s="74">
        <f t="shared" ref="K52:K59" si="27">-(I52-(J52*Overall_ROR))/gross_up_factor</f>
        <v>-47365.197409006891</v>
      </c>
      <c r="L52" s="74"/>
      <c r="M52" s="74">
        <f t="shared" ref="M52:M60" si="28">E52-I52</f>
        <v>475.89194524977938</v>
      </c>
      <c r="N52" s="74">
        <f t="shared" ref="N52:N60" si="29">F52-J52</f>
        <v>0</v>
      </c>
      <c r="O52" s="74">
        <f t="shared" ref="O52:O60" si="30">G52-K52</f>
        <v>-768.1251638282265</v>
      </c>
      <c r="P52" s="74"/>
      <c r="Q52" s="74" t="s">
        <v>402</v>
      </c>
    </row>
    <row r="53" spans="1:19" x14ac:dyDescent="0.2">
      <c r="A53" s="204">
        <f t="shared" si="5"/>
        <v>41</v>
      </c>
      <c r="B53" s="203" t="s">
        <v>16</v>
      </c>
      <c r="C53" s="76" t="str">
        <v>Property Tax Expense</v>
      </c>
      <c r="D53" s="204" t="s">
        <v>386</v>
      </c>
      <c r="E53" s="74">
        <v>-70366</v>
      </c>
      <c r="F53" s="74"/>
      <c r="G53" s="74">
        <f t="shared" si="26"/>
        <v>113575.98256799289</v>
      </c>
      <c r="H53" s="303"/>
      <c r="I53" s="74">
        <f>'Total Adj'!AT$40</f>
        <v>-70365.75</v>
      </c>
      <c r="J53" s="74">
        <f>'Total Adj'!AT$67</f>
        <v>0</v>
      </c>
      <c r="K53" s="74">
        <f t="shared" si="27"/>
        <v>113575.57904930998</v>
      </c>
      <c r="L53" s="74"/>
      <c r="M53" s="74">
        <f t="shared" si="28"/>
        <v>-0.25</v>
      </c>
      <c r="N53" s="74">
        <f t="shared" si="29"/>
        <v>0</v>
      </c>
      <c r="O53" s="74">
        <f t="shared" si="30"/>
        <v>0.40351868291327264</v>
      </c>
      <c r="P53" s="74"/>
      <c r="Q53" s="74" t="s">
        <v>402</v>
      </c>
    </row>
    <row r="54" spans="1:19" x14ac:dyDescent="0.2">
      <c r="A54" s="204">
        <f t="shared" si="5"/>
        <v>42</v>
      </c>
      <c r="B54" s="203" t="s">
        <v>17</v>
      </c>
      <c r="C54" s="76" t="str">
        <v>Renewable Energy Tax Credit</v>
      </c>
      <c r="D54" s="204" t="s">
        <v>386</v>
      </c>
      <c r="E54" s="74">
        <v>661917</v>
      </c>
      <c r="F54" s="74"/>
      <c r="G54" s="74">
        <f>-(E54-(F54*Overall_ROR))/gross_up_factor+1</f>
        <v>-1068382.5041562424</v>
      </c>
      <c r="I54" s="74">
        <f>'Total Adj'!AU$40</f>
        <v>661916.82775972039</v>
      </c>
      <c r="J54" s="74">
        <f>'Total Adj'!AU$67</f>
        <v>0</v>
      </c>
      <c r="K54" s="74">
        <f t="shared" si="27"/>
        <v>-1068383.2261475592</v>
      </c>
      <c r="L54" s="74"/>
      <c r="M54" s="74">
        <f t="shared" si="28"/>
        <v>0.17224027961492538</v>
      </c>
      <c r="N54" s="74">
        <f t="shared" si="29"/>
        <v>0</v>
      </c>
      <c r="O54" s="74">
        <f t="shared" si="30"/>
        <v>0.7219913168810308</v>
      </c>
      <c r="P54" s="74"/>
      <c r="Q54" s="74" t="s">
        <v>402</v>
      </c>
    </row>
    <row r="55" spans="1:19" x14ac:dyDescent="0.2">
      <c r="A55" s="204">
        <f t="shared" si="5"/>
        <v>43</v>
      </c>
      <c r="B55" s="203" t="s">
        <v>18</v>
      </c>
      <c r="C55" s="76" t="str">
        <v>PowerTax ADIT Balance</v>
      </c>
      <c r="D55" s="204" t="s">
        <v>239</v>
      </c>
      <c r="E55" s="74"/>
      <c r="F55" s="74">
        <v>-1637024</v>
      </c>
      <c r="G55" s="74">
        <f t="shared" si="26"/>
        <v>-192886.37236704057</v>
      </c>
      <c r="I55" s="74">
        <f>'Total Adj'!AV$40</f>
        <v>0</v>
      </c>
      <c r="J55" s="74">
        <f>'Total Adj'!AV$67</f>
        <v>-1637024.0885679396</v>
      </c>
      <c r="K55" s="74">
        <f t="shared" si="27"/>
        <v>-192886.38280277554</v>
      </c>
      <c r="L55" s="74"/>
      <c r="M55" s="74">
        <f t="shared" si="28"/>
        <v>0</v>
      </c>
      <c r="N55" s="74">
        <f t="shared" si="29"/>
        <v>8.8567939586937428E-2</v>
      </c>
      <c r="O55" s="74">
        <f t="shared" si="30"/>
        <v>1.0435734962811694E-2</v>
      </c>
      <c r="P55" s="74"/>
      <c r="Q55" s="74" t="s">
        <v>402</v>
      </c>
    </row>
    <row r="56" spans="1:19" x14ac:dyDescent="0.2">
      <c r="A56" s="204">
        <f t="shared" si="5"/>
        <v>44</v>
      </c>
      <c r="B56" s="203" t="s">
        <v>43</v>
      </c>
      <c r="C56" s="76" t="str">
        <v>WA Low Income Tax Credit</v>
      </c>
      <c r="D56" s="204" t="s">
        <v>386</v>
      </c>
      <c r="E56" s="74">
        <v>-25873</v>
      </c>
      <c r="F56" s="74"/>
      <c r="G56" s="74">
        <f t="shared" si="26"/>
        <v>41760.95553224114</v>
      </c>
      <c r="I56" s="74">
        <f>'Total Adj'!AW$40</f>
        <v>-25872.6</v>
      </c>
      <c r="J56" s="74">
        <f>'Total Adj'!AW$67</f>
        <v>0</v>
      </c>
      <c r="K56" s="74">
        <f t="shared" si="27"/>
        <v>41760.309902348476</v>
      </c>
      <c r="L56" s="74"/>
      <c r="M56" s="74">
        <f t="shared" si="28"/>
        <v>-0.40000000000145519</v>
      </c>
      <c r="N56" s="74">
        <f t="shared" si="29"/>
        <v>0</v>
      </c>
      <c r="O56" s="74">
        <f t="shared" si="30"/>
        <v>0.64562989266414661</v>
      </c>
      <c r="P56" s="74"/>
      <c r="Q56" s="74" t="s">
        <v>402</v>
      </c>
    </row>
    <row r="57" spans="1:19" x14ac:dyDescent="0.2">
      <c r="A57" s="204">
        <f t="shared" si="5"/>
        <v>45</v>
      </c>
      <c r="B57" s="204" t="s">
        <v>227</v>
      </c>
      <c r="C57" s="76" t="str">
        <v>Flow-Through Adjustment</v>
      </c>
      <c r="D57" s="204" t="s">
        <v>386</v>
      </c>
      <c r="E57" s="74">
        <v>407649</v>
      </c>
      <c r="F57" s="74">
        <v>-9662969</v>
      </c>
      <c r="G57" s="74">
        <f t="shared" si="26"/>
        <v>-1796538.9992736662</v>
      </c>
      <c r="I57" s="74">
        <f>SUM('Total Adj'!AX40:AY40)</f>
        <v>407648.85953784268</v>
      </c>
      <c r="J57" s="74">
        <f>SUM('Total Adj'!AX67:AY67)</f>
        <v>-9662969.1539299972</v>
      </c>
      <c r="K57" s="74">
        <f t="shared" si="27"/>
        <v>-1796538.7906944272</v>
      </c>
      <c r="L57" s="74"/>
      <c r="M57" s="74">
        <f t="shared" si="28"/>
        <v>0.14046215731650591</v>
      </c>
      <c r="N57" s="74">
        <f t="shared" si="29"/>
        <v>0.15392999723553658</v>
      </c>
      <c r="O57" s="74">
        <f t="shared" si="30"/>
        <v>-0.20857923896983266</v>
      </c>
      <c r="P57" s="74"/>
      <c r="Q57" s="74" t="s">
        <v>403</v>
      </c>
    </row>
    <row r="58" spans="1:19" x14ac:dyDescent="0.2">
      <c r="A58" s="204">
        <f t="shared" si="5"/>
        <v>46</v>
      </c>
      <c r="B58" s="204" t="s">
        <v>19</v>
      </c>
      <c r="C58" s="76" t="str">
        <f t="array" ref="C58:C59">TRANSPOSE('Total Adj'!AZ9:BA9)</f>
        <v>Remove Deferred State Tax Expense &amp; Balance</v>
      </c>
      <c r="D58" s="204" t="s">
        <v>386</v>
      </c>
      <c r="E58" s="74">
        <v>488064</v>
      </c>
      <c r="F58" s="74">
        <v>244032</v>
      </c>
      <c r="G58" s="74">
        <f t="shared" si="26"/>
        <v>-759018.10023404076</v>
      </c>
      <c r="H58" s="303"/>
      <c r="I58" s="74">
        <f>'Total Adj'!AZ$40</f>
        <v>491135</v>
      </c>
      <c r="J58" s="74">
        <f>'Total Adj'!AZ$67</f>
        <v>245568</v>
      </c>
      <c r="K58" s="74">
        <f t="shared" si="27"/>
        <v>-763793.94076345733</v>
      </c>
      <c r="L58" s="74"/>
      <c r="M58" s="74">
        <f t="shared" si="28"/>
        <v>-3071</v>
      </c>
      <c r="N58" s="74">
        <f t="shared" si="29"/>
        <v>-1536</v>
      </c>
      <c r="O58" s="74">
        <f t="shared" si="30"/>
        <v>4775.8405294165714</v>
      </c>
      <c r="P58" s="74"/>
      <c r="Q58" s="74" t="s">
        <v>404</v>
      </c>
    </row>
    <row r="59" spans="1:19" x14ac:dyDescent="0.2">
      <c r="A59" s="204">
        <f t="shared" si="5"/>
        <v>47</v>
      </c>
      <c r="B59" s="203" t="s">
        <v>20</v>
      </c>
      <c r="C59" s="76" t="str">
        <v>WA Public Utility Tax Adjustment</v>
      </c>
      <c r="D59" s="204" t="s">
        <v>386</v>
      </c>
      <c r="E59" s="77">
        <v>524708</v>
      </c>
      <c r="F59" s="77"/>
      <c r="G59" s="77">
        <f>-(E59-(F59*Overall_ROR))/gross_up_factor-1</f>
        <v>-846918.92429989506</v>
      </c>
      <c r="I59" s="77">
        <f>'Total Adj'!BA$40</f>
        <v>524709</v>
      </c>
      <c r="J59" s="77">
        <f>'Total Adj'!BA$67</f>
        <v>0</v>
      </c>
      <c r="K59" s="77">
        <f t="shared" si="27"/>
        <v>-846919.53837462666</v>
      </c>
      <c r="L59" s="209"/>
      <c r="M59" s="77">
        <f t="shared" si="28"/>
        <v>-1</v>
      </c>
      <c r="N59" s="77">
        <f t="shared" si="29"/>
        <v>0</v>
      </c>
      <c r="O59" s="77">
        <f t="shared" si="30"/>
        <v>0.61407473159488291</v>
      </c>
      <c r="P59" s="209"/>
      <c r="Q59" s="74" t="s">
        <v>404</v>
      </c>
    </row>
    <row r="60" spans="1:19" x14ac:dyDescent="0.2">
      <c r="A60" s="204">
        <f t="shared" si="5"/>
        <v>48</v>
      </c>
      <c r="B60" s="203"/>
      <c r="C60" s="206" t="s">
        <v>233</v>
      </c>
      <c r="D60" s="206"/>
      <c r="E60" s="207">
        <f>SUM(E52:E59)</f>
        <v>2015920</v>
      </c>
      <c r="F60" s="207">
        <f>SUM(F52:F59)</f>
        <v>-11055961</v>
      </c>
      <c r="G60" s="207">
        <f>SUM(G52:G59)</f>
        <v>-4556541.2848034855</v>
      </c>
      <c r="H60" s="206"/>
      <c r="I60" s="207">
        <f>SUM(I52:I59)</f>
        <v>2018516.4453523133</v>
      </c>
      <c r="J60" s="207">
        <f>SUM(J52:J59)</f>
        <v>-11054425.242497936</v>
      </c>
      <c r="K60" s="207">
        <f>SUM(K52:K59)</f>
        <v>-4560551.1872401945</v>
      </c>
      <c r="L60" s="207"/>
      <c r="M60" s="207">
        <f t="shared" si="28"/>
        <v>-2596.4453523133416</v>
      </c>
      <c r="N60" s="207">
        <f t="shared" si="29"/>
        <v>-1535.7575020641088</v>
      </c>
      <c r="O60" s="207">
        <f t="shared" si="30"/>
        <v>4009.9024367090315</v>
      </c>
      <c r="P60" s="207"/>
      <c r="Q60" s="284"/>
      <c r="R60" s="231">
        <f>SUM('Total Adj'!AS71:BA71)-K60</f>
        <v>0</v>
      </c>
      <c r="S60" s="76" t="s">
        <v>274</v>
      </c>
    </row>
    <row r="61" spans="1:19" x14ac:dyDescent="0.2">
      <c r="A61" s="204">
        <f t="shared" si="5"/>
        <v>49</v>
      </c>
      <c r="E61" s="74"/>
      <c r="F61" s="74"/>
      <c r="G61" s="74"/>
      <c r="I61" s="74"/>
      <c r="J61" s="74"/>
      <c r="K61" s="74"/>
      <c r="L61" s="74"/>
      <c r="M61" s="74"/>
      <c r="N61" s="74"/>
      <c r="O61" s="74"/>
      <c r="P61" s="74"/>
      <c r="Q61" s="284"/>
    </row>
    <row r="62" spans="1:19" x14ac:dyDescent="0.2">
      <c r="A62" s="204">
        <f t="shared" si="5"/>
        <v>50</v>
      </c>
      <c r="B62" s="203" t="s">
        <v>21</v>
      </c>
      <c r="C62" s="76" t="s">
        <v>261</v>
      </c>
      <c r="D62" s="204" t="s">
        <v>386</v>
      </c>
      <c r="E62" s="74">
        <v>-138615</v>
      </c>
      <c r="F62" s="74">
        <v>26734872</v>
      </c>
      <c r="G62" s="74">
        <f t="shared" ref="G62:G74" si="31">-(E62-(F62*Overall_ROR))/gross_up_factor</f>
        <v>3373836.9074328137</v>
      </c>
      <c r="I62" s="74">
        <f>'Total Adj'!BB$40</f>
        <v>-138614.57201924626</v>
      </c>
      <c r="J62" s="74">
        <f>'Total Adj'!BB$67</f>
        <v>26734872.303152114</v>
      </c>
      <c r="K62" s="74">
        <f t="shared" ref="K62:K73" si="32">-(I62-(J62*Overall_ROR))/gross_up_factor</f>
        <v>3373836.2523595355</v>
      </c>
      <c r="L62" s="74"/>
      <c r="M62" s="74">
        <f t="shared" ref="M62:M75" si="33">E62-I62</f>
        <v>-0.42798075373866595</v>
      </c>
      <c r="N62" s="74">
        <f t="shared" ref="N62:N75" si="34">F62-J62</f>
        <v>-0.30315211415290833</v>
      </c>
      <c r="O62" s="74">
        <f t="shared" ref="O62:O75" si="35">G62-K62</f>
        <v>0.65507327811792493</v>
      </c>
      <c r="P62" s="74"/>
      <c r="Q62" s="74" t="s">
        <v>404</v>
      </c>
    </row>
    <row r="63" spans="1:19" x14ac:dyDescent="0.2">
      <c r="A63" s="204">
        <f t="shared" si="5"/>
        <v>51</v>
      </c>
      <c r="B63" s="203" t="s">
        <v>22</v>
      </c>
      <c r="C63" s="76" t="s">
        <v>309</v>
      </c>
      <c r="D63" s="204" t="s">
        <v>386</v>
      </c>
      <c r="E63" s="74">
        <v>-171517</v>
      </c>
      <c r="F63" s="74">
        <v>-250034</v>
      </c>
      <c r="G63" s="74">
        <f t="shared" si="31"/>
        <v>247380.38576386086</v>
      </c>
      <c r="I63" s="74">
        <f>'Total Adj'!BC$40</f>
        <v>-171516.53619326494</v>
      </c>
      <c r="J63" s="74">
        <f>'Total Adj'!BC$67</f>
        <v>-250034.33575255581</v>
      </c>
      <c r="K63" s="74">
        <f t="shared" si="32"/>
        <v>247379.5975842601</v>
      </c>
      <c r="L63" s="74"/>
      <c r="M63" s="74">
        <f t="shared" si="33"/>
        <v>-0.4638067350606434</v>
      </c>
      <c r="N63" s="74">
        <f t="shared" si="34"/>
        <v>0.3357525558094494</v>
      </c>
      <c r="O63" s="74">
        <f t="shared" si="35"/>
        <v>0.78817960075684823</v>
      </c>
      <c r="P63" s="74"/>
      <c r="Q63" s="74" t="s">
        <v>404</v>
      </c>
    </row>
    <row r="64" spans="1:19" x14ac:dyDescent="0.2">
      <c r="A64" s="204">
        <f t="shared" si="5"/>
        <v>52</v>
      </c>
      <c r="B64" s="203" t="s">
        <v>23</v>
      </c>
      <c r="C64" s="76" t="s">
        <v>115</v>
      </c>
      <c r="D64" s="204" t="s">
        <v>386</v>
      </c>
      <c r="E64" s="74"/>
      <c r="F64" s="74">
        <v>-481414</v>
      </c>
      <c r="G64" s="74">
        <f t="shared" si="31"/>
        <v>-56723.786619320461</v>
      </c>
      <c r="I64" s="74">
        <f>'Total Adj'!BD$40</f>
        <v>0</v>
      </c>
      <c r="J64" s="74">
        <f>'Total Adj'!BD$67</f>
        <v>-481414.22831967368</v>
      </c>
      <c r="K64" s="74">
        <f t="shared" si="32"/>
        <v>-56723.81352164664</v>
      </c>
      <c r="L64" s="74"/>
      <c r="M64" s="74">
        <f t="shared" si="33"/>
        <v>0</v>
      </c>
      <c r="N64" s="74">
        <f t="shared" si="34"/>
        <v>0.22831967368256301</v>
      </c>
      <c r="O64" s="74">
        <f t="shared" si="35"/>
        <v>2.6902326178969815E-2</v>
      </c>
      <c r="P64" s="74"/>
      <c r="Q64" s="74" t="s">
        <v>404</v>
      </c>
    </row>
    <row r="65" spans="1:19" x14ac:dyDescent="0.2">
      <c r="A65" s="204">
        <f t="shared" si="5"/>
        <v>53</v>
      </c>
      <c r="B65" s="232" t="s">
        <v>320</v>
      </c>
      <c r="C65" s="76" t="s">
        <v>361</v>
      </c>
      <c r="D65" s="204" t="s">
        <v>239</v>
      </c>
      <c r="E65" s="74">
        <v>-429735</v>
      </c>
      <c r="F65" s="74">
        <v>18429412</v>
      </c>
      <c r="G65" s="74">
        <f t="shared" si="31"/>
        <v>2865115.1254943102</v>
      </c>
      <c r="H65" s="303"/>
      <c r="I65" s="74">
        <f>'Total Adj'!BE$40+'Total Adj'!BF40</f>
        <v>-429734.23172759148</v>
      </c>
      <c r="J65" s="74">
        <f>'Total Adj'!BE$67+'Total Adj'!BF67</f>
        <v>18429413.196828373</v>
      </c>
      <c r="K65" s="74">
        <f t="shared" si="32"/>
        <v>2865114.0264644702</v>
      </c>
      <c r="L65" s="74"/>
      <c r="M65" s="74">
        <f t="shared" si="33"/>
        <v>-0.76827240851707757</v>
      </c>
      <c r="N65" s="74">
        <f t="shared" si="34"/>
        <v>-1.1968283727765083</v>
      </c>
      <c r="O65" s="74">
        <f t="shared" si="35"/>
        <v>1.0990298399701715</v>
      </c>
      <c r="P65" s="74"/>
      <c r="Q65" s="74" t="s">
        <v>405</v>
      </c>
    </row>
    <row r="66" spans="1:19" x14ac:dyDescent="0.2">
      <c r="A66" s="204">
        <f t="shared" si="5"/>
        <v>54</v>
      </c>
      <c r="B66" s="232" t="s">
        <v>321</v>
      </c>
      <c r="C66" s="76" t="s">
        <v>362</v>
      </c>
      <c r="D66" s="204" t="s">
        <v>386</v>
      </c>
      <c r="E66" s="74"/>
      <c r="F66" s="74">
        <v>-20135895</v>
      </c>
      <c r="G66" s="74">
        <f t="shared" si="31"/>
        <v>-2372561.2702768138</v>
      </c>
      <c r="H66" s="303"/>
      <c r="I66" s="74">
        <f>SUM('Total Adj'!BG40:BH40)</f>
        <v>0</v>
      </c>
      <c r="J66" s="74">
        <f>SUM('Total Adj'!BG67:BH67)</f>
        <v>-20135895.139993634</v>
      </c>
      <c r="K66" s="74">
        <f t="shared" si="32"/>
        <v>-2372561.2867719075</v>
      </c>
      <c r="L66" s="74"/>
      <c r="M66" s="74">
        <f t="shared" si="33"/>
        <v>0</v>
      </c>
      <c r="N66" s="74">
        <f t="shared" si="34"/>
        <v>0.13999363407492638</v>
      </c>
      <c r="O66" s="74">
        <f t="shared" si="35"/>
        <v>1.6495093703269958E-2</v>
      </c>
      <c r="P66" s="74"/>
      <c r="Q66" s="74" t="s">
        <v>406</v>
      </c>
    </row>
    <row r="67" spans="1:19" x14ac:dyDescent="0.2">
      <c r="A67" s="204">
        <f t="shared" si="5"/>
        <v>55</v>
      </c>
      <c r="B67" s="204" t="s">
        <v>26</v>
      </c>
      <c r="C67" s="76" t="s">
        <v>118</v>
      </c>
      <c r="D67" s="204" t="s">
        <v>386</v>
      </c>
      <c r="E67" s="74">
        <v>-58361</v>
      </c>
      <c r="F67" s="74">
        <v>97700</v>
      </c>
      <c r="G67" s="74">
        <f>-(E67-(F67*Overall_ROR))/gross_up_factor-1</f>
        <v>105709.75780808651</v>
      </c>
      <c r="I67" s="74">
        <f>'Total Adj'!BI$40</f>
        <v>-58361.274086542442</v>
      </c>
      <c r="J67" s="74">
        <f>'Total Adj'!BI$67</f>
        <v>97700.229568832146</v>
      </c>
      <c r="K67" s="74">
        <f t="shared" si="32"/>
        <v>105711.22725376028</v>
      </c>
      <c r="L67" s="74"/>
      <c r="M67" s="74">
        <f t="shared" si="33"/>
        <v>0.27408654244209174</v>
      </c>
      <c r="N67" s="74">
        <f t="shared" si="34"/>
        <v>-0.2295688321464695</v>
      </c>
      <c r="O67" s="74">
        <f t="shared" si="35"/>
        <v>-1.4694456737779547</v>
      </c>
      <c r="P67" s="74"/>
      <c r="Q67" s="74" t="s">
        <v>406</v>
      </c>
    </row>
    <row r="68" spans="1:19" x14ac:dyDescent="0.2">
      <c r="A68" s="204">
        <f t="shared" si="5"/>
        <v>56</v>
      </c>
      <c r="B68" s="204" t="s">
        <v>27</v>
      </c>
      <c r="C68" s="76" t="s">
        <v>244</v>
      </c>
      <c r="D68" s="204" t="s">
        <v>386</v>
      </c>
      <c r="E68" s="74">
        <v>17991</v>
      </c>
      <c r="F68" s="74">
        <v>-360049</v>
      </c>
      <c r="G68" s="74">
        <f t="shared" si="31"/>
        <v>-71462.475990638355</v>
      </c>
      <c r="I68" s="74">
        <f>'Total Adj'!BJ$40</f>
        <v>17990.552800000001</v>
      </c>
      <c r="J68" s="74">
        <f>'Total Adj'!BJ$67</f>
        <v>-360048.63899999904</v>
      </c>
      <c r="K68" s="74">
        <f t="shared" si="32"/>
        <v>-71461.711640706839</v>
      </c>
      <c r="L68" s="74"/>
      <c r="M68" s="74">
        <f t="shared" si="33"/>
        <v>0.44719999999870197</v>
      </c>
      <c r="N68" s="74">
        <f t="shared" si="34"/>
        <v>-0.36100000096485019</v>
      </c>
      <c r="O68" s="74">
        <f t="shared" si="35"/>
        <v>-0.76434993151633535</v>
      </c>
      <c r="P68" s="74"/>
      <c r="Q68" s="74" t="s">
        <v>406</v>
      </c>
    </row>
    <row r="69" spans="1:19" x14ac:dyDescent="0.2">
      <c r="A69" s="204">
        <f t="shared" si="5"/>
        <v>57</v>
      </c>
      <c r="B69" s="204" t="s">
        <v>28</v>
      </c>
      <c r="C69" s="76" t="s">
        <v>262</v>
      </c>
      <c r="D69" s="204" t="s">
        <v>386</v>
      </c>
      <c r="E69" s="74">
        <v>-99762</v>
      </c>
      <c r="F69" s="74">
        <v>-83643</v>
      </c>
      <c r="G69" s="74">
        <f t="shared" si="31"/>
        <v>151167.88152691469</v>
      </c>
      <c r="I69" s="74">
        <f>'Total Adj'!BK$40</f>
        <v>-99761.9</v>
      </c>
      <c r="J69" s="74">
        <f>'Total Adj'!BK$67</f>
        <v>-83642.64791666661</v>
      </c>
      <c r="K69" s="74">
        <f t="shared" si="32"/>
        <v>151167.76160452477</v>
      </c>
      <c r="L69" s="74"/>
      <c r="M69" s="74">
        <f t="shared" si="33"/>
        <v>-0.10000000000582077</v>
      </c>
      <c r="N69" s="74">
        <f t="shared" si="34"/>
        <v>-0.35208333338960074</v>
      </c>
      <c r="O69" s="74">
        <f t="shared" si="35"/>
        <v>0.11992238991660997</v>
      </c>
      <c r="P69" s="74"/>
      <c r="Q69" s="74" t="s">
        <v>406</v>
      </c>
    </row>
    <row r="70" spans="1:19" x14ac:dyDescent="0.2">
      <c r="A70" s="204">
        <f t="shared" si="5"/>
        <v>58</v>
      </c>
      <c r="B70" s="203" t="s">
        <v>29</v>
      </c>
      <c r="C70" s="76" t="s">
        <v>96</v>
      </c>
      <c r="D70" s="204" t="s">
        <v>386</v>
      </c>
      <c r="E70" s="74">
        <v>-2710</v>
      </c>
      <c r="F70" s="74">
        <v>-3361134</v>
      </c>
      <c r="G70" s="74">
        <f>-(E70-(F70*Overall_ROR))/gross_up_factor+1</f>
        <v>-391658.72399322083</v>
      </c>
      <c r="I70" s="74">
        <f>'Total Adj'!BL$40</f>
        <v>-2710.0887272727277</v>
      </c>
      <c r="J70" s="74">
        <f>'Total Adj'!BL$67</f>
        <v>-3361133.729166666</v>
      </c>
      <c r="K70" s="74">
        <f t="shared" si="32"/>
        <v>-391659.54886916932</v>
      </c>
      <c r="L70" s="74"/>
      <c r="M70" s="74">
        <f t="shared" si="33"/>
        <v>8.8727272727737727E-2</v>
      </c>
      <c r="N70" s="74">
        <f t="shared" si="34"/>
        <v>-0.27083333395421505</v>
      </c>
      <c r="O70" s="74">
        <f t="shared" si="35"/>
        <v>0.82487594848498702</v>
      </c>
      <c r="P70" s="74"/>
      <c r="Q70" s="74" t="s">
        <v>406</v>
      </c>
    </row>
    <row r="71" spans="1:19" x14ac:dyDescent="0.2">
      <c r="A71" s="204">
        <f t="shared" si="5"/>
        <v>59</v>
      </c>
      <c r="B71" s="203" t="s">
        <v>206</v>
      </c>
      <c r="C71" s="76" t="s">
        <v>197</v>
      </c>
      <c r="D71" s="204" t="s">
        <v>386</v>
      </c>
      <c r="E71" s="74">
        <v>-1950000</v>
      </c>
      <c r="F71" s="74"/>
      <c r="G71" s="74">
        <f t="shared" si="31"/>
        <v>3147445.7267371477</v>
      </c>
      <c r="I71" s="74">
        <f>'Total Adj'!BM$40</f>
        <v>-1950000</v>
      </c>
      <c r="J71" s="74">
        <f>'Total Adj'!BM$67</f>
        <v>0</v>
      </c>
      <c r="K71" s="74">
        <f t="shared" si="32"/>
        <v>3147445.7267371477</v>
      </c>
      <c r="L71" s="74"/>
      <c r="M71" s="74">
        <f t="shared" si="33"/>
        <v>0</v>
      </c>
      <c r="N71" s="74">
        <f t="shared" si="34"/>
        <v>0</v>
      </c>
      <c r="O71" s="74">
        <f t="shared" si="35"/>
        <v>0</v>
      </c>
      <c r="P71" s="74"/>
      <c r="Q71" s="74" t="s">
        <v>406</v>
      </c>
    </row>
    <row r="72" spans="1:19" x14ac:dyDescent="0.2">
      <c r="A72" s="204">
        <f t="shared" si="5"/>
        <v>60</v>
      </c>
      <c r="B72" s="203" t="s">
        <v>263</v>
      </c>
      <c r="C72" s="76" t="s">
        <v>363</v>
      </c>
      <c r="D72" s="204" t="s">
        <v>386</v>
      </c>
      <c r="E72" s="74">
        <v>4540</v>
      </c>
      <c r="F72" s="74"/>
      <c r="G72" s="74">
        <f t="shared" si="31"/>
        <v>-7327.8992817367434</v>
      </c>
      <c r="H72" s="303"/>
      <c r="I72" s="74">
        <f>'Total Adj'!BN$40</f>
        <v>4539.7498763290314</v>
      </c>
      <c r="J72" s="74">
        <f>'Total Adj'!BN$67</f>
        <v>0</v>
      </c>
      <c r="K72" s="74">
        <f t="shared" si="32"/>
        <v>-7327.4955634396438</v>
      </c>
      <c r="L72" s="74"/>
      <c r="M72" s="74">
        <f t="shared" si="33"/>
        <v>0.25012367096860544</v>
      </c>
      <c r="N72" s="74">
        <f t="shared" si="34"/>
        <v>0</v>
      </c>
      <c r="O72" s="74">
        <f t="shared" si="35"/>
        <v>-0.40371829709965823</v>
      </c>
      <c r="P72" s="74"/>
      <c r="Q72" s="74" t="s">
        <v>407</v>
      </c>
    </row>
    <row r="73" spans="1:19" x14ac:dyDescent="0.2">
      <c r="A73" s="204">
        <f t="shared" si="5"/>
        <v>61</v>
      </c>
      <c r="B73" s="203" t="s">
        <v>275</v>
      </c>
      <c r="C73" s="76" t="str">
        <f>'Total Adj'!BO9</f>
        <v>Adjust December 2013 AMA Plant Balances to December 2013 Balance</v>
      </c>
      <c r="D73" s="204" t="s">
        <v>239</v>
      </c>
      <c r="E73" s="209"/>
      <c r="F73" s="209"/>
      <c r="G73" s="209">
        <f t="shared" si="31"/>
        <v>0</v>
      </c>
      <c r="I73" s="209">
        <f>SUM('Total Adj'!BO40:BU40)</f>
        <v>0</v>
      </c>
      <c r="J73" s="209">
        <f>SUM('Total Adj'!BO67:BU67)</f>
        <v>0</v>
      </c>
      <c r="K73" s="209">
        <f t="shared" si="32"/>
        <v>0</v>
      </c>
      <c r="L73" s="209"/>
      <c r="M73" s="209">
        <f t="shared" si="33"/>
        <v>0</v>
      </c>
      <c r="N73" s="209">
        <f t="shared" si="34"/>
        <v>0</v>
      </c>
      <c r="O73" s="209">
        <f t="shared" si="35"/>
        <v>0</v>
      </c>
      <c r="P73" s="209"/>
      <c r="Q73" s="74" t="s">
        <v>407</v>
      </c>
    </row>
    <row r="74" spans="1:19" x14ac:dyDescent="0.2">
      <c r="A74" s="204">
        <f t="shared" si="5"/>
        <v>62</v>
      </c>
      <c r="B74" s="203">
        <v>8.1300000000000008</v>
      </c>
      <c r="C74" s="76" t="s">
        <v>284</v>
      </c>
      <c r="D74" s="204" t="s">
        <v>386</v>
      </c>
      <c r="E74" s="77"/>
      <c r="F74" s="77">
        <v>31018483</v>
      </c>
      <c r="G74" s="77">
        <f t="shared" si="31"/>
        <v>3654828.9226051164</v>
      </c>
      <c r="I74" s="77">
        <f>'Total Adj'!BV40</f>
        <v>0</v>
      </c>
      <c r="J74" s="77">
        <f>'Total Adj'!BV67</f>
        <v>31018483.084840588</v>
      </c>
      <c r="K74" s="77">
        <f t="shared" ref="K74" si="36">-(I74-(J74*Overall_ROR))/gross_up_factor</f>
        <v>3654828.9326016665</v>
      </c>
      <c r="L74" s="209"/>
      <c r="M74" s="77">
        <f t="shared" si="33"/>
        <v>0</v>
      </c>
      <c r="N74" s="77">
        <f t="shared" si="34"/>
        <v>-8.4840588271617889E-2</v>
      </c>
      <c r="O74" s="77">
        <f t="shared" si="35"/>
        <v>-9.9965501576662064E-3</v>
      </c>
      <c r="P74" s="209"/>
      <c r="Q74" s="74" t="s">
        <v>408</v>
      </c>
    </row>
    <row r="75" spans="1:19" x14ac:dyDescent="0.2">
      <c r="A75" s="204">
        <f t="shared" si="5"/>
        <v>63</v>
      </c>
      <c r="B75" s="203"/>
      <c r="C75" s="206" t="s">
        <v>234</v>
      </c>
      <c r="D75" s="206"/>
      <c r="E75" s="207">
        <f>SUM(E62:E74)</f>
        <v>-2828169</v>
      </c>
      <c r="F75" s="207">
        <f>SUM(F62:F74)</f>
        <v>51608298</v>
      </c>
      <c r="G75" s="207">
        <f>SUM(G62:G74)</f>
        <v>10645750.55120652</v>
      </c>
      <c r="H75" s="206"/>
      <c r="I75" s="207">
        <f>SUM(I62:I74)</f>
        <v>-2828168.3000775888</v>
      </c>
      <c r="J75" s="207">
        <f>SUM(J62:J74)</f>
        <v>51608300.09424071</v>
      </c>
      <c r="K75" s="207">
        <f>SUM(K62:K74)</f>
        <v>10645749.668238495</v>
      </c>
      <c r="L75" s="207"/>
      <c r="M75" s="207">
        <f t="shared" si="33"/>
        <v>-0.69992241123691201</v>
      </c>
      <c r="N75" s="207">
        <f t="shared" si="34"/>
        <v>-2.0942407101392746</v>
      </c>
      <c r="O75" s="207">
        <f t="shared" si="35"/>
        <v>0.88296802528202534</v>
      </c>
      <c r="P75" s="207"/>
      <c r="Q75" s="284"/>
      <c r="R75" s="231">
        <f>SUM('Total Adj'!BB71:BV71)-K75</f>
        <v>0</v>
      </c>
      <c r="S75" s="76" t="s">
        <v>274</v>
      </c>
    </row>
    <row r="76" spans="1:19" x14ac:dyDescent="0.2">
      <c r="A76" s="204">
        <f t="shared" si="5"/>
        <v>64</v>
      </c>
      <c r="B76" s="203"/>
      <c r="C76" s="206"/>
      <c r="D76" s="206"/>
      <c r="E76" s="207"/>
      <c r="F76" s="207"/>
      <c r="G76" s="207"/>
      <c r="H76" s="206"/>
      <c r="I76" s="207"/>
      <c r="J76" s="207"/>
      <c r="K76" s="207"/>
      <c r="L76" s="207"/>
      <c r="M76" s="207"/>
      <c r="N76" s="207"/>
      <c r="O76" s="207"/>
      <c r="P76" s="207"/>
      <c r="Q76" s="284"/>
      <c r="R76" s="231"/>
    </row>
    <row r="77" spans="1:19" x14ac:dyDescent="0.2">
      <c r="A77" s="204">
        <f t="shared" si="5"/>
        <v>65</v>
      </c>
      <c r="B77" s="232" t="s">
        <v>322</v>
      </c>
      <c r="C77" s="76" t="s">
        <v>281</v>
      </c>
      <c r="D77" s="204" t="s">
        <v>239</v>
      </c>
      <c r="E77" s="77">
        <v>-629599</v>
      </c>
      <c r="F77" s="77">
        <v>142456</v>
      </c>
      <c r="G77" s="77">
        <f>-(E77-(F77*Overall_ROR))/gross_up_factor+1</f>
        <v>1033006.0649665078</v>
      </c>
      <c r="H77" s="303"/>
      <c r="I77" s="77">
        <f>'Total Adj'!BW40+'Total Adj'!BX40</f>
        <v>-632687.27944858628</v>
      </c>
      <c r="J77" s="77">
        <f>'Total Adj'!BW67+'Total Adj'!BX67</f>
        <v>89288.116626797651</v>
      </c>
      <c r="K77" s="77">
        <f t="shared" ref="K77" si="37">-(I77-(J77*Overall_ROR))/gross_up_factor</f>
        <v>1031725.1423813129</v>
      </c>
      <c r="L77" s="209"/>
      <c r="M77" s="77">
        <f t="shared" ref="M77:M78" si="38">E77-I77</f>
        <v>3088.2794485862833</v>
      </c>
      <c r="N77" s="77">
        <f t="shared" ref="N77:N78" si="39">F77-J77</f>
        <v>53167.883373202349</v>
      </c>
      <c r="O77" s="77">
        <f t="shared" ref="O77:O78" si="40">G77-K77</f>
        <v>1280.9225851949304</v>
      </c>
      <c r="P77" s="209"/>
      <c r="Q77" s="74" t="s">
        <v>408</v>
      </c>
      <c r="R77" s="231">
        <f>K77-'Total Adj'!BW71-'Total Adj'!BX71</f>
        <v>-1.6370904631912708E-11</v>
      </c>
      <c r="S77" s="76" t="s">
        <v>274</v>
      </c>
    </row>
    <row r="78" spans="1:19" x14ac:dyDescent="0.2">
      <c r="A78" s="204">
        <f t="shared" si="5"/>
        <v>66</v>
      </c>
      <c r="B78" s="203"/>
      <c r="C78" s="206" t="s">
        <v>286</v>
      </c>
      <c r="D78" s="206"/>
      <c r="E78" s="207">
        <f>SUM(E77)</f>
        <v>-629599</v>
      </c>
      <c r="F78" s="207">
        <f>SUM(F77)</f>
        <v>142456</v>
      </c>
      <c r="G78" s="207">
        <f>SUM(G77)</f>
        <v>1033006.0649665078</v>
      </c>
      <c r="H78" s="206"/>
      <c r="I78" s="207">
        <f>SUM(I77)</f>
        <v>-632687.27944858628</v>
      </c>
      <c r="J78" s="207">
        <f>SUM(J77)</f>
        <v>89288.116626797651</v>
      </c>
      <c r="K78" s="207">
        <f>SUM(K77)</f>
        <v>1031725.1423813129</v>
      </c>
      <c r="L78" s="207"/>
      <c r="M78" s="207">
        <f t="shared" si="38"/>
        <v>3088.2794485862833</v>
      </c>
      <c r="N78" s="207">
        <f t="shared" si="39"/>
        <v>53167.883373202349</v>
      </c>
      <c r="O78" s="207">
        <f t="shared" si="40"/>
        <v>1280.9225851949304</v>
      </c>
      <c r="P78" s="207"/>
      <c r="Q78" s="284"/>
      <c r="R78" s="231"/>
    </row>
    <row r="79" spans="1:19" x14ac:dyDescent="0.2">
      <c r="A79" s="204">
        <f t="shared" si="5"/>
        <v>67</v>
      </c>
      <c r="E79" s="74"/>
      <c r="F79" s="74"/>
      <c r="G79" s="74"/>
      <c r="I79" s="74"/>
      <c r="J79" s="74"/>
      <c r="K79" s="74"/>
      <c r="L79" s="74"/>
      <c r="M79" s="74"/>
      <c r="N79" s="74"/>
      <c r="O79" s="74"/>
      <c r="P79" s="74"/>
      <c r="Q79" s="284"/>
      <c r="R79" s="231"/>
    </row>
    <row r="80" spans="1:19" x14ac:dyDescent="0.2">
      <c r="A80" s="204">
        <f t="shared" ref="A80:A88" si="41">A79+1</f>
        <v>68</v>
      </c>
      <c r="E80" s="209"/>
      <c r="F80" s="209"/>
      <c r="G80" s="209"/>
      <c r="I80" s="209"/>
      <c r="J80" s="209"/>
      <c r="K80" s="209"/>
      <c r="L80" s="209"/>
      <c r="M80" s="209"/>
      <c r="N80" s="209"/>
      <c r="O80" s="209"/>
      <c r="P80" s="209"/>
      <c r="Q80" s="284"/>
      <c r="R80" s="231"/>
    </row>
    <row r="81" spans="1:19" x14ac:dyDescent="0.2">
      <c r="A81" s="204">
        <f t="shared" si="41"/>
        <v>69</v>
      </c>
      <c r="C81" s="211" t="s">
        <v>243</v>
      </c>
      <c r="D81" s="211"/>
      <c r="E81" s="210">
        <f>E22+E37+E43+E50+E60+E75+E78</f>
        <v>13461122</v>
      </c>
      <c r="F81" s="210">
        <f>F22+F37+F43+F50+F60+F75+F78</f>
        <v>30634557</v>
      </c>
      <c r="G81" s="210">
        <f>G22+G37+G43+G50+G60+G75+G78</f>
        <v>-18117660.981034622</v>
      </c>
      <c r="H81" s="211"/>
      <c r="I81" s="210">
        <f>I22+I37+I43+I50+I60+I75+I78</f>
        <v>13460609.091895226</v>
      </c>
      <c r="J81" s="210">
        <f>J22+J37+J43+J50+J60+J75+J78</f>
        <v>30582926.831485137</v>
      </c>
      <c r="K81" s="210">
        <f>K22+K37+K43+K50+K60+K75+K78</f>
        <v>-18122920.560401604</v>
      </c>
      <c r="L81" s="210"/>
      <c r="M81" s="210">
        <f>E81-I81</f>
        <v>512.90810477361083</v>
      </c>
      <c r="N81" s="210">
        <f>F81-J81</f>
        <v>51630.168514862657</v>
      </c>
      <c r="O81" s="210">
        <f>G81-K81</f>
        <v>5259.5793669819832</v>
      </c>
      <c r="P81" s="210"/>
      <c r="Q81" s="284"/>
      <c r="R81" s="231">
        <f>'Total Adj'!B71-K81</f>
        <v>0</v>
      </c>
      <c r="S81" s="76" t="s">
        <v>274</v>
      </c>
    </row>
    <row r="82" spans="1:19" x14ac:dyDescent="0.2">
      <c r="A82" s="204">
        <f t="shared" si="41"/>
        <v>70</v>
      </c>
      <c r="C82" s="211"/>
      <c r="D82" s="211"/>
      <c r="E82" s="210"/>
      <c r="F82" s="210"/>
      <c r="G82" s="210"/>
      <c r="H82" s="211"/>
      <c r="I82" s="210"/>
      <c r="J82" s="210"/>
      <c r="K82" s="210"/>
      <c r="L82" s="210"/>
      <c r="M82" s="210"/>
      <c r="N82" s="210"/>
      <c r="O82" s="210"/>
      <c r="P82" s="210"/>
      <c r="Q82" s="284"/>
      <c r="R82" s="231"/>
    </row>
    <row r="83" spans="1:19" s="75" customFormat="1" x14ac:dyDescent="0.2">
      <c r="A83" s="204">
        <f t="shared" si="41"/>
        <v>71</v>
      </c>
      <c r="C83" s="221" t="s">
        <v>205</v>
      </c>
      <c r="D83" s="221"/>
      <c r="E83" s="221">
        <f>E10+E81</f>
        <v>53850899</v>
      </c>
      <c r="F83" s="221">
        <f>F10+F81</f>
        <v>818890931</v>
      </c>
      <c r="G83" s="221">
        <f>G10+G81+1</f>
        <v>9568464.3059478551</v>
      </c>
      <c r="H83" s="221"/>
      <c r="I83" s="221">
        <f>I10+I81</f>
        <v>53850387.091895223</v>
      </c>
      <c r="J83" s="221">
        <f>J10+J81</f>
        <v>818839298.83148515</v>
      </c>
      <c r="K83" s="221">
        <f>K10+K81</f>
        <v>9563201.8768512309</v>
      </c>
      <c r="L83" s="307"/>
      <c r="M83" s="221">
        <f>E83-I83</f>
        <v>511.90810477733612</v>
      </c>
      <c r="N83" s="221">
        <f>F83-J83</f>
        <v>51632.168514847755</v>
      </c>
      <c r="O83" s="221">
        <f>G83-K83</f>
        <v>5262.4290966242552</v>
      </c>
      <c r="P83" s="307"/>
      <c r="Q83" s="74" t="s">
        <v>395</v>
      </c>
    </row>
    <row r="84" spans="1:19" x14ac:dyDescent="0.2">
      <c r="A84" s="204">
        <f t="shared" si="41"/>
        <v>72</v>
      </c>
      <c r="C84" s="211"/>
      <c r="D84" s="211"/>
      <c r="E84" s="210"/>
      <c r="F84" s="210"/>
      <c r="G84" s="210"/>
      <c r="H84" s="211"/>
      <c r="I84" s="210"/>
      <c r="J84" s="210"/>
      <c r="K84" s="210"/>
      <c r="L84" s="210"/>
      <c r="M84" s="210"/>
      <c r="N84" s="210"/>
      <c r="O84" s="210"/>
      <c r="P84" s="210"/>
      <c r="Q84" s="284"/>
    </row>
    <row r="85" spans="1:19" x14ac:dyDescent="0.2">
      <c r="A85" s="204">
        <f t="shared" si="41"/>
        <v>73</v>
      </c>
      <c r="C85" s="211"/>
      <c r="D85" s="211"/>
      <c r="E85" s="210"/>
      <c r="F85" s="210"/>
      <c r="G85" s="210"/>
      <c r="H85" s="211"/>
      <c r="I85" s="210"/>
      <c r="J85" s="210"/>
      <c r="K85" s="210"/>
      <c r="L85" s="210"/>
      <c r="M85" s="210"/>
      <c r="N85" s="311"/>
      <c r="O85" s="210"/>
      <c r="P85" s="210"/>
      <c r="Q85" s="284"/>
    </row>
    <row r="86" spans="1:19" x14ac:dyDescent="0.2">
      <c r="A86" s="204">
        <f t="shared" si="41"/>
        <v>74</v>
      </c>
      <c r="B86" s="214" t="s">
        <v>190</v>
      </c>
    </row>
    <row r="87" spans="1:19" x14ac:dyDescent="0.2">
      <c r="A87" s="204">
        <f t="shared" si="41"/>
        <v>75</v>
      </c>
      <c r="B87" s="214" t="s">
        <v>330</v>
      </c>
    </row>
    <row r="88" spans="1:19" x14ac:dyDescent="0.2">
      <c r="A88" s="204">
        <f t="shared" si="41"/>
        <v>76</v>
      </c>
      <c r="B88" s="214" t="s">
        <v>353</v>
      </c>
    </row>
    <row r="97" spans="7:7" x14ac:dyDescent="0.2">
      <c r="G97" s="76" t="s">
        <v>389</v>
      </c>
    </row>
  </sheetData>
  <mergeCells count="4">
    <mergeCell ref="A3:Q4"/>
    <mergeCell ref="E8:G8"/>
    <mergeCell ref="I8:K8"/>
    <mergeCell ref="M8:O8"/>
  </mergeCells>
  <pageMargins left="1" right="0.5" top="0.75" bottom="0.75" header="0.3" footer="0.3"/>
  <pageSetup scale="51" orientation="landscape" r:id="rId1"/>
  <headerFooter>
    <oddHeader>&amp;RPage 1.40</oddHead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85"/>
  <sheetViews>
    <sheetView view="pageBreakPreview" topLeftCell="A49" zoomScaleNormal="100" zoomScaleSheetLayoutView="100" workbookViewId="0">
      <selection activeCell="O86" sqref="O86"/>
    </sheetView>
  </sheetViews>
  <sheetFormatPr defaultRowHeight="11.25" x14ac:dyDescent="0.2"/>
  <cols>
    <col min="1" max="1" width="3.42578125" style="119" customWidth="1"/>
    <col min="2" max="2" width="22.5703125" style="119" customWidth="1"/>
    <col min="3" max="3" width="12.28515625" style="119" customWidth="1"/>
    <col min="4" max="4" width="3.28515625" style="119" customWidth="1"/>
    <col min="5" max="11" width="11.85546875" style="119" customWidth="1"/>
    <col min="12" max="12" width="3" style="119" customWidth="1"/>
    <col min="13" max="13" width="11.85546875" style="119" customWidth="1"/>
    <col min="14" max="14" width="3.140625" style="119" customWidth="1"/>
    <col min="15" max="15" width="11.85546875" style="119" customWidth="1"/>
    <col min="16" max="16" width="11.85546875" style="121" hidden="1" customWidth="1"/>
    <col min="17" max="17" width="0" style="121" hidden="1" customWidth="1"/>
    <col min="18" max="16384" width="9.140625" style="119"/>
  </cols>
  <sheetData>
    <row r="1" spans="1:17" ht="12" x14ac:dyDescent="0.2">
      <c r="A1" s="117" t="s">
        <v>46</v>
      </c>
      <c r="B1" s="118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12" x14ac:dyDescent="0.2">
      <c r="A2" s="316" t="s">
        <v>207</v>
      </c>
      <c r="B2" s="317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7" ht="12" customHeight="1" x14ac:dyDescent="0.2">
      <c r="A3" s="318" t="s">
        <v>208</v>
      </c>
      <c r="B3" s="318"/>
      <c r="C3" s="318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7" ht="12" x14ac:dyDescent="0.2">
      <c r="A4" s="122" t="s">
        <v>293</v>
      </c>
      <c r="B4" s="118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7" ht="12.75" x14ac:dyDescent="0.2">
      <c r="A5" s="123" t="s">
        <v>387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7" x14ac:dyDescent="0.2">
      <c r="A6" s="124"/>
      <c r="C6" s="126"/>
      <c r="D6" s="127"/>
      <c r="E6" s="126"/>
      <c r="F6" s="125"/>
      <c r="G6" s="125"/>
      <c r="H6" s="125"/>
      <c r="I6" s="125"/>
      <c r="J6" s="125"/>
      <c r="K6" s="125"/>
      <c r="L6" s="271"/>
      <c r="M6" s="125"/>
      <c r="O6" s="275"/>
      <c r="P6" s="119"/>
      <c r="Q6" s="119"/>
    </row>
    <row r="7" spans="1:17" x14ac:dyDescent="0.2">
      <c r="C7" s="272"/>
      <c r="D7" s="273"/>
      <c r="E7" s="274"/>
      <c r="F7" s="271"/>
      <c r="G7" s="271"/>
      <c r="H7" s="271"/>
      <c r="I7" s="271"/>
      <c r="J7" s="271"/>
      <c r="K7" s="271"/>
      <c r="M7" s="128" t="s">
        <v>209</v>
      </c>
      <c r="P7" s="129" t="s">
        <v>210</v>
      </c>
    </row>
    <row r="8" spans="1:17" x14ac:dyDescent="0.2">
      <c r="C8" s="128"/>
      <c r="D8" s="127"/>
      <c r="E8" s="128" t="s">
        <v>211</v>
      </c>
      <c r="F8" s="128" t="s">
        <v>212</v>
      </c>
      <c r="G8" s="128" t="s">
        <v>213</v>
      </c>
      <c r="H8" s="128" t="s">
        <v>36</v>
      </c>
      <c r="I8" s="128" t="s">
        <v>214</v>
      </c>
      <c r="J8" s="128" t="s">
        <v>215</v>
      </c>
      <c r="K8" s="128" t="s">
        <v>282</v>
      </c>
      <c r="L8" s="127"/>
      <c r="M8" s="128" t="s">
        <v>290</v>
      </c>
      <c r="P8" s="121" t="s">
        <v>216</v>
      </c>
    </row>
    <row r="9" spans="1:17" ht="67.5" x14ac:dyDescent="0.2">
      <c r="C9" s="130" t="s">
        <v>336</v>
      </c>
      <c r="D9" s="131"/>
      <c r="E9" s="130" t="s">
        <v>217</v>
      </c>
      <c r="F9" s="130" t="s">
        <v>218</v>
      </c>
      <c r="G9" s="130" t="s">
        <v>219</v>
      </c>
      <c r="H9" s="130" t="s">
        <v>220</v>
      </c>
      <c r="I9" s="130" t="s">
        <v>221</v>
      </c>
      <c r="J9" s="130" t="s">
        <v>222</v>
      </c>
      <c r="K9" s="130" t="s">
        <v>281</v>
      </c>
      <c r="L9" s="131"/>
      <c r="M9" s="130" t="s">
        <v>223</v>
      </c>
      <c r="O9" s="130" t="s">
        <v>224</v>
      </c>
      <c r="P9" s="132" t="s">
        <v>225</v>
      </c>
    </row>
    <row r="10" spans="1:17" x14ac:dyDescent="0.2">
      <c r="A10" s="133">
        <v>1</v>
      </c>
      <c r="B10" s="133" t="s">
        <v>49</v>
      </c>
    </row>
    <row r="11" spans="1:17" x14ac:dyDescent="0.2">
      <c r="A11" s="133">
        <v>2</v>
      </c>
      <c r="B11" s="133" t="s">
        <v>50</v>
      </c>
      <c r="C11" s="71">
        <f>Summary!B9</f>
        <v>317700179.76000005</v>
      </c>
      <c r="D11" s="134"/>
      <c r="E11" s="71">
        <f>'Page 1.4'!D6</f>
        <v>3905479.1195230857</v>
      </c>
      <c r="F11" s="71">
        <f>'Page 1.4'!E6</f>
        <v>0</v>
      </c>
      <c r="G11" s="71">
        <f>'Page 1.4'!F6</f>
        <v>0</v>
      </c>
      <c r="H11" s="71">
        <f>'Page 1.4'!G6</f>
        <v>0</v>
      </c>
      <c r="I11" s="71">
        <f>'Page 1.4'!H6</f>
        <v>0</v>
      </c>
      <c r="J11" s="71">
        <f>'Page 1.4'!I6</f>
        <v>0</v>
      </c>
      <c r="K11" s="71">
        <f>'Page 1.4'!J6</f>
        <v>0</v>
      </c>
      <c r="M11" s="71">
        <f>SUM(E11:L11)</f>
        <v>3905479.1195230857</v>
      </c>
      <c r="O11" s="135">
        <f>+C11+M11</f>
        <v>321605658.87952316</v>
      </c>
      <c r="P11" s="136">
        <v>271765424.50999999</v>
      </c>
      <c r="Q11" s="136">
        <f>O11-P11</f>
        <v>49840234.369523168</v>
      </c>
    </row>
    <row r="12" spans="1:17" x14ac:dyDescent="0.2">
      <c r="A12" s="133">
        <v>3</v>
      </c>
      <c r="B12" s="133" t="s">
        <v>51</v>
      </c>
      <c r="C12" s="71">
        <f>Summary!B10</f>
        <v>0</v>
      </c>
      <c r="D12" s="134"/>
      <c r="E12" s="71">
        <f>'Page 1.4'!D7</f>
        <v>0</v>
      </c>
      <c r="F12" s="71">
        <f>'Page 1.4'!E7</f>
        <v>0</v>
      </c>
      <c r="G12" s="71">
        <f>'Page 1.4'!F7</f>
        <v>0</v>
      </c>
      <c r="H12" s="71">
        <f>'Page 1.4'!G7</f>
        <v>0</v>
      </c>
      <c r="I12" s="71">
        <f>'Page 1.4'!H7</f>
        <v>0</v>
      </c>
      <c r="J12" s="71">
        <f>'Page 1.4'!I7</f>
        <v>0</v>
      </c>
      <c r="K12" s="71">
        <f>'Page 1.4'!J7</f>
        <v>0</v>
      </c>
      <c r="M12" s="71">
        <f>SUM(E12:L12)</f>
        <v>0</v>
      </c>
      <c r="O12" s="135">
        <f>+C12+M12</f>
        <v>0</v>
      </c>
      <c r="P12" s="136">
        <v>0</v>
      </c>
      <c r="Q12" s="136">
        <f t="shared" ref="Q12:Q66" si="0">O12-P12</f>
        <v>0</v>
      </c>
    </row>
    <row r="13" spans="1:17" x14ac:dyDescent="0.2">
      <c r="A13" s="133">
        <v>4</v>
      </c>
      <c r="B13" s="133" t="s">
        <v>52</v>
      </c>
      <c r="C13" s="71">
        <f>Summary!B11</f>
        <v>18487997.238930419</v>
      </c>
      <c r="D13" s="134"/>
      <c r="E13" s="71">
        <f>'Page 1.4'!D8</f>
        <v>0</v>
      </c>
      <c r="F13" s="71">
        <f>'Page 1.4'!E8</f>
        <v>0</v>
      </c>
      <c r="G13" s="71">
        <f>'Page 1.4'!F8</f>
        <v>3251151.8642404899</v>
      </c>
      <c r="H13" s="71">
        <f>'Page 1.4'!G8</f>
        <v>0</v>
      </c>
      <c r="I13" s="71">
        <f>'Page 1.4'!H8</f>
        <v>0</v>
      </c>
      <c r="J13" s="71">
        <f>'Page 1.4'!I8</f>
        <v>0</v>
      </c>
      <c r="K13" s="71">
        <f>'Page 1.4'!J8</f>
        <v>168043.62256751209</v>
      </c>
      <c r="M13" s="71">
        <f>SUM(E13:L13)</f>
        <v>3419195.486808002</v>
      </c>
      <c r="O13" s="135">
        <f>+C13+M13</f>
        <v>21907192.725738421</v>
      </c>
      <c r="P13" s="136">
        <v>38970998.203098312</v>
      </c>
      <c r="Q13" s="136">
        <f t="shared" si="0"/>
        <v>-17063805.477359891</v>
      </c>
    </row>
    <row r="14" spans="1:17" x14ac:dyDescent="0.2">
      <c r="A14" s="133">
        <v>5</v>
      </c>
      <c r="B14" s="133" t="s">
        <v>53</v>
      </c>
      <c r="C14" s="71">
        <f>Summary!B12</f>
        <v>11424455.922849471</v>
      </c>
      <c r="D14" s="134"/>
      <c r="E14" s="71">
        <f>'Page 1.4'!D9</f>
        <v>-1951030.9157781401</v>
      </c>
      <c r="F14" s="71">
        <f>'Page 1.4'!E9</f>
        <v>-158114.54708066303</v>
      </c>
      <c r="G14" s="71">
        <f>'Page 1.4'!F9</f>
        <v>679898.4167838149</v>
      </c>
      <c r="H14" s="71">
        <f>'Page 1.4'!G9</f>
        <v>0</v>
      </c>
      <c r="I14" s="71">
        <f>'Page 1.4'!H9</f>
        <v>0</v>
      </c>
      <c r="J14" s="71">
        <f>'Page 1.4'!I9</f>
        <v>-3000000</v>
      </c>
      <c r="K14" s="71">
        <f>'Page 1.4'!J9</f>
        <v>5575.0633692726551</v>
      </c>
      <c r="M14" s="71">
        <f>SUM(E14:L14)</f>
        <v>-4423671.982705716</v>
      </c>
      <c r="O14" s="135">
        <f>+C14+M14</f>
        <v>7000783.9401437547</v>
      </c>
      <c r="P14" s="136">
        <v>6612736.0503272489</v>
      </c>
      <c r="Q14" s="136">
        <f t="shared" si="0"/>
        <v>388047.88981650583</v>
      </c>
    </row>
    <row r="15" spans="1:17" x14ac:dyDescent="0.2">
      <c r="A15" s="133">
        <v>6</v>
      </c>
      <c r="B15" s="133" t="s">
        <v>54</v>
      </c>
      <c r="C15" s="137">
        <f>SUM(C11:C14)</f>
        <v>347612632.92177993</v>
      </c>
      <c r="D15" s="138"/>
      <c r="E15" s="137">
        <f t="shared" ref="E15:O15" si="1">SUM(E11:E14)</f>
        <v>1954448.2037449456</v>
      </c>
      <c r="F15" s="137">
        <f t="shared" si="1"/>
        <v>-158114.54708066303</v>
      </c>
      <c r="G15" s="137">
        <f t="shared" si="1"/>
        <v>3931050.2810243047</v>
      </c>
      <c r="H15" s="137">
        <f t="shared" si="1"/>
        <v>0</v>
      </c>
      <c r="I15" s="137">
        <f t="shared" si="1"/>
        <v>0</v>
      </c>
      <c r="J15" s="137">
        <f t="shared" si="1"/>
        <v>-3000000</v>
      </c>
      <c r="K15" s="137">
        <f t="shared" ref="K15" si="2">SUM(K11:K14)</f>
        <v>173618.68593678475</v>
      </c>
      <c r="M15" s="137">
        <f t="shared" si="1"/>
        <v>2901002.6236253716</v>
      </c>
      <c r="O15" s="137">
        <f t="shared" si="1"/>
        <v>350513635.54540533</v>
      </c>
      <c r="P15" s="139">
        <v>317349158.76342553</v>
      </c>
      <c r="Q15" s="136">
        <f t="shared" si="0"/>
        <v>33164476.781979799</v>
      </c>
    </row>
    <row r="16" spans="1:17" ht="12.75" x14ac:dyDescent="0.2">
      <c r="A16" s="133">
        <v>7</v>
      </c>
      <c r="B16" s="133"/>
      <c r="C16" s="140"/>
      <c r="D16" s="134"/>
      <c r="E16" s="140"/>
      <c r="F16" s="140"/>
      <c r="G16" s="140"/>
      <c r="H16" s="140"/>
      <c r="I16" s="140"/>
      <c r="J16" s="140"/>
      <c r="K16" s="140"/>
      <c r="M16" s="140"/>
      <c r="Q16" s="136">
        <f t="shared" si="0"/>
        <v>0</v>
      </c>
    </row>
    <row r="17" spans="1:17" ht="12.75" x14ac:dyDescent="0.2">
      <c r="A17" s="133">
        <v>8</v>
      </c>
      <c r="B17" s="133" t="s">
        <v>55</v>
      </c>
      <c r="C17" s="140"/>
      <c r="D17" s="134"/>
      <c r="E17" s="140"/>
      <c r="F17" s="140"/>
      <c r="G17" s="140"/>
      <c r="H17" s="140"/>
      <c r="I17" s="140"/>
      <c r="J17" s="140"/>
      <c r="K17" s="140"/>
      <c r="M17" s="140"/>
      <c r="Q17" s="136">
        <f t="shared" si="0"/>
        <v>0</v>
      </c>
    </row>
    <row r="18" spans="1:17" x14ac:dyDescent="0.2">
      <c r="A18" s="133">
        <v>9</v>
      </c>
      <c r="B18" s="133" t="s">
        <v>56</v>
      </c>
      <c r="C18" s="71">
        <f>Summary!B16</f>
        <v>59484321.530398287</v>
      </c>
      <c r="D18" s="134"/>
      <c r="E18" s="71">
        <f>'Page 1.4'!D13</f>
        <v>0</v>
      </c>
      <c r="F18" s="71">
        <f>'Page 1.4'!E13</f>
        <v>-128892.7783861834</v>
      </c>
      <c r="G18" s="71">
        <f>'Page 1.4'!F13</f>
        <v>12625462.799982119</v>
      </c>
      <c r="H18" s="71">
        <f>'Page 1.4'!G13</f>
        <v>-50321.66386051404</v>
      </c>
      <c r="I18" s="71">
        <f>'Page 1.4'!H13</f>
        <v>0</v>
      </c>
      <c r="J18" s="71">
        <f>'Page 1.4'!I13</f>
        <v>0</v>
      </c>
      <c r="K18" s="71">
        <f>'Page 1.4'!J13</f>
        <v>441784.34985890239</v>
      </c>
      <c r="M18" s="71">
        <f t="shared" ref="M18:M27" si="3">SUM(E18:L18)</f>
        <v>12888032.707594324</v>
      </c>
      <c r="O18" s="135">
        <f t="shared" ref="O18:O27" si="4">+C18+M18</f>
        <v>72372354.237992615</v>
      </c>
      <c r="P18" s="136">
        <v>51233952.117625967</v>
      </c>
      <c r="Q18" s="136">
        <f t="shared" si="0"/>
        <v>21138402.120366648</v>
      </c>
    </row>
    <row r="19" spans="1:17" x14ac:dyDescent="0.2">
      <c r="A19" s="133">
        <v>10</v>
      </c>
      <c r="B19" s="133" t="s">
        <v>57</v>
      </c>
      <c r="C19" s="71">
        <f>Summary!B17</f>
        <v>0</v>
      </c>
      <c r="D19" s="134"/>
      <c r="E19" s="71">
        <f>'Page 1.4'!D14</f>
        <v>0</v>
      </c>
      <c r="F19" s="71">
        <f>'Page 1.4'!E14</f>
        <v>0</v>
      </c>
      <c r="G19" s="71">
        <f>'Page 1.4'!F14</f>
        <v>0</v>
      </c>
      <c r="H19" s="71">
        <f>'Page 1.4'!G14</f>
        <v>0</v>
      </c>
      <c r="I19" s="71">
        <f>'Page 1.4'!H14</f>
        <v>0</v>
      </c>
      <c r="J19" s="71">
        <f>'Page 1.4'!I14</f>
        <v>0</v>
      </c>
      <c r="K19" s="71">
        <f>'Page 1.4'!J14</f>
        <v>0</v>
      </c>
      <c r="M19" s="71">
        <f t="shared" si="3"/>
        <v>0</v>
      </c>
      <c r="O19" s="135">
        <f t="shared" si="4"/>
        <v>0</v>
      </c>
      <c r="P19" s="136">
        <v>0</v>
      </c>
      <c r="Q19" s="136">
        <f t="shared" si="0"/>
        <v>0</v>
      </c>
    </row>
    <row r="20" spans="1:17" x14ac:dyDescent="0.2">
      <c r="A20" s="141">
        <v>11</v>
      </c>
      <c r="B20" s="133" t="s">
        <v>58</v>
      </c>
      <c r="C20" s="71">
        <f>Summary!B18</f>
        <v>7355375.5656367149</v>
      </c>
      <c r="D20" s="134"/>
      <c r="E20" s="71">
        <f>'Page 1.4'!D15</f>
        <v>0</v>
      </c>
      <c r="F20" s="71">
        <f>'Page 1.4'!E15</f>
        <v>-62681.640122702047</v>
      </c>
      <c r="G20" s="71">
        <f>'Page 1.4'!F15</f>
        <v>0</v>
      </c>
      <c r="H20" s="71">
        <f>'Page 1.4'!G15</f>
        <v>-16832.982510151043</v>
      </c>
      <c r="I20" s="71">
        <f>'Page 1.4'!H15</f>
        <v>0</v>
      </c>
      <c r="J20" s="71">
        <f>'Page 1.4'!I15</f>
        <v>-6984.2305789677403</v>
      </c>
      <c r="K20" s="71">
        <f>'Page 1.4'!J15</f>
        <v>0</v>
      </c>
      <c r="M20" s="71">
        <f t="shared" si="3"/>
        <v>-86498.853211820824</v>
      </c>
      <c r="O20" s="135">
        <f t="shared" si="4"/>
        <v>7268876.7124248939</v>
      </c>
      <c r="P20" s="136">
        <v>6365130.4740653811</v>
      </c>
      <c r="Q20" s="136">
        <f t="shared" si="0"/>
        <v>903746.23835951276</v>
      </c>
    </row>
    <row r="21" spans="1:17" x14ac:dyDescent="0.2">
      <c r="A21" s="133">
        <v>12</v>
      </c>
      <c r="B21" s="133" t="s">
        <v>59</v>
      </c>
      <c r="C21" s="71">
        <f>Summary!B19</f>
        <v>94996038.854480177</v>
      </c>
      <c r="D21" s="134"/>
      <c r="E21" s="71">
        <f>'Page 1.4'!D16</f>
        <v>0</v>
      </c>
      <c r="F21" s="71">
        <f>'Page 1.4'!E16</f>
        <v>-181667.71187549294</v>
      </c>
      <c r="G21" s="71">
        <f>'Page 1.4'!F16</f>
        <v>-19679861.922916919</v>
      </c>
      <c r="H21" s="71">
        <f>'Page 1.4'!G16</f>
        <v>-9066.7565976280148</v>
      </c>
      <c r="I21" s="71">
        <f>'Page 1.4'!H16</f>
        <v>0</v>
      </c>
      <c r="J21" s="71">
        <f>'Page 1.4'!I16</f>
        <v>0</v>
      </c>
      <c r="K21" s="71">
        <f>'Page 1.4'!J16</f>
        <v>508868.4061698888</v>
      </c>
      <c r="M21" s="71">
        <f t="shared" si="3"/>
        <v>-19361727.985220153</v>
      </c>
      <c r="O21" s="135">
        <f t="shared" si="4"/>
        <v>75634310.869260028</v>
      </c>
      <c r="P21" s="136">
        <v>113752064.68169239</v>
      </c>
      <c r="Q21" s="136">
        <f t="shared" si="0"/>
        <v>-38117753.812432364</v>
      </c>
    </row>
    <row r="22" spans="1:17" x14ac:dyDescent="0.2">
      <c r="A22" s="133">
        <v>13</v>
      </c>
      <c r="B22" s="133" t="s">
        <v>60</v>
      </c>
      <c r="C22" s="71">
        <f>Summary!B20</f>
        <v>27085770.889695119</v>
      </c>
      <c r="D22" s="134"/>
      <c r="E22" s="71">
        <f>'Page 1.4'!D17</f>
        <v>-112129.56683175203</v>
      </c>
      <c r="F22" s="71">
        <f>'Page 1.4'!E17</f>
        <v>74282.338510693226</v>
      </c>
      <c r="G22" s="71">
        <f>'Page 1.4'!F17</f>
        <v>3512558.1699891733</v>
      </c>
      <c r="H22" s="71">
        <f>'Page 1.4'!G17</f>
        <v>-4683.855394548289</v>
      </c>
      <c r="I22" s="71">
        <f>'Page 1.4'!H17</f>
        <v>0</v>
      </c>
      <c r="J22" s="71">
        <f>'Page 1.4'!I17</f>
        <v>0</v>
      </c>
      <c r="K22" s="71">
        <f>'Page 1.4'!J17</f>
        <v>194367.15618342906</v>
      </c>
      <c r="M22" s="71">
        <f t="shared" si="3"/>
        <v>3664394.2424569954</v>
      </c>
      <c r="O22" s="135">
        <f t="shared" si="4"/>
        <v>30750165.132152114</v>
      </c>
      <c r="P22" s="136">
        <v>28559841.28457519</v>
      </c>
      <c r="Q22" s="136">
        <f t="shared" si="0"/>
        <v>2190323.8475769237</v>
      </c>
    </row>
    <row r="23" spans="1:17" x14ac:dyDescent="0.2">
      <c r="A23" s="133">
        <v>14</v>
      </c>
      <c r="B23" s="133" t="s">
        <v>61</v>
      </c>
      <c r="C23" s="71">
        <f>Summary!B21</f>
        <v>12193372.832732398</v>
      </c>
      <c r="D23" s="134"/>
      <c r="E23" s="71">
        <f>'Page 1.4'!D18</f>
        <v>0</v>
      </c>
      <c r="F23" s="71">
        <f>'Page 1.4'!E18</f>
        <v>-497765.48932517722</v>
      </c>
      <c r="G23" s="71">
        <f>'Page 1.4'!F18</f>
        <v>0</v>
      </c>
      <c r="H23" s="71">
        <f>'Page 1.4'!G18</f>
        <v>-18634.019828897322</v>
      </c>
      <c r="I23" s="71">
        <f>'Page 1.4'!H18</f>
        <v>0</v>
      </c>
      <c r="J23" s="71">
        <f>'Page 1.4'!I18</f>
        <v>0</v>
      </c>
      <c r="K23" s="71">
        <f>'Page 1.4'!J18</f>
        <v>0</v>
      </c>
      <c r="M23" s="71">
        <f t="shared" si="3"/>
        <v>-516399.50915407453</v>
      </c>
      <c r="O23" s="135">
        <f t="shared" si="4"/>
        <v>11676973.323578324</v>
      </c>
      <c r="P23" s="136">
        <v>13720081.656609347</v>
      </c>
      <c r="Q23" s="136">
        <f t="shared" si="0"/>
        <v>-2043108.3330310229</v>
      </c>
    </row>
    <row r="24" spans="1:17" x14ac:dyDescent="0.2">
      <c r="A24" s="133">
        <v>15</v>
      </c>
      <c r="B24" s="133" t="s">
        <v>62</v>
      </c>
      <c r="C24" s="71">
        <f>Summary!B22</f>
        <v>6347127.9129931955</v>
      </c>
      <c r="D24" s="134"/>
      <c r="E24" s="71">
        <f>'Page 1.4'!D19</f>
        <v>0</v>
      </c>
      <c r="F24" s="71">
        <f>'Page 1.4'!E19</f>
        <v>334085.50444418751</v>
      </c>
      <c r="G24" s="71">
        <f>'Page 1.4'!F19</f>
        <v>0</v>
      </c>
      <c r="H24" s="71">
        <f>'Page 1.4'!G19</f>
        <v>-10104.389324111222</v>
      </c>
      <c r="I24" s="71">
        <f>'Page 1.4'!H19</f>
        <v>0</v>
      </c>
      <c r="J24" s="71">
        <f>'Page 1.4'!I19</f>
        <v>0</v>
      </c>
      <c r="K24" s="71">
        <f>'Page 1.4'!J19</f>
        <v>0</v>
      </c>
      <c r="M24" s="71">
        <f t="shared" si="3"/>
        <v>323981.11512007628</v>
      </c>
      <c r="O24" s="135">
        <f t="shared" si="4"/>
        <v>6671109.028113272</v>
      </c>
      <c r="P24" s="136">
        <v>8088174.8739973465</v>
      </c>
      <c r="Q24" s="136">
        <f t="shared" si="0"/>
        <v>-1417065.8458840745</v>
      </c>
    </row>
    <row r="25" spans="1:17" x14ac:dyDescent="0.2">
      <c r="A25" s="133">
        <v>16</v>
      </c>
      <c r="B25" s="133" t="s">
        <v>63</v>
      </c>
      <c r="C25" s="71">
        <f>Summary!B23</f>
        <v>11445806.671783183</v>
      </c>
      <c r="D25" s="134"/>
      <c r="E25" s="71">
        <f>'Page 1.4'!D20</f>
        <v>0</v>
      </c>
      <c r="F25" s="71">
        <f>'Page 1.4'!E20</f>
        <v>-10693976.280646814</v>
      </c>
      <c r="G25" s="71">
        <f>'Page 1.4'!F20</f>
        <v>0</v>
      </c>
      <c r="H25" s="71">
        <f>'Page 1.4'!G20</f>
        <v>-1547.9632678918319</v>
      </c>
      <c r="I25" s="71">
        <f>'Page 1.4'!H20</f>
        <v>0</v>
      </c>
      <c r="J25" s="71">
        <f>'Page 1.4'!I20</f>
        <v>0</v>
      </c>
      <c r="K25" s="71">
        <f>'Page 1.4'!J20</f>
        <v>0</v>
      </c>
      <c r="M25" s="71">
        <f t="shared" si="3"/>
        <v>-10695524.243914707</v>
      </c>
      <c r="O25" s="135">
        <f t="shared" si="4"/>
        <v>750282.42786847614</v>
      </c>
      <c r="P25" s="136">
        <v>567248.60477840831</v>
      </c>
      <c r="Q25" s="136">
        <f t="shared" si="0"/>
        <v>183033.82309006783</v>
      </c>
    </row>
    <row r="26" spans="1:17" x14ac:dyDescent="0.2">
      <c r="A26" s="133">
        <v>17</v>
      </c>
      <c r="B26" s="133" t="s">
        <v>64</v>
      </c>
      <c r="C26" s="71">
        <f>Summary!B24</f>
        <v>0</v>
      </c>
      <c r="D26" s="134"/>
      <c r="E26" s="71">
        <f>'Page 1.4'!D21</f>
        <v>0</v>
      </c>
      <c r="F26" s="71">
        <f>'Page 1.4'!E21</f>
        <v>0</v>
      </c>
      <c r="G26" s="71">
        <f>'Page 1.4'!F21</f>
        <v>0</v>
      </c>
      <c r="H26" s="71">
        <f>'Page 1.4'!G21</f>
        <v>0</v>
      </c>
      <c r="I26" s="71">
        <f>'Page 1.4'!H21</f>
        <v>0</v>
      </c>
      <c r="J26" s="71">
        <f>'Page 1.4'!I21</f>
        <v>0</v>
      </c>
      <c r="K26" s="71">
        <f>'Page 1.4'!J21</f>
        <v>0</v>
      </c>
      <c r="M26" s="71">
        <f t="shared" si="3"/>
        <v>0</v>
      </c>
      <c r="O26" s="135">
        <f t="shared" si="4"/>
        <v>0</v>
      </c>
      <c r="P26" s="136">
        <v>0</v>
      </c>
      <c r="Q26" s="136">
        <f t="shared" si="0"/>
        <v>0</v>
      </c>
    </row>
    <row r="27" spans="1:17" x14ac:dyDescent="0.2">
      <c r="A27" s="133">
        <v>18</v>
      </c>
      <c r="B27" s="133" t="s">
        <v>65</v>
      </c>
      <c r="C27" s="71">
        <f>Summary!B25</f>
        <v>13226426.289316572</v>
      </c>
      <c r="D27" s="134"/>
      <c r="E27" s="71">
        <f>'Page 1.4'!D22</f>
        <v>0</v>
      </c>
      <c r="F27" s="71">
        <f>'Page 1.4'!E22</f>
        <v>-1761880.3280813401</v>
      </c>
      <c r="G27" s="71">
        <f>'Page 1.4'!F22</f>
        <v>0</v>
      </c>
      <c r="H27" s="71">
        <f>'Page 1.4'!G22</f>
        <v>-20966.275033748134</v>
      </c>
      <c r="I27" s="71">
        <f>'Page 1.4'!H22</f>
        <v>0</v>
      </c>
      <c r="J27" s="71">
        <f>'Page 1.4'!I22</f>
        <v>168765.87530265757</v>
      </c>
      <c r="K27" s="71">
        <f>'Page 1.4'!J22</f>
        <v>0</v>
      </c>
      <c r="M27" s="142">
        <f t="shared" si="3"/>
        <v>-1614080.7278124308</v>
      </c>
      <c r="O27" s="135">
        <f t="shared" si="4"/>
        <v>11612345.56150414</v>
      </c>
      <c r="P27" s="136">
        <v>10777818.836707022</v>
      </c>
      <c r="Q27" s="136">
        <f t="shared" si="0"/>
        <v>834526.72479711846</v>
      </c>
    </row>
    <row r="28" spans="1:17" x14ac:dyDescent="0.2">
      <c r="A28" s="133">
        <v>19</v>
      </c>
      <c r="B28" s="133" t="s">
        <v>66</v>
      </c>
      <c r="C28" s="175">
        <f>SUM(C18:C27)</f>
        <v>232134240.54703563</v>
      </c>
      <c r="D28" s="138"/>
      <c r="E28" s="175">
        <f t="shared" ref="E28:J28" si="5">SUM(E18:E27)</f>
        <v>-112129.56683175203</v>
      </c>
      <c r="F28" s="175">
        <f t="shared" si="5"/>
        <v>-12918496.385482829</v>
      </c>
      <c r="G28" s="175">
        <f t="shared" si="5"/>
        <v>-3541840.9529456263</v>
      </c>
      <c r="H28" s="175">
        <f t="shared" si="5"/>
        <v>-132157.9058174899</v>
      </c>
      <c r="I28" s="175">
        <f t="shared" si="5"/>
        <v>0</v>
      </c>
      <c r="J28" s="175">
        <f t="shared" si="5"/>
        <v>161781.64472368982</v>
      </c>
      <c r="K28" s="175">
        <f t="shared" ref="K28" si="6">SUM(K18:K27)</f>
        <v>1145019.9122122203</v>
      </c>
      <c r="M28" s="135">
        <f>SUM(M18:M27)</f>
        <v>-15397823.254141789</v>
      </c>
      <c r="O28" s="175">
        <f>SUM(O18:O27)</f>
        <v>216736417.29289389</v>
      </c>
      <c r="P28" s="144">
        <v>233064312.53005108</v>
      </c>
      <c r="Q28" s="136">
        <f t="shared" si="0"/>
        <v>-16327895.237157196</v>
      </c>
    </row>
    <row r="29" spans="1:17" x14ac:dyDescent="0.2">
      <c r="A29" s="133">
        <v>20</v>
      </c>
      <c r="B29" s="133" t="s">
        <v>67</v>
      </c>
      <c r="C29" s="71">
        <f>Summary!B27</f>
        <v>42465251.825127855</v>
      </c>
      <c r="D29" s="134"/>
      <c r="E29" s="71">
        <f>'Page 1.4'!D24</f>
        <v>0</v>
      </c>
      <c r="F29" s="71">
        <f>'Page 1.4'!E24</f>
        <v>0</v>
      </c>
      <c r="G29" s="71">
        <f>'Page 1.4'!F24</f>
        <v>-428046.01728697837</v>
      </c>
      <c r="H29" s="71">
        <f>'Page 1.4'!G24</f>
        <v>1428608.4764376204</v>
      </c>
      <c r="I29" s="71">
        <f>'Page 1.4'!H24</f>
        <v>0</v>
      </c>
      <c r="J29" s="71">
        <f>'Page 1.4'!I24</f>
        <v>448371.09206894884</v>
      </c>
      <c r="K29" s="71">
        <f>'Page 1.4'!J24</f>
        <v>3604.9755148369586</v>
      </c>
      <c r="M29" s="71">
        <f t="shared" ref="M29:M36" si="7">SUM(E29:L29)</f>
        <v>1452538.5267344275</v>
      </c>
      <c r="O29" s="135">
        <f t="shared" ref="O29:O36" si="8">+C29+M29</f>
        <v>43917790.351862282</v>
      </c>
      <c r="P29" s="136">
        <v>36261383.29916583</v>
      </c>
      <c r="Q29" s="136">
        <f t="shared" si="0"/>
        <v>7656407.0526964515</v>
      </c>
    </row>
    <row r="30" spans="1:17" x14ac:dyDescent="0.2">
      <c r="A30" s="133">
        <v>21</v>
      </c>
      <c r="B30" s="133" t="s">
        <v>68</v>
      </c>
      <c r="C30" s="71">
        <f>Summary!B28</f>
        <v>5034157.1996431584</v>
      </c>
      <c r="D30" s="134"/>
      <c r="E30" s="71">
        <f>'Page 1.4'!D25</f>
        <v>0</v>
      </c>
      <c r="F30" s="71">
        <f>'Page 1.4'!E25</f>
        <v>0</v>
      </c>
      <c r="G30" s="71">
        <f>'Page 1.4'!F25</f>
        <v>0</v>
      </c>
      <c r="H30" s="71">
        <f>'Page 1.4'!G25</f>
        <v>0</v>
      </c>
      <c r="I30" s="71">
        <f>'Page 1.4'!H25</f>
        <v>0</v>
      </c>
      <c r="J30" s="71">
        <f>'Page 1.4'!I25</f>
        <v>82361.759263031505</v>
      </c>
      <c r="K30" s="71">
        <f>'Page 1.4'!J25</f>
        <v>0</v>
      </c>
      <c r="M30" s="71">
        <f t="shared" si="7"/>
        <v>82361.759263031505</v>
      </c>
      <c r="O30" s="135">
        <f t="shared" si="8"/>
        <v>5116518.9589061895</v>
      </c>
      <c r="P30" s="136">
        <v>3665152.1851653727</v>
      </c>
      <c r="Q30" s="136">
        <f t="shared" si="0"/>
        <v>1451366.7737408169</v>
      </c>
    </row>
    <row r="31" spans="1:17" x14ac:dyDescent="0.2">
      <c r="A31" s="133">
        <v>22</v>
      </c>
      <c r="B31" s="133" t="s">
        <v>69</v>
      </c>
      <c r="C31" s="71">
        <f>Summary!B29</f>
        <v>21700554.211273085</v>
      </c>
      <c r="D31" s="134"/>
      <c r="E31" s="71">
        <f>'Page 1.4'!D26</f>
        <v>0</v>
      </c>
      <c r="F31" s="71">
        <f>'Page 1.4'!E26</f>
        <v>0</v>
      </c>
      <c r="G31" s="71">
        <f>'Page 1.4'!F26</f>
        <v>-41073.316515808037</v>
      </c>
      <c r="H31" s="71">
        <f>'Page 1.4'!G26</f>
        <v>0</v>
      </c>
      <c r="I31" s="71">
        <f>'Page 1.4'!H26</f>
        <v>-659186</v>
      </c>
      <c r="J31" s="71">
        <f>'Page 1.4'!I26</f>
        <v>0</v>
      </c>
      <c r="K31" s="71">
        <f>'Page 1.4'!J26</f>
        <v>0</v>
      </c>
      <c r="M31" s="71">
        <f t="shared" si="7"/>
        <v>-700259.31651580799</v>
      </c>
      <c r="O31" s="135">
        <f t="shared" si="8"/>
        <v>21000294.894757278</v>
      </c>
      <c r="P31" s="136">
        <v>17274071.254904289</v>
      </c>
      <c r="Q31" s="136">
        <f t="shared" si="0"/>
        <v>3726223.6398529895</v>
      </c>
    </row>
    <row r="32" spans="1:17" x14ac:dyDescent="0.2">
      <c r="A32" s="133">
        <v>23</v>
      </c>
      <c r="B32" s="133" t="s">
        <v>70</v>
      </c>
      <c r="C32" s="71">
        <f>Summary!B30</f>
        <v>1000694.0075739436</v>
      </c>
      <c r="D32" s="134"/>
      <c r="E32" s="71">
        <f>'Page 1.4'!D27</f>
        <v>722621.60169430648</v>
      </c>
      <c r="F32" s="71">
        <f>'Page 1.4'!E27</f>
        <v>4046125.5452722097</v>
      </c>
      <c r="G32" s="71">
        <f>'Page 1.4'!F27</f>
        <v>2657127.6410807003</v>
      </c>
      <c r="H32" s="71">
        <f>'Page 1.4'!G27</f>
        <v>-131172.05956060378</v>
      </c>
      <c r="I32" s="71">
        <f>'Page 1.4'!H27</f>
        <v>-460546.83581447066</v>
      </c>
      <c r="J32" s="71">
        <f>'Page 1.4'!I27</f>
        <v>-2611147.8248524936</v>
      </c>
      <c r="K32" s="71">
        <f>'Page 1.4'!J27</f>
        <v>-394401.81487168622</v>
      </c>
      <c r="M32" s="71">
        <f t="shared" si="7"/>
        <v>3828606.2529479633</v>
      </c>
      <c r="O32" s="135">
        <f t="shared" si="8"/>
        <v>4829300.2605219074</v>
      </c>
      <c r="P32" s="136">
        <v>-27893216.135399766</v>
      </c>
      <c r="Q32" s="136">
        <f t="shared" si="0"/>
        <v>32722516.395921674</v>
      </c>
    </row>
    <row r="33" spans="1:17" x14ac:dyDescent="0.2">
      <c r="A33" s="133">
        <v>24</v>
      </c>
      <c r="B33" s="133" t="s">
        <v>71</v>
      </c>
      <c r="C33" s="71">
        <f>Summary!B31</f>
        <v>0</v>
      </c>
      <c r="D33" s="134"/>
      <c r="E33" s="71">
        <f>'Page 1.4'!D28</f>
        <v>0</v>
      </c>
      <c r="F33" s="71">
        <f>'Page 1.4'!E28</f>
        <v>0</v>
      </c>
      <c r="G33" s="71">
        <f>'Page 1.4'!F28</f>
        <v>0</v>
      </c>
      <c r="H33" s="71">
        <f>'Page 1.4'!G28</f>
        <v>0</v>
      </c>
      <c r="I33" s="71">
        <f>'Page 1.4'!H28</f>
        <v>0</v>
      </c>
      <c r="J33" s="71">
        <f>'Page 1.4'!I28</f>
        <v>0</v>
      </c>
      <c r="K33" s="71">
        <f>'Page 1.4'!J28</f>
        <v>0</v>
      </c>
      <c r="M33" s="71">
        <f t="shared" si="7"/>
        <v>0</v>
      </c>
      <c r="O33" s="135">
        <f t="shared" si="8"/>
        <v>0</v>
      </c>
      <c r="P33" s="136">
        <v>0</v>
      </c>
      <c r="Q33" s="136">
        <f t="shared" si="0"/>
        <v>0</v>
      </c>
    </row>
    <row r="34" spans="1:17" x14ac:dyDescent="0.2">
      <c r="A34" s="133">
        <v>25</v>
      </c>
      <c r="B34" s="133" t="s">
        <v>72</v>
      </c>
      <c r="C34" s="71">
        <f>Summary!B32</f>
        <v>4870544.7604143675</v>
      </c>
      <c r="D34" s="134"/>
      <c r="E34" s="71">
        <f>'Page 1.4'!D29</f>
        <v>295256.29879283818</v>
      </c>
      <c r="F34" s="71">
        <f>'Page 1.4'!E29</f>
        <v>0</v>
      </c>
      <c r="G34" s="71">
        <f>'Page 1.4'!F29</f>
        <v>113105.10250531929</v>
      </c>
      <c r="H34" s="71">
        <f>'Page 1.4'!G29</f>
        <v>-349784.22953036072</v>
      </c>
      <c r="I34" s="71">
        <f>'Page 1.4'!H29</f>
        <v>-898783.85953784268</v>
      </c>
      <c r="J34" s="71">
        <f>'Page 1.4'!I29</f>
        <v>1742632.2616016853</v>
      </c>
      <c r="K34" s="71">
        <f>'Page 1.4'!J29</f>
        <v>52082.892530000099</v>
      </c>
      <c r="M34" s="71">
        <f t="shared" si="7"/>
        <v>954508.46636163944</v>
      </c>
      <c r="O34" s="135">
        <f t="shared" si="8"/>
        <v>5825053.2267760066</v>
      </c>
      <c r="P34" s="136">
        <v>26083695.336452752</v>
      </c>
      <c r="Q34" s="136">
        <f t="shared" si="0"/>
        <v>-20258642.109676745</v>
      </c>
    </row>
    <row r="35" spans="1:17" x14ac:dyDescent="0.2">
      <c r="A35" s="133">
        <v>26</v>
      </c>
      <c r="B35" s="133" t="s">
        <v>73</v>
      </c>
      <c r="C35" s="71">
        <f>Summary!B33</f>
        <v>0</v>
      </c>
      <c r="D35" s="134"/>
      <c r="E35" s="71">
        <f>'Page 1.4'!D30</f>
        <v>0</v>
      </c>
      <c r="F35" s="71">
        <f>'Page 1.4'!E30</f>
        <v>0</v>
      </c>
      <c r="G35" s="71">
        <f>'Page 1.4'!F30</f>
        <v>0</v>
      </c>
      <c r="H35" s="71">
        <f>'Page 1.4'!G30</f>
        <v>0</v>
      </c>
      <c r="I35" s="71">
        <f>'Page 1.4'!H30</f>
        <v>0</v>
      </c>
      <c r="J35" s="71">
        <f>'Page 1.4'!I30</f>
        <v>0</v>
      </c>
      <c r="K35" s="71">
        <f>'Page 1.4'!J30</f>
        <v>0</v>
      </c>
      <c r="M35" s="71">
        <f t="shared" si="7"/>
        <v>0</v>
      </c>
      <c r="O35" s="135">
        <f t="shared" si="8"/>
        <v>0</v>
      </c>
      <c r="P35" s="136">
        <v>0</v>
      </c>
      <c r="Q35" s="136">
        <f t="shared" si="0"/>
        <v>0</v>
      </c>
    </row>
    <row r="36" spans="1:17" x14ac:dyDescent="0.2">
      <c r="A36" s="133">
        <v>27</v>
      </c>
      <c r="B36" s="133" t="s">
        <v>74</v>
      </c>
      <c r="C36" s="71">
        <f>Summary!B34</f>
        <v>17412.424553640729</v>
      </c>
      <c r="D36" s="134"/>
      <c r="E36" s="71">
        <f>'Page 1.4'!D31</f>
        <v>-776048.95839665306</v>
      </c>
      <c r="F36" s="71">
        <f>'Page 1.4'!E31</f>
        <v>-7659.5617953912351</v>
      </c>
      <c r="G36" s="71">
        <f>'Page 1.4'!F31</f>
        <v>0</v>
      </c>
      <c r="H36" s="71">
        <f>'Page 1.4'!G31</f>
        <v>0</v>
      </c>
      <c r="I36" s="71">
        <f>'Page 1.4'!H31</f>
        <v>0</v>
      </c>
      <c r="J36" s="71">
        <f>'Page 1.4'!I31</f>
        <v>4169.3672727272733</v>
      </c>
      <c r="K36" s="71">
        <f>'Page 1.4'!J31</f>
        <v>0</v>
      </c>
      <c r="M36" s="71">
        <f t="shared" si="7"/>
        <v>-779539.15291931701</v>
      </c>
      <c r="O36" s="135">
        <f t="shared" si="8"/>
        <v>-762126.72836567624</v>
      </c>
      <c r="P36" s="136">
        <v>-544240.93044569634</v>
      </c>
      <c r="Q36" s="136">
        <f t="shared" si="0"/>
        <v>-217885.7979199799</v>
      </c>
    </row>
    <row r="37" spans="1:17" x14ac:dyDescent="0.2">
      <c r="A37" s="133">
        <v>28</v>
      </c>
      <c r="B37" s="133" t="s">
        <v>75</v>
      </c>
      <c r="C37" s="145">
        <f>SUM(C28:C36)</f>
        <v>307222854.97562164</v>
      </c>
      <c r="D37" s="138"/>
      <c r="E37" s="145">
        <f t="shared" ref="E37:J37" si="9">SUM(E28:E36)</f>
        <v>129699.37525873946</v>
      </c>
      <c r="F37" s="145">
        <f t="shared" si="9"/>
        <v>-8880030.4020060115</v>
      </c>
      <c r="G37" s="145">
        <f t="shared" si="9"/>
        <v>-1240727.5431623929</v>
      </c>
      <c r="H37" s="145">
        <f t="shared" si="9"/>
        <v>815494.28152916604</v>
      </c>
      <c r="I37" s="145">
        <f t="shared" si="9"/>
        <v>-2018516.6953523133</v>
      </c>
      <c r="J37" s="145">
        <f t="shared" si="9"/>
        <v>-171831.69992241092</v>
      </c>
      <c r="K37" s="145">
        <f t="shared" ref="K37" si="10">SUM(K28:K36)</f>
        <v>806305.96538537089</v>
      </c>
      <c r="M37" s="145">
        <f>SUM(M28:M36)</f>
        <v>-10559606.718269851</v>
      </c>
      <c r="O37" s="145">
        <f>SUM(O28:O36)</f>
        <v>296663248.25735188</v>
      </c>
      <c r="P37" s="146">
        <v>287911157.53989387</v>
      </c>
      <c r="Q37" s="136">
        <f t="shared" si="0"/>
        <v>8752090.7174580097</v>
      </c>
    </row>
    <row r="38" spans="1:17" ht="12.75" x14ac:dyDescent="0.2">
      <c r="A38" s="133">
        <v>29</v>
      </c>
      <c r="B38" s="133"/>
      <c r="C38" s="140"/>
      <c r="D38" s="134"/>
      <c r="E38" s="140"/>
      <c r="F38" s="140"/>
      <c r="G38" s="140"/>
      <c r="H38" s="140"/>
      <c r="I38" s="140"/>
      <c r="J38" s="140"/>
      <c r="K38" s="140"/>
      <c r="M38" s="140"/>
      <c r="O38" s="134"/>
      <c r="P38" s="147"/>
      <c r="Q38" s="136">
        <f t="shared" si="0"/>
        <v>0</v>
      </c>
    </row>
    <row r="39" spans="1:17" ht="12" thickBot="1" x14ac:dyDescent="0.25">
      <c r="A39" s="133">
        <v>30</v>
      </c>
      <c r="B39" s="148" t="s">
        <v>76</v>
      </c>
      <c r="C39" s="149">
        <f>C15-C37</f>
        <v>40389777.94615829</v>
      </c>
      <c r="D39" s="150"/>
      <c r="E39" s="149">
        <f t="shared" ref="E39:J39" si="11">E15-E37</f>
        <v>1824748.828486206</v>
      </c>
      <c r="F39" s="149">
        <f t="shared" si="11"/>
        <v>8721915.8549253494</v>
      </c>
      <c r="G39" s="149">
        <f t="shared" si="11"/>
        <v>5171777.8241866976</v>
      </c>
      <c r="H39" s="149">
        <f t="shared" si="11"/>
        <v>-815494.28152916604</v>
      </c>
      <c r="I39" s="149">
        <f t="shared" si="11"/>
        <v>2018516.6953523133</v>
      </c>
      <c r="J39" s="149">
        <f t="shared" si="11"/>
        <v>-2828168.3000775892</v>
      </c>
      <c r="K39" s="149">
        <f t="shared" ref="K39" si="12">K15-K37</f>
        <v>-632687.27944858617</v>
      </c>
      <c r="M39" s="149">
        <f>M15-M37</f>
        <v>13460609.341895223</v>
      </c>
      <c r="O39" s="149">
        <f>O15-O37</f>
        <v>53850387.288053453</v>
      </c>
      <c r="P39" s="151">
        <v>29438001.223531663</v>
      </c>
      <c r="Q39" s="136">
        <f t="shared" si="0"/>
        <v>24412386.06452179</v>
      </c>
    </row>
    <row r="40" spans="1:17" ht="13.5" thickTop="1" x14ac:dyDescent="0.2">
      <c r="A40" s="133">
        <v>31</v>
      </c>
      <c r="B40" s="133"/>
      <c r="C40" s="140"/>
      <c r="D40" s="134"/>
      <c r="E40" s="140"/>
      <c r="F40" s="140"/>
      <c r="G40" s="140"/>
      <c r="H40" s="140"/>
      <c r="I40" s="140"/>
      <c r="J40" s="140"/>
      <c r="K40" s="140"/>
      <c r="M40" s="140"/>
      <c r="Q40" s="136">
        <f t="shared" si="0"/>
        <v>0</v>
      </c>
    </row>
    <row r="41" spans="1:17" ht="12.75" x14ac:dyDescent="0.2">
      <c r="A41" s="133">
        <v>32</v>
      </c>
      <c r="B41" s="133" t="s">
        <v>77</v>
      </c>
      <c r="C41" s="140"/>
      <c r="D41" s="134"/>
      <c r="E41" s="140"/>
      <c r="F41" s="140"/>
      <c r="G41" s="140"/>
      <c r="H41" s="140"/>
      <c r="I41" s="140"/>
      <c r="J41" s="140"/>
      <c r="K41" s="140"/>
      <c r="M41" s="140"/>
      <c r="Q41" s="136">
        <f t="shared" si="0"/>
        <v>0</v>
      </c>
    </row>
    <row r="42" spans="1:17" x14ac:dyDescent="0.2">
      <c r="A42" s="133">
        <v>33</v>
      </c>
      <c r="B42" s="133" t="s">
        <v>78</v>
      </c>
      <c r="C42" s="71">
        <f>Summary!B40</f>
        <v>1647982661.0399942</v>
      </c>
      <c r="D42" s="134"/>
      <c r="E42" s="71">
        <f>'Page 1.4'!D37</f>
        <v>0</v>
      </c>
      <c r="F42" s="71">
        <f>'Page 1.4'!E37</f>
        <v>0</v>
      </c>
      <c r="G42" s="71">
        <f>'Page 1.4'!F37</f>
        <v>-28327255.80891481</v>
      </c>
      <c r="H42" s="71">
        <f>'Page 1.4'!G37</f>
        <v>0</v>
      </c>
      <c r="I42" s="71">
        <f>'Page 1.4'!H37</f>
        <v>0</v>
      </c>
      <c r="J42" s="71">
        <f>'Page 1.4'!I37</f>
        <v>90237666.554133713</v>
      </c>
      <c r="K42" s="71">
        <f>'Page 1.4'!J37</f>
        <v>163081.06751195365</v>
      </c>
      <c r="M42" s="71">
        <f t="shared" ref="M42:M52" si="13">SUM(E42:L42)</f>
        <v>62073491.812730856</v>
      </c>
      <c r="O42" s="135">
        <f t="shared" ref="O42:O52" si="14">+C42+M42</f>
        <v>1710056152.852725</v>
      </c>
      <c r="P42" s="136">
        <v>1405766403.7356484</v>
      </c>
      <c r="Q42" s="136">
        <f t="shared" si="0"/>
        <v>304289749.11707664</v>
      </c>
    </row>
    <row r="43" spans="1:17" x14ac:dyDescent="0.2">
      <c r="A43" s="133">
        <v>34</v>
      </c>
      <c r="B43" s="133" t="s">
        <v>79</v>
      </c>
      <c r="C43" s="71">
        <f>Summary!B41</f>
        <v>234061.84233843297</v>
      </c>
      <c r="D43" s="134"/>
      <c r="E43" s="71">
        <f>'Page 1.4'!D38</f>
        <v>0</v>
      </c>
      <c r="F43" s="71">
        <f>'Page 1.4'!E38</f>
        <v>0</v>
      </c>
      <c r="G43" s="71">
        <f>'Page 1.4'!F38</f>
        <v>0</v>
      </c>
      <c r="H43" s="71">
        <f>'Page 1.4'!G38</f>
        <v>0</v>
      </c>
      <c r="I43" s="71">
        <f>'Page 1.4'!H38</f>
        <v>0</v>
      </c>
      <c r="J43" s="71">
        <f>'Page 1.4'!I38</f>
        <v>0</v>
      </c>
      <c r="K43" s="71">
        <f>'Page 1.4'!J38</f>
        <v>0</v>
      </c>
      <c r="M43" s="71">
        <f t="shared" si="13"/>
        <v>0</v>
      </c>
      <c r="O43" s="135">
        <f t="shared" si="14"/>
        <v>234061.84233843297</v>
      </c>
      <c r="P43" s="136">
        <v>37310.24459140328</v>
      </c>
      <c r="Q43" s="136">
        <f t="shared" si="0"/>
        <v>196751.59774702968</v>
      </c>
    </row>
    <row r="44" spans="1:17" x14ac:dyDescent="0.2">
      <c r="A44" s="133">
        <v>35</v>
      </c>
      <c r="B44" s="133" t="s">
        <v>80</v>
      </c>
      <c r="C44" s="71">
        <f>Summary!B42</f>
        <v>13696535.688252786</v>
      </c>
      <c r="D44" s="134"/>
      <c r="E44" s="71">
        <f>'Page 1.4'!D39</f>
        <v>0</v>
      </c>
      <c r="F44" s="71">
        <f>'Page 1.4'!E39</f>
        <v>0</v>
      </c>
      <c r="G44" s="71">
        <f>'Page 1.4'!F39</f>
        <v>0</v>
      </c>
      <c r="H44" s="71">
        <f>'Page 1.4'!G39</f>
        <v>0</v>
      </c>
      <c r="I44" s="71">
        <f>'Page 1.4'!H39</f>
        <v>0</v>
      </c>
      <c r="J44" s="71">
        <f>'Page 1.4'!I39</f>
        <v>-5671386.2543606469</v>
      </c>
      <c r="K44" s="71">
        <f>'Page 1.4'!J39</f>
        <v>0</v>
      </c>
      <c r="M44" s="71">
        <f t="shared" si="13"/>
        <v>-5671386.2543606469</v>
      </c>
      <c r="O44" s="135">
        <f t="shared" si="14"/>
        <v>8025149.4338921392</v>
      </c>
      <c r="P44" s="136">
        <v>19149090.866463043</v>
      </c>
      <c r="Q44" s="136">
        <f t="shared" si="0"/>
        <v>-11123941.432570904</v>
      </c>
    </row>
    <row r="45" spans="1:17" x14ac:dyDescent="0.2">
      <c r="A45" s="133">
        <v>36</v>
      </c>
      <c r="B45" s="133" t="s">
        <v>81</v>
      </c>
      <c r="C45" s="71">
        <f>Summary!B43</f>
        <v>0</v>
      </c>
      <c r="D45" s="134"/>
      <c r="E45" s="71">
        <f>'Page 1.4'!D40</f>
        <v>0</v>
      </c>
      <c r="F45" s="71">
        <f>'Page 1.4'!E40</f>
        <v>0</v>
      </c>
      <c r="G45" s="71">
        <f>'Page 1.4'!F40</f>
        <v>0</v>
      </c>
      <c r="H45" s="71">
        <f>'Page 1.4'!G40</f>
        <v>0</v>
      </c>
      <c r="I45" s="71">
        <f>'Page 1.4'!H40</f>
        <v>0</v>
      </c>
      <c r="J45" s="71">
        <f>'Page 1.4'!I40</f>
        <v>0</v>
      </c>
      <c r="K45" s="71">
        <f>'Page 1.4'!J40</f>
        <v>0</v>
      </c>
      <c r="M45" s="71">
        <f t="shared" si="13"/>
        <v>0</v>
      </c>
      <c r="O45" s="135">
        <f t="shared" si="14"/>
        <v>0</v>
      </c>
      <c r="P45" s="136">
        <v>0</v>
      </c>
      <c r="Q45" s="136">
        <f t="shared" si="0"/>
        <v>0</v>
      </c>
    </row>
    <row r="46" spans="1:17" x14ac:dyDescent="0.2">
      <c r="A46" s="133">
        <v>37</v>
      </c>
      <c r="B46" s="133" t="s">
        <v>82</v>
      </c>
      <c r="C46" s="71">
        <f>Summary!B44</f>
        <v>0</v>
      </c>
      <c r="D46" s="134"/>
      <c r="E46" s="71">
        <f>'Page 1.4'!D41</f>
        <v>0</v>
      </c>
      <c r="F46" s="71">
        <f>'Page 1.4'!E41</f>
        <v>0</v>
      </c>
      <c r="G46" s="71">
        <f>'Page 1.4'!F41</f>
        <v>0</v>
      </c>
      <c r="H46" s="71">
        <f>'Page 1.4'!G41</f>
        <v>0</v>
      </c>
      <c r="I46" s="71">
        <f>'Page 1.4'!H41</f>
        <v>0</v>
      </c>
      <c r="J46" s="71">
        <f>'Page 1.4'!I41</f>
        <v>0</v>
      </c>
      <c r="K46" s="71">
        <f>'Page 1.4'!J41</f>
        <v>0</v>
      </c>
      <c r="M46" s="71">
        <f t="shared" si="13"/>
        <v>0</v>
      </c>
      <c r="O46" s="135">
        <f t="shared" si="14"/>
        <v>0</v>
      </c>
      <c r="P46" s="136">
        <v>0</v>
      </c>
      <c r="Q46" s="136">
        <f t="shared" si="0"/>
        <v>0</v>
      </c>
    </row>
    <row r="47" spans="1:17" x14ac:dyDescent="0.2">
      <c r="A47" s="133">
        <v>38</v>
      </c>
      <c r="B47" s="133" t="s">
        <v>83</v>
      </c>
      <c r="C47" s="71">
        <f>Summary!B45</f>
        <v>1743278.7185106373</v>
      </c>
      <c r="D47" s="134"/>
      <c r="E47" s="71">
        <f>'Page 1.4'!D42</f>
        <v>0</v>
      </c>
      <c r="F47" s="71">
        <f>'Page 1.4'!E42</f>
        <v>0</v>
      </c>
      <c r="G47" s="71">
        <f>'Page 1.4'!F42</f>
        <v>0</v>
      </c>
      <c r="H47" s="71">
        <f>'Page 1.4'!G42</f>
        <v>0</v>
      </c>
      <c r="I47" s="71">
        <f>'Page 1.4'!H42</f>
        <v>0</v>
      </c>
      <c r="J47" s="71">
        <f>'Page 1.4'!I42</f>
        <v>-1743278.7185106392</v>
      </c>
      <c r="K47" s="71">
        <f>'Page 1.4'!J42</f>
        <v>0</v>
      </c>
      <c r="M47" s="71">
        <f t="shared" si="13"/>
        <v>-1743278.7185106392</v>
      </c>
      <c r="O47" s="135">
        <f t="shared" si="14"/>
        <v>-1.862645149230957E-9</v>
      </c>
      <c r="P47" s="136">
        <v>-1.8892287742346525E-2</v>
      </c>
      <c r="Q47" s="136">
        <f t="shared" si="0"/>
        <v>1.8892285879701376E-2</v>
      </c>
    </row>
    <row r="48" spans="1:17" x14ac:dyDescent="0.2">
      <c r="A48" s="133">
        <v>39</v>
      </c>
      <c r="B48" s="133" t="s">
        <v>84</v>
      </c>
      <c r="C48" s="71">
        <f>Summary!B46</f>
        <v>6914148.5720945587</v>
      </c>
      <c r="D48" s="134"/>
      <c r="E48" s="71">
        <f>'Page 1.4'!D43</f>
        <v>0</v>
      </c>
      <c r="F48" s="71">
        <f>'Page 1.4'!E43</f>
        <v>0</v>
      </c>
      <c r="G48" s="71">
        <f>'Page 1.4'!F43</f>
        <v>0</v>
      </c>
      <c r="H48" s="71">
        <f>'Page 1.4'!G43</f>
        <v>0</v>
      </c>
      <c r="I48" s="71">
        <f>'Page 1.4'!H43</f>
        <v>0</v>
      </c>
      <c r="J48" s="71">
        <f>'Page 1.4'!I43</f>
        <v>-6914148.5720945681</v>
      </c>
      <c r="K48" s="71">
        <f>'Page 1.4'!J43</f>
        <v>0</v>
      </c>
      <c r="M48" s="71">
        <f t="shared" si="13"/>
        <v>-6914148.5720945681</v>
      </c>
      <c r="O48" s="135">
        <f t="shared" si="14"/>
        <v>-9.3132257461547852E-9</v>
      </c>
      <c r="P48" s="136">
        <v>3524551.0469494397</v>
      </c>
      <c r="Q48" s="136">
        <f t="shared" si="0"/>
        <v>-3524551.046949449</v>
      </c>
    </row>
    <row r="49" spans="1:17" x14ac:dyDescent="0.2">
      <c r="A49" s="133">
        <v>40</v>
      </c>
      <c r="B49" s="133" t="s">
        <v>85</v>
      </c>
      <c r="C49" s="71">
        <f>Summary!B47</f>
        <v>6926884.9267722946</v>
      </c>
      <c r="D49" s="134"/>
      <c r="E49" s="71">
        <f>'Page 1.4'!D44</f>
        <v>0</v>
      </c>
      <c r="F49" s="71">
        <f>'Page 1.4'!E44</f>
        <v>0</v>
      </c>
      <c r="G49" s="71">
        <f>'Page 1.4'!F44</f>
        <v>0</v>
      </c>
      <c r="H49" s="71">
        <f>'Page 1.4'!G44</f>
        <v>0</v>
      </c>
      <c r="I49" s="71">
        <f>'Page 1.4'!H44</f>
        <v>0</v>
      </c>
      <c r="J49" s="71">
        <f>'Page 1.4'!I44</f>
        <v>-6926884.9266495155</v>
      </c>
      <c r="K49" s="71">
        <f>'Page 1.4'!J44</f>
        <v>0</v>
      </c>
      <c r="M49" s="71">
        <f t="shared" si="13"/>
        <v>-6926884.9266495155</v>
      </c>
      <c r="O49" s="135">
        <f t="shared" si="14"/>
        <v>1.2277904897928238E-4</v>
      </c>
      <c r="P49" s="136">
        <v>7775702.6726858066</v>
      </c>
      <c r="Q49" s="136">
        <f t="shared" si="0"/>
        <v>-7775702.6725630276</v>
      </c>
    </row>
    <row r="50" spans="1:17" x14ac:dyDescent="0.2">
      <c r="A50" s="133">
        <v>41</v>
      </c>
      <c r="B50" s="133" t="s">
        <v>86</v>
      </c>
      <c r="C50" s="71">
        <f>Summary!B48</f>
        <v>2438703.9515725183</v>
      </c>
      <c r="D50" s="134"/>
      <c r="E50" s="71">
        <f>'Page 1.4'!D45</f>
        <v>0</v>
      </c>
      <c r="F50" s="71">
        <f>'Page 1.4'!E45</f>
        <v>0</v>
      </c>
      <c r="G50" s="71">
        <f>'Page 1.4'!F45</f>
        <v>0</v>
      </c>
      <c r="H50" s="71">
        <f>'Page 1.4'!G45</f>
        <v>0</v>
      </c>
      <c r="I50" s="71">
        <f>'Page 1.4'!H45</f>
        <v>0</v>
      </c>
      <c r="J50" s="71">
        <f>'Page 1.4'!I45</f>
        <v>28579779.133268069</v>
      </c>
      <c r="K50" s="71">
        <f>'Page 1.4'!J45</f>
        <v>0</v>
      </c>
      <c r="M50" s="71">
        <f t="shared" si="13"/>
        <v>28579779.133268069</v>
      </c>
      <c r="O50" s="135">
        <f t="shared" si="14"/>
        <v>31018483.084840588</v>
      </c>
      <c r="P50" s="136">
        <v>11145151.052284811</v>
      </c>
      <c r="Q50" s="136">
        <f t="shared" si="0"/>
        <v>19873332.032555778</v>
      </c>
    </row>
    <row r="51" spans="1:17" x14ac:dyDescent="0.2">
      <c r="A51" s="133">
        <v>42</v>
      </c>
      <c r="B51" s="133" t="s">
        <v>87</v>
      </c>
      <c r="C51" s="71">
        <f>Summary!B49</f>
        <v>1932316.2836254868</v>
      </c>
      <c r="D51" s="134"/>
      <c r="E51" s="71">
        <f>'Page 1.4'!D46</f>
        <v>0</v>
      </c>
      <c r="F51" s="71">
        <f>'Page 1.4'!E46</f>
        <v>0</v>
      </c>
      <c r="G51" s="71">
        <f>'Page 1.4'!F46</f>
        <v>0</v>
      </c>
      <c r="H51" s="71">
        <f>'Page 1.4'!G46</f>
        <v>0</v>
      </c>
      <c r="I51" s="71">
        <f>'Page 1.4'!H46</f>
        <v>0</v>
      </c>
      <c r="J51" s="71">
        <f>'Page 1.4'!I46</f>
        <v>0</v>
      </c>
      <c r="K51" s="71">
        <f>'Page 1.4'!J46</f>
        <v>0</v>
      </c>
      <c r="M51" s="71">
        <f t="shared" si="13"/>
        <v>0</v>
      </c>
      <c r="O51" s="135">
        <f t="shared" si="14"/>
        <v>1932316.2836254868</v>
      </c>
      <c r="P51" s="136">
        <v>2046740.5986772478</v>
      </c>
      <c r="Q51" s="136">
        <f t="shared" si="0"/>
        <v>-114424.31505176099</v>
      </c>
    </row>
    <row r="52" spans="1:17" x14ac:dyDescent="0.2">
      <c r="A52" s="133">
        <v>43</v>
      </c>
      <c r="B52" s="133" t="s">
        <v>88</v>
      </c>
      <c r="C52" s="71">
        <f>Summary!B50</f>
        <v>0</v>
      </c>
      <c r="D52" s="134"/>
      <c r="E52" s="71">
        <f>'Page 1.4'!D47</f>
        <v>0</v>
      </c>
      <c r="F52" s="71">
        <f>'Page 1.4'!E47</f>
        <v>0</v>
      </c>
      <c r="G52" s="71">
        <f>'Page 1.4'!F47</f>
        <v>0</v>
      </c>
      <c r="H52" s="71">
        <f>'Page 1.4'!G47</f>
        <v>0</v>
      </c>
      <c r="I52" s="71">
        <f>'Page 1.4'!H47</f>
        <v>0</v>
      </c>
      <c r="J52" s="71">
        <f>'Page 1.4'!I47</f>
        <v>0</v>
      </c>
      <c r="K52" s="71">
        <f>'Page 1.4'!J47</f>
        <v>0</v>
      </c>
      <c r="M52" s="71">
        <f t="shared" si="13"/>
        <v>0</v>
      </c>
      <c r="O52" s="135">
        <f t="shared" si="14"/>
        <v>0</v>
      </c>
      <c r="P52" s="136">
        <v>-40047.559964868124</v>
      </c>
      <c r="Q52" s="136">
        <f t="shared" si="0"/>
        <v>40047.559964868124</v>
      </c>
    </row>
    <row r="53" spans="1:17" x14ac:dyDescent="0.2">
      <c r="A53" s="133">
        <v>44</v>
      </c>
      <c r="B53" s="133" t="s">
        <v>89</v>
      </c>
      <c r="C53" s="145">
        <f>SUM(C42:C52)</f>
        <v>1681868591.0231607</v>
      </c>
      <c r="D53" s="138"/>
      <c r="E53" s="145">
        <f t="shared" ref="E53:J53" si="15">SUM(E42:E52)</f>
        <v>0</v>
      </c>
      <c r="F53" s="145">
        <f t="shared" si="15"/>
        <v>0</v>
      </c>
      <c r="G53" s="145">
        <f t="shared" si="15"/>
        <v>-28327255.80891481</v>
      </c>
      <c r="H53" s="145">
        <f t="shared" si="15"/>
        <v>0</v>
      </c>
      <c r="I53" s="145">
        <f t="shared" si="15"/>
        <v>0</v>
      </c>
      <c r="J53" s="145">
        <f t="shared" si="15"/>
        <v>97561747.215786412</v>
      </c>
      <c r="K53" s="145">
        <f t="shared" ref="K53" si="16">SUM(K42:K52)</f>
        <v>163081.06751195365</v>
      </c>
      <c r="M53" s="145">
        <f>SUM(M42:M52)</f>
        <v>69397572.474383548</v>
      </c>
      <c r="O53" s="145">
        <f>SUM(O42:O52)</f>
        <v>1751266163.4975445</v>
      </c>
      <c r="P53" s="146">
        <v>1449404902.6384428</v>
      </c>
      <c r="Q53" s="136">
        <f t="shared" si="0"/>
        <v>301861260.85910177</v>
      </c>
    </row>
    <row r="54" spans="1:17" ht="12.75" x14ac:dyDescent="0.2">
      <c r="A54" s="133">
        <v>45</v>
      </c>
      <c r="B54" s="133"/>
      <c r="C54" s="140"/>
      <c r="D54" s="134"/>
      <c r="E54" s="140"/>
      <c r="F54" s="140"/>
      <c r="G54" s="140"/>
      <c r="H54" s="140"/>
      <c r="I54" s="140"/>
      <c r="J54" s="140"/>
      <c r="K54" s="140"/>
      <c r="M54" s="140"/>
      <c r="Q54" s="136">
        <f t="shared" si="0"/>
        <v>0</v>
      </c>
    </row>
    <row r="55" spans="1:17" ht="12.75" x14ac:dyDescent="0.2">
      <c r="A55" s="133">
        <v>46</v>
      </c>
      <c r="B55" s="133" t="s">
        <v>90</v>
      </c>
      <c r="C55" s="140"/>
      <c r="D55" s="134"/>
      <c r="E55" s="140"/>
      <c r="F55" s="140"/>
      <c r="G55" s="140"/>
      <c r="H55" s="140"/>
      <c r="I55" s="140"/>
      <c r="J55" s="140"/>
      <c r="K55" s="140"/>
      <c r="M55" s="140"/>
      <c r="Q55" s="136">
        <f t="shared" si="0"/>
        <v>0</v>
      </c>
    </row>
    <row r="56" spans="1:17" x14ac:dyDescent="0.2">
      <c r="A56" s="133">
        <v>47</v>
      </c>
      <c r="B56" s="133" t="s">
        <v>91</v>
      </c>
      <c r="C56" s="71">
        <f>Summary!B54</f>
        <v>-609540662.46340728</v>
      </c>
      <c r="D56" s="134"/>
      <c r="E56" s="71">
        <f>'Page 1.4'!D51</f>
        <v>0</v>
      </c>
      <c r="F56" s="71">
        <f>'Page 1.4'!E51</f>
        <v>0</v>
      </c>
      <c r="G56" s="71">
        <f>'Page 1.4'!F51</f>
        <v>18631294.304746002</v>
      </c>
      <c r="H56" s="71">
        <f>'Page 1.4'!G51</f>
        <v>-1624818.9621658288</v>
      </c>
      <c r="I56" s="71">
        <f>'Page 1.4'!H51</f>
        <v>0</v>
      </c>
      <c r="J56" s="71">
        <f>'Page 1.4'!I51</f>
        <v>-39733986.301809914</v>
      </c>
      <c r="K56" s="71">
        <f>'Page 1.4'!J51</f>
        <v>-3697.9370151566691</v>
      </c>
      <c r="M56" s="71">
        <f t="shared" ref="M56:M62" si="17">SUM(E56:L56)</f>
        <v>-22731208.896244898</v>
      </c>
      <c r="O56" s="135">
        <f t="shared" ref="O56:O63" si="18">+C56+M56</f>
        <v>-632271871.35965216</v>
      </c>
      <c r="P56" s="136">
        <v>-487107988.62874055</v>
      </c>
      <c r="Q56" s="136">
        <f t="shared" si="0"/>
        <v>-145163882.73091161</v>
      </c>
    </row>
    <row r="57" spans="1:17" x14ac:dyDescent="0.2">
      <c r="A57" s="133">
        <v>48</v>
      </c>
      <c r="B57" s="133" t="s">
        <v>92</v>
      </c>
      <c r="C57" s="71">
        <f>Summary!B55</f>
        <v>-46230330.034970716</v>
      </c>
      <c r="D57" s="134"/>
      <c r="E57" s="71">
        <f>'Page 1.4'!D52</f>
        <v>0</v>
      </c>
      <c r="F57" s="71">
        <f>'Page 1.4'!E52</f>
        <v>0</v>
      </c>
      <c r="G57" s="71">
        <f>'Page 1.4'!F52</f>
        <v>0</v>
      </c>
      <c r="H57" s="71">
        <f>'Page 1.4'!G52</f>
        <v>0</v>
      </c>
      <c r="I57" s="71">
        <f>'Page 1.4'!H52</f>
        <v>0</v>
      </c>
      <c r="J57" s="71">
        <f>'Page 1.4'!I52</f>
        <v>0</v>
      </c>
      <c r="K57" s="71">
        <f>'Page 1.4'!J52</f>
        <v>0</v>
      </c>
      <c r="M57" s="71">
        <f t="shared" si="17"/>
        <v>0</v>
      </c>
      <c r="O57" s="135">
        <f t="shared" si="18"/>
        <v>-46230330.034970716</v>
      </c>
      <c r="P57" s="136">
        <v>-34606345.321051545</v>
      </c>
      <c r="Q57" s="136">
        <f t="shared" si="0"/>
        <v>-11623984.71391917</v>
      </c>
    </row>
    <row r="58" spans="1:17" x14ac:dyDescent="0.2">
      <c r="A58" s="133">
        <v>49</v>
      </c>
      <c r="B58" s="133" t="s">
        <v>93</v>
      </c>
      <c r="C58" s="71">
        <f>Summary!B56</f>
        <v>-231233127.40146789</v>
      </c>
      <c r="D58" s="134"/>
      <c r="E58" s="71">
        <f>'Page 1.4'!D53</f>
        <v>152820.8753697275</v>
      </c>
      <c r="F58" s="71">
        <f>'Page 1.4'!E53</f>
        <v>0</v>
      </c>
      <c r="G58" s="71">
        <f>'Page 1.4'!F53</f>
        <v>1126970.5347474767</v>
      </c>
      <c r="H58" s="71">
        <f>'Page 1.4'!G53</f>
        <v>381852.8292755853</v>
      </c>
      <c r="I58" s="71">
        <f>'Page 1.4'!H53</f>
        <v>-11054425.242497936</v>
      </c>
      <c r="J58" s="71">
        <f>'Page 1.4'!I53</f>
        <v>-5878739.0579457935</v>
      </c>
      <c r="K58" s="71">
        <f>'Page 1.4'!J53</f>
        <v>-70095.013869999326</v>
      </c>
      <c r="M58" s="71">
        <f t="shared" si="17"/>
        <v>-15341615.074920939</v>
      </c>
      <c r="O58" s="135">
        <f t="shared" si="18"/>
        <v>-246574742.47638884</v>
      </c>
      <c r="P58" s="136">
        <v>-140589362.44854355</v>
      </c>
      <c r="Q58" s="136">
        <f t="shared" si="0"/>
        <v>-105985380.02784529</v>
      </c>
    </row>
    <row r="59" spans="1:17" x14ac:dyDescent="0.2">
      <c r="A59" s="133">
        <v>50</v>
      </c>
      <c r="B59" s="133" t="s">
        <v>94</v>
      </c>
      <c r="C59" s="71">
        <f>Summary!B57</f>
        <v>-248420.79258380539</v>
      </c>
      <c r="D59" s="134"/>
      <c r="E59" s="71">
        <f>'Page 1.4'!D54</f>
        <v>0</v>
      </c>
      <c r="F59" s="71">
        <f>'Page 1.4'!E54</f>
        <v>0</v>
      </c>
      <c r="G59" s="71">
        <f>'Page 1.4'!F54</f>
        <v>1645.6848</v>
      </c>
      <c r="H59" s="71">
        <f>'Page 1.4'!G54</f>
        <v>0</v>
      </c>
      <c r="I59" s="71">
        <f>'Page 1.4'!H54</f>
        <v>0</v>
      </c>
      <c r="J59" s="71">
        <f>'Page 1.4'!I54</f>
        <v>0</v>
      </c>
      <c r="K59" s="71">
        <f>'Page 1.4'!J54</f>
        <v>0</v>
      </c>
      <c r="M59" s="71">
        <f t="shared" si="17"/>
        <v>1645.6848</v>
      </c>
      <c r="O59" s="135">
        <f t="shared" si="18"/>
        <v>-246775.1077838054</v>
      </c>
      <c r="P59" s="136">
        <v>-952367.36036234268</v>
      </c>
      <c r="Q59" s="136">
        <f t="shared" si="0"/>
        <v>705592.25257853721</v>
      </c>
    </row>
    <row r="60" spans="1:17" x14ac:dyDescent="0.2">
      <c r="A60" s="133">
        <v>51</v>
      </c>
      <c r="B60" s="133" t="s">
        <v>95</v>
      </c>
      <c r="C60" s="71">
        <f>Summary!B58</f>
        <v>-7410.1812785572438</v>
      </c>
      <c r="D60" s="134"/>
      <c r="E60" s="71">
        <f>'Page 1.4'!D55</f>
        <v>0</v>
      </c>
      <c r="F60" s="71">
        <f>'Page 1.4'!E55</f>
        <v>0</v>
      </c>
      <c r="G60" s="71">
        <f>'Page 1.4'!F55</f>
        <v>0</v>
      </c>
      <c r="H60" s="71">
        <f>'Page 1.4'!G55</f>
        <v>0</v>
      </c>
      <c r="I60" s="71">
        <f>'Page 1.4'!H55</f>
        <v>0</v>
      </c>
      <c r="J60" s="71">
        <f>'Page 1.4'!I55</f>
        <v>-481414.22831967368</v>
      </c>
      <c r="K60" s="71">
        <f>'Page 1.4'!J55</f>
        <v>0</v>
      </c>
      <c r="M60" s="71">
        <f t="shared" si="17"/>
        <v>-481414.22831967368</v>
      </c>
      <c r="O60" s="135">
        <f t="shared" si="18"/>
        <v>-488824.40959823091</v>
      </c>
      <c r="P60" s="136">
        <v>-311357.44954026421</v>
      </c>
      <c r="Q60" s="136">
        <f t="shared" si="0"/>
        <v>-177466.9600579667</v>
      </c>
    </row>
    <row r="61" spans="1:17" x14ac:dyDescent="0.2">
      <c r="A61" s="133">
        <v>52</v>
      </c>
      <c r="B61" s="133" t="s">
        <v>96</v>
      </c>
      <c r="C61" s="71">
        <f>Summary!B59</f>
        <v>0</v>
      </c>
      <c r="D61" s="134"/>
      <c r="E61" s="71">
        <f>'Page 1.4'!D56</f>
        <v>0</v>
      </c>
      <c r="F61" s="71">
        <f>'Page 1.4'!E56</f>
        <v>0</v>
      </c>
      <c r="G61" s="71">
        <f>'Page 1.4'!F56</f>
        <v>0</v>
      </c>
      <c r="H61" s="71">
        <f>'Page 1.4'!G56</f>
        <v>0</v>
      </c>
      <c r="I61" s="71">
        <f>'Page 1.4'!H56</f>
        <v>0</v>
      </c>
      <c r="J61" s="71">
        <f>'Page 1.4'!I56</f>
        <v>-3361133.729166666</v>
      </c>
      <c r="K61" s="71">
        <f>'Page 1.4'!J56</f>
        <v>0</v>
      </c>
      <c r="M61" s="71">
        <f t="shared" si="17"/>
        <v>-3361133.729166666</v>
      </c>
      <c r="O61" s="135">
        <f t="shared" si="18"/>
        <v>-3361133.729166666</v>
      </c>
      <c r="P61" s="136">
        <v>-2980495.6783333328</v>
      </c>
      <c r="Q61" s="136">
        <f t="shared" si="0"/>
        <v>-380638.05083333328</v>
      </c>
    </row>
    <row r="62" spans="1:17" x14ac:dyDescent="0.2">
      <c r="A62" s="133">
        <v>53</v>
      </c>
      <c r="B62" s="133" t="s">
        <v>97</v>
      </c>
      <c r="C62" s="71">
        <f>Summary!B60</f>
        <v>-6352268.3274010532</v>
      </c>
      <c r="D62" s="134"/>
      <c r="E62" s="71">
        <f>'Page 1.4'!D57</f>
        <v>-402745.59474258736</v>
      </c>
      <c r="F62" s="71">
        <f>'Page 1.4'!E57</f>
        <v>0</v>
      </c>
      <c r="G62" s="71">
        <f>'Page 1.4'!F57</f>
        <v>0</v>
      </c>
      <c r="H62" s="71">
        <f>'Page 1.4'!G57</f>
        <v>0</v>
      </c>
      <c r="I62" s="71">
        <f>'Page 1.4'!H57</f>
        <v>0</v>
      </c>
      <c r="J62" s="71">
        <f>'Page 1.4'!I57</f>
        <v>3501826.1956963525</v>
      </c>
      <c r="K62" s="71">
        <f>'Page 1.4'!J57</f>
        <v>0</v>
      </c>
      <c r="M62" s="71">
        <f t="shared" si="17"/>
        <v>3099080.6009537652</v>
      </c>
      <c r="O62" s="135">
        <f t="shared" si="18"/>
        <v>-3253187.7264472879</v>
      </c>
      <c r="P62" s="136">
        <v>-8104429.6797070894</v>
      </c>
      <c r="Q62" s="136">
        <f t="shared" si="0"/>
        <v>4851241.9532598015</v>
      </c>
    </row>
    <row r="63" spans="1:17" ht="12.75" x14ac:dyDescent="0.2">
      <c r="A63" s="133">
        <v>54</v>
      </c>
      <c r="B63" s="133"/>
      <c r="C63" s="140"/>
      <c r="D63" s="134"/>
      <c r="E63" s="71">
        <f>'Page 1.4'!D58</f>
        <v>0</v>
      </c>
      <c r="F63" s="71">
        <f>'Page 1.4'!E58</f>
        <v>0</v>
      </c>
      <c r="G63" s="71">
        <f>'Page 1.4'!F58</f>
        <v>0</v>
      </c>
      <c r="H63" s="71">
        <f>'Page 1.4'!G58</f>
        <v>0</v>
      </c>
      <c r="I63" s="71">
        <f>'Page 1.4'!H58</f>
        <v>0</v>
      </c>
      <c r="J63" s="71">
        <f>'Page 1.4'!I58</f>
        <v>0</v>
      </c>
      <c r="K63" s="71">
        <f>'Page 1.4'!J58</f>
        <v>0</v>
      </c>
      <c r="M63" s="140"/>
      <c r="O63" s="135">
        <f t="shared" si="18"/>
        <v>0</v>
      </c>
      <c r="P63" s="136"/>
      <c r="Q63" s="136">
        <f t="shared" si="0"/>
        <v>0</v>
      </c>
    </row>
    <row r="64" spans="1:17" x14ac:dyDescent="0.2">
      <c r="A64" s="133">
        <v>55</v>
      </c>
      <c r="B64" s="133" t="s">
        <v>98</v>
      </c>
      <c r="C64" s="145">
        <f>SUM(C56:C63)</f>
        <v>-893612219.20110941</v>
      </c>
      <c r="D64" s="138"/>
      <c r="E64" s="145">
        <f t="shared" ref="E64:J64" si="19">SUM(E56:E63)</f>
        <v>-249924.71937285986</v>
      </c>
      <c r="F64" s="145">
        <f t="shared" si="19"/>
        <v>0</v>
      </c>
      <c r="G64" s="145">
        <f t="shared" si="19"/>
        <v>19759910.524293479</v>
      </c>
      <c r="H64" s="145">
        <f t="shared" si="19"/>
        <v>-1242966.1328902435</v>
      </c>
      <c r="I64" s="145">
        <f t="shared" si="19"/>
        <v>-11054425.242497936</v>
      </c>
      <c r="J64" s="145">
        <f t="shared" si="19"/>
        <v>-45953447.121545695</v>
      </c>
      <c r="K64" s="145">
        <f t="shared" ref="K64" si="20">SUM(K56:K63)</f>
        <v>-73792.950885155995</v>
      </c>
      <c r="M64" s="145">
        <f>SUM(M56:M63)</f>
        <v>-38814645.642898411</v>
      </c>
      <c r="O64" s="145">
        <f>SUM(O56:O63)</f>
        <v>-932426864.84400773</v>
      </c>
      <c r="P64" s="146">
        <v>-674652346.56627858</v>
      </c>
      <c r="Q64" s="136">
        <f t="shared" si="0"/>
        <v>-257774518.27772915</v>
      </c>
    </row>
    <row r="65" spans="1:17" ht="12.75" x14ac:dyDescent="0.2">
      <c r="A65" s="133">
        <v>56</v>
      </c>
      <c r="B65" s="133"/>
      <c r="C65" s="140"/>
      <c r="D65" s="134"/>
      <c r="E65" s="140"/>
      <c r="F65" s="140"/>
      <c r="G65" s="140"/>
      <c r="H65" s="140"/>
      <c r="I65" s="140"/>
      <c r="J65" s="140"/>
      <c r="K65" s="140"/>
      <c r="M65" s="140"/>
      <c r="O65" s="134"/>
      <c r="P65" s="147"/>
      <c r="Q65" s="136">
        <f t="shared" si="0"/>
        <v>0</v>
      </c>
    </row>
    <row r="66" spans="1:17" ht="12" thickBot="1" x14ac:dyDescent="0.25">
      <c r="A66" s="133">
        <v>57</v>
      </c>
      <c r="B66" s="133" t="s">
        <v>99</v>
      </c>
      <c r="C66" s="149">
        <f>C53+C64</f>
        <v>788256371.82205129</v>
      </c>
      <c r="D66" s="138"/>
      <c r="E66" s="149">
        <f t="shared" ref="E66:J66" si="21">E53+E64</f>
        <v>-249924.71937285986</v>
      </c>
      <c r="F66" s="149">
        <f t="shared" si="21"/>
        <v>0</v>
      </c>
      <c r="G66" s="149">
        <f t="shared" si="21"/>
        <v>-8567345.2846213318</v>
      </c>
      <c r="H66" s="149">
        <f t="shared" si="21"/>
        <v>-1242966.1328902435</v>
      </c>
      <c r="I66" s="149">
        <f t="shared" si="21"/>
        <v>-11054425.242497936</v>
      </c>
      <c r="J66" s="149">
        <f t="shared" si="21"/>
        <v>51608300.094240718</v>
      </c>
      <c r="K66" s="149">
        <f t="shared" ref="K66" si="22">K53+K64</f>
        <v>89288.116626797651</v>
      </c>
      <c r="M66" s="149">
        <f>M53+M64</f>
        <v>30582926.831485137</v>
      </c>
      <c r="O66" s="149">
        <f>O53+O64</f>
        <v>818839298.6535368</v>
      </c>
      <c r="P66" s="152">
        <v>774752556.07216418</v>
      </c>
      <c r="Q66" s="136">
        <f t="shared" si="0"/>
        <v>44086742.581372619</v>
      </c>
    </row>
    <row r="67" spans="1:17" ht="13.5" thickTop="1" x14ac:dyDescent="0.2">
      <c r="A67" s="133">
        <v>58</v>
      </c>
      <c r="B67" s="133"/>
      <c r="C67" s="140"/>
      <c r="D67" s="134"/>
      <c r="E67" s="140"/>
      <c r="F67" s="140"/>
      <c r="G67" s="140"/>
      <c r="H67" s="140"/>
      <c r="I67" s="140"/>
      <c r="J67" s="140"/>
      <c r="K67" s="140"/>
      <c r="M67" s="140"/>
      <c r="Q67" s="136"/>
    </row>
    <row r="68" spans="1:17" s="174" customFormat="1" x14ac:dyDescent="0.2">
      <c r="A68" s="168">
        <v>59</v>
      </c>
      <c r="B68" s="168" t="s">
        <v>100</v>
      </c>
      <c r="C68" s="169">
        <f>Unadj_ROE</f>
        <v>5.0682103677458901E-2</v>
      </c>
      <c r="D68" s="170"/>
      <c r="E68" s="169">
        <f>'Page 1.4'!D63</f>
        <v>4.7492938511457319E-3</v>
      </c>
      <c r="F68" s="169">
        <f>'Page 1.4'!E63</f>
        <v>2.253527749888945E-2</v>
      </c>
      <c r="G68" s="169">
        <f>'Page 1.4'!F63</f>
        <v>1.4656120969095687E-2</v>
      </c>
      <c r="H68" s="169">
        <f>'Page 1.4'!G63</f>
        <v>-1.9455475445113377E-3</v>
      </c>
      <c r="I68" s="169">
        <f>'Page 1.4'!H63</f>
        <v>6.7738391915585158E-3</v>
      </c>
      <c r="J68" s="169">
        <f>'Page 1.4'!I63</f>
        <v>-1.3270846818126958E-2</v>
      </c>
      <c r="K68" s="169">
        <f>'Page 1.4'!J63</f>
        <v>-1.6463421091127486E-3</v>
      </c>
      <c r="L68" s="171"/>
      <c r="M68" s="169"/>
      <c r="N68" s="171"/>
      <c r="O68" s="169">
        <f>C68+M68</f>
        <v>5.0682103677458901E-2</v>
      </c>
      <c r="P68" s="172">
        <v>1.8806044860868055E-2</v>
      </c>
      <c r="Q68" s="173">
        <f>O68-P68</f>
        <v>3.1876058816590849E-2</v>
      </c>
    </row>
    <row r="69" spans="1:17" x14ac:dyDescent="0.2">
      <c r="A69" s="133">
        <v>60</v>
      </c>
      <c r="B69" s="119" t="s">
        <v>142</v>
      </c>
      <c r="C69" s="71">
        <f>Summary!B68</f>
        <v>27686122.50319013</v>
      </c>
      <c r="D69" s="155"/>
      <c r="E69" s="71">
        <f>'Page 1.4'!D64</f>
        <v>-2974728.9694139692</v>
      </c>
      <c r="F69" s="71">
        <f>'Page 1.4'!E64</f>
        <v>-14077823.993100394</v>
      </c>
      <c r="G69" s="71">
        <f>'Page 1.4'!F64</f>
        <v>-9357104.3982956242</v>
      </c>
      <c r="H69" s="71">
        <f>'Page 1.4'!G64</f>
        <v>1169813.1770287761</v>
      </c>
      <c r="I69" s="71">
        <f>'Page 1.4'!H64</f>
        <v>-4560551.5907588769</v>
      </c>
      <c r="J69" s="71">
        <f>'Page 1.4'!I64</f>
        <v>10645749.668238496</v>
      </c>
      <c r="K69" s="71">
        <f>'Page 1.4'!J64</f>
        <v>1031725.1423813128</v>
      </c>
      <c r="M69" s="71">
        <f>-(M39-(M66*Overall_ROR))/gross_up_factor</f>
        <v>-18122920.963920277</v>
      </c>
      <c r="O69" s="71">
        <f>-(O39-(O66*Overall_ROR))/gross_up_factor</f>
        <v>9563201.5392700043</v>
      </c>
      <c r="P69" s="153"/>
      <c r="Q69" s="154"/>
    </row>
    <row r="70" spans="1:17" x14ac:dyDescent="0.2">
      <c r="A70" s="133">
        <v>61</v>
      </c>
      <c r="B70" s="133"/>
      <c r="C70" s="156"/>
      <c r="D70" s="134"/>
      <c r="E70" s="156"/>
      <c r="F70" s="156"/>
      <c r="G70" s="156"/>
      <c r="H70" s="156"/>
      <c r="I70" s="156"/>
      <c r="J70" s="156"/>
      <c r="K70" s="156"/>
      <c r="M70" s="156"/>
      <c r="Q70" s="136"/>
    </row>
    <row r="71" spans="1:17" ht="12.75" x14ac:dyDescent="0.2">
      <c r="A71" s="133">
        <v>62</v>
      </c>
      <c r="B71" s="133" t="s">
        <v>101</v>
      </c>
      <c r="C71" s="140"/>
      <c r="D71" s="134"/>
      <c r="E71" s="140"/>
      <c r="F71" s="140"/>
      <c r="G71" s="140"/>
      <c r="H71" s="140"/>
      <c r="I71" s="140"/>
      <c r="J71" s="140"/>
      <c r="K71" s="140"/>
      <c r="M71" s="140"/>
      <c r="P71" s="136"/>
      <c r="Q71" s="136"/>
    </row>
    <row r="72" spans="1:17" x14ac:dyDescent="0.2">
      <c r="A72" s="133">
        <v>63</v>
      </c>
      <c r="B72" s="133" t="s">
        <v>102</v>
      </c>
      <c r="C72" s="135">
        <f>Summary!B71</f>
        <v>46261016.714146547</v>
      </c>
      <c r="D72" s="135"/>
      <c r="E72" s="135">
        <f>'Page 1.4'!D67</f>
        <v>2842626.7289733505</v>
      </c>
      <c r="F72" s="135">
        <f>'Page 1.4'!E67</f>
        <v>12768041.400197558</v>
      </c>
      <c r="G72" s="135">
        <f>'Page 1.4'!F67</f>
        <v>7942010.5677727172</v>
      </c>
      <c r="H72" s="135">
        <f>'Page 1.4'!G67</f>
        <v>-1296450.5706201305</v>
      </c>
      <c r="I72" s="135">
        <f>'Page 1.4'!H67</f>
        <v>659186</v>
      </c>
      <c r="J72" s="135">
        <f>'Page 1.4'!I67</f>
        <v>-3696683.8633283973</v>
      </c>
      <c r="K72" s="135">
        <f>'Page 1.4'!J67</f>
        <v>-975006.20179027249</v>
      </c>
      <c r="M72" s="135">
        <f>SUM(E72:L72)</f>
        <v>18243724.061204825</v>
      </c>
      <c r="O72" s="135">
        <f>+O15-O28-O29-O30-O31-O36</f>
        <v>64504740.775351368</v>
      </c>
      <c r="P72" s="136">
        <v>27628480.42458465</v>
      </c>
      <c r="Q72" s="136">
        <f>O72-P72</f>
        <v>36876260.350766718</v>
      </c>
    </row>
    <row r="73" spans="1:17" x14ac:dyDescent="0.2">
      <c r="A73" s="133">
        <v>64</v>
      </c>
      <c r="B73" s="133" t="s">
        <v>103</v>
      </c>
      <c r="C73" s="135">
        <f>Summary!B72</f>
        <v>0</v>
      </c>
      <c r="D73" s="134"/>
      <c r="E73" s="135">
        <f>'Page 1.4'!D68</f>
        <v>0</v>
      </c>
      <c r="F73" s="135">
        <f>'Page 1.4'!E68</f>
        <v>0</v>
      </c>
      <c r="G73" s="135">
        <f>'Page 1.4'!F68</f>
        <v>0</v>
      </c>
      <c r="H73" s="135">
        <f>'Page 1.4'!G68</f>
        <v>0</v>
      </c>
      <c r="I73" s="135">
        <f>'Page 1.4'!H68</f>
        <v>0</v>
      </c>
      <c r="J73" s="135">
        <f>'Page 1.4'!I68</f>
        <v>0</v>
      </c>
      <c r="K73" s="135">
        <f>'Page 1.4'!J68</f>
        <v>0</v>
      </c>
      <c r="Q73" s="136">
        <f t="shared" ref="Q73:Q83" si="23">O73-P73</f>
        <v>0</v>
      </c>
    </row>
    <row r="74" spans="1:17" x14ac:dyDescent="0.2">
      <c r="A74" s="133">
        <v>65</v>
      </c>
      <c r="B74" s="133" t="s">
        <v>104</v>
      </c>
      <c r="C74" s="135">
        <f>Summary!B73</f>
        <v>-3560991.667928237</v>
      </c>
      <c r="D74" s="134"/>
      <c r="E74" s="135">
        <f>'Page 1.4'!D69</f>
        <v>0</v>
      </c>
      <c r="F74" s="135">
        <f>'Page 1.4'!E69</f>
        <v>0</v>
      </c>
      <c r="G74" s="135">
        <f>'Page 1.4'!F69</f>
        <v>0</v>
      </c>
      <c r="H74" s="135">
        <f>'Page 1.4'!G69</f>
        <v>0</v>
      </c>
      <c r="I74" s="135">
        <f>'Page 1.4'!H69</f>
        <v>0</v>
      </c>
      <c r="J74" s="135">
        <f>'Page 1.4'!I69</f>
        <v>0</v>
      </c>
      <c r="K74" s="135">
        <f>'Page 1.4'!J69</f>
        <v>0</v>
      </c>
      <c r="M74" s="135">
        <f>SUM(E74:L74)</f>
        <v>0</v>
      </c>
      <c r="O74" s="135">
        <f>+C74+M74</f>
        <v>-3560991.667928237</v>
      </c>
      <c r="P74" s="136">
        <v>-4382780.070768076</v>
      </c>
      <c r="Q74" s="136">
        <f t="shared" si="23"/>
        <v>821788.40283983899</v>
      </c>
    </row>
    <row r="75" spans="1:17" x14ac:dyDescent="0.2">
      <c r="A75" s="133">
        <v>66</v>
      </c>
      <c r="B75" s="133" t="s">
        <v>105</v>
      </c>
      <c r="C75" s="135">
        <f>Summary!B74</f>
        <v>21485186.423176125</v>
      </c>
      <c r="D75" s="134"/>
      <c r="E75" s="135">
        <f>'Page 1.4'!D70</f>
        <v>0</v>
      </c>
      <c r="F75" s="135">
        <f>'Page 1.4'!E70</f>
        <v>0</v>
      </c>
      <c r="G75" s="135">
        <f>'Page 1.4'!F70</f>
        <v>0</v>
      </c>
      <c r="H75" s="135">
        <f>'Page 1.4'!G70</f>
        <v>0</v>
      </c>
      <c r="I75" s="135">
        <f>'Page 1.4'!H70</f>
        <v>83843.165870714933</v>
      </c>
      <c r="J75" s="135">
        <f>'Page 1.4'!I70</f>
        <v>0</v>
      </c>
      <c r="K75" s="135">
        <f>'Page 1.4'!J70</f>
        <v>0</v>
      </c>
      <c r="M75" s="135">
        <f>SUM(E75:L75)</f>
        <v>83843.165870714933</v>
      </c>
      <c r="O75" s="135">
        <f>+C75+M75</f>
        <v>21569029.58904684</v>
      </c>
      <c r="P75" s="136">
        <v>21721272.563061625</v>
      </c>
      <c r="Q75" s="136">
        <f t="shared" si="23"/>
        <v>-152242.97401478514</v>
      </c>
    </row>
    <row r="76" spans="1:17" x14ac:dyDescent="0.2">
      <c r="A76" s="133">
        <v>67</v>
      </c>
      <c r="B76" s="157" t="s">
        <v>106</v>
      </c>
      <c r="C76" s="135">
        <f>Summary!B75</f>
        <v>62962240.07826855</v>
      </c>
      <c r="D76" s="138"/>
      <c r="E76" s="135">
        <f>'Page 1.4'!D71</f>
        <v>58.417828750555501</v>
      </c>
      <c r="F76" s="135">
        <f>'Page 1.4'!E71</f>
        <v>47838.41379794394</v>
      </c>
      <c r="G76" s="135">
        <f>'Page 1.4'!F71</f>
        <v>-52188</v>
      </c>
      <c r="H76" s="135">
        <f>'Page 1.4'!G71</f>
        <v>1049794.3729300371</v>
      </c>
      <c r="I76" s="135">
        <f>'Page 1.4'!H71</f>
        <v>0</v>
      </c>
      <c r="J76" s="135">
        <f>'Page 1.4'!I71</f>
        <v>-57815.867047495442</v>
      </c>
      <c r="K76" s="135">
        <f>'Page 1.4'!J71</f>
        <v>11894.848074263922</v>
      </c>
      <c r="M76" s="135">
        <f>SUM(E76:L76)</f>
        <v>999582.18558350008</v>
      </c>
      <c r="O76" s="135">
        <f>+C76+M76</f>
        <v>63961822.263852052</v>
      </c>
      <c r="P76" s="136">
        <v>63975663.74036815</v>
      </c>
      <c r="Q76" s="136">
        <f t="shared" si="23"/>
        <v>-13841.476516097784</v>
      </c>
    </row>
    <row r="77" spans="1:17" x14ac:dyDescent="0.2">
      <c r="A77" s="133">
        <v>68</v>
      </c>
      <c r="B77" s="157" t="s">
        <v>107</v>
      </c>
      <c r="C77" s="135">
        <f>Summary!B76</f>
        <v>72669281.761237845</v>
      </c>
      <c r="D77" s="138"/>
      <c r="E77" s="135">
        <f>'Page 1.4'!D72</f>
        <v>778051.99910408224</v>
      </c>
      <c r="F77" s="135">
        <f>'Page 1.4'!E72</f>
        <v>1255521.1132177606</v>
      </c>
      <c r="G77" s="135">
        <f>'Page 1.4'!F72</f>
        <v>298029.30754214432</v>
      </c>
      <c r="H77" s="135">
        <f>'Page 1.4'!G72</f>
        <v>128121.11534020312</v>
      </c>
      <c r="I77" s="135">
        <f>'Page 1.4'!H72</f>
        <v>0</v>
      </c>
      <c r="J77" s="135">
        <f>'Page 1.4'!I72</f>
        <v>3705922.6263455185</v>
      </c>
      <c r="K77" s="135">
        <f>'Page 1.4'!J72</f>
        <v>149132.06855000136</v>
      </c>
      <c r="M77" s="158">
        <f>SUM(E77:L77)</f>
        <v>6314778.2300997097</v>
      </c>
      <c r="O77" s="135">
        <f>+C77+M77</f>
        <v>78984059.991337553</v>
      </c>
      <c r="P77" s="136">
        <v>137849879.86923069</v>
      </c>
      <c r="Q77" s="136">
        <f t="shared" si="23"/>
        <v>-58865819.877893135</v>
      </c>
    </row>
    <row r="78" spans="1:17" x14ac:dyDescent="0.2">
      <c r="A78" s="133">
        <v>69</v>
      </c>
      <c r="B78" s="133" t="s">
        <v>108</v>
      </c>
      <c r="C78" s="176">
        <f>Summary!B77</f>
        <v>18629780.275929362</v>
      </c>
      <c r="D78" s="134"/>
      <c r="E78" s="176">
        <f>'Page 1.4'!D73</f>
        <v>2064633.1476980187</v>
      </c>
      <c r="F78" s="176">
        <f>'Page 1.4'!E73</f>
        <v>11560358.700777743</v>
      </c>
      <c r="G78" s="176">
        <f>'Page 1.4'!F73</f>
        <v>7591793.2602305729</v>
      </c>
      <c r="H78" s="176">
        <f>'Page 1.4'!G73</f>
        <v>-374777.31303029653</v>
      </c>
      <c r="I78" s="176">
        <f>'Page 1.4'!H73</f>
        <v>575342.83412928507</v>
      </c>
      <c r="J78" s="176">
        <f>'Page 1.4'!I73</f>
        <v>-7460422.3567214105</v>
      </c>
      <c r="K78" s="176">
        <f>'Page 1.4'!J73</f>
        <v>-1112243.42226601</v>
      </c>
      <c r="M78" s="159">
        <f>SUM(E78:L78)</f>
        <v>12844684.850817902</v>
      </c>
      <c r="O78" s="143">
        <f>+C78+M78</f>
        <v>31474465.126747265</v>
      </c>
      <c r="P78" s="144">
        <v>-63584228.196571395</v>
      </c>
      <c r="Q78" s="136">
        <f t="shared" si="23"/>
        <v>95058693.32331866</v>
      </c>
    </row>
    <row r="79" spans="1:17" x14ac:dyDescent="0.2">
      <c r="A79" s="133">
        <v>70</v>
      </c>
      <c r="B79" s="133"/>
      <c r="C79" s="160"/>
      <c r="D79" s="134"/>
      <c r="E79" s="160"/>
      <c r="F79" s="160"/>
      <c r="G79" s="160"/>
      <c r="H79" s="160"/>
      <c r="I79" s="160"/>
      <c r="J79" s="160"/>
      <c r="K79" s="160"/>
      <c r="M79" s="160"/>
      <c r="Q79" s="136">
        <f t="shared" si="23"/>
        <v>0</v>
      </c>
    </row>
    <row r="80" spans="1:17" x14ac:dyDescent="0.2">
      <c r="A80" s="133">
        <v>71</v>
      </c>
      <c r="B80" s="133" t="s">
        <v>109</v>
      </c>
      <c r="C80" s="135">
        <v>0</v>
      </c>
      <c r="D80" s="138"/>
      <c r="E80" s="135">
        <f>'Page 1.4'!D75</f>
        <v>0</v>
      </c>
      <c r="F80" s="135">
        <f>'Page 1.4'!E75</f>
        <v>0</v>
      </c>
      <c r="G80" s="135">
        <f>'Page 1.4'!F75</f>
        <v>0</v>
      </c>
      <c r="H80" s="135">
        <f>'Page 1.4'!G75</f>
        <v>0</v>
      </c>
      <c r="I80" s="135">
        <f>'Page 1.4'!H75</f>
        <v>0</v>
      </c>
      <c r="J80" s="135">
        <f>'Page 1.4'!I75</f>
        <v>0</v>
      </c>
      <c r="K80" s="135">
        <f>'Page 1.4'!J75</f>
        <v>0</v>
      </c>
      <c r="M80" s="135">
        <f>SUM(E80:L80)</f>
        <v>0</v>
      </c>
      <c r="O80" s="161">
        <f>+C80+M80</f>
        <v>0</v>
      </c>
      <c r="P80" s="162">
        <v>0</v>
      </c>
      <c r="Q80" s="136">
        <f t="shared" si="23"/>
        <v>0</v>
      </c>
    </row>
    <row r="81" spans="1:17" ht="12" thickBot="1" x14ac:dyDescent="0.25">
      <c r="A81" s="133">
        <v>72</v>
      </c>
      <c r="B81" s="133" t="s">
        <v>110</v>
      </c>
      <c r="C81" s="163">
        <f>Summary!B80</f>
        <v>18629780.275929362</v>
      </c>
      <c r="D81" s="138"/>
      <c r="E81" s="163">
        <f>'Page 1.4'!D76</f>
        <v>2064633.1476980187</v>
      </c>
      <c r="F81" s="163">
        <f>'Page 1.4'!E76</f>
        <v>11560358.700777743</v>
      </c>
      <c r="G81" s="163">
        <f>'Page 1.4'!F76</f>
        <v>7591793.2602305729</v>
      </c>
      <c r="H81" s="163">
        <f>'Page 1.4'!G76</f>
        <v>-374777.31303029653</v>
      </c>
      <c r="I81" s="163">
        <f>'Page 1.4'!H76</f>
        <v>575342.83412928507</v>
      </c>
      <c r="J81" s="163">
        <f>'Page 1.4'!I76</f>
        <v>-7460422.3567214105</v>
      </c>
      <c r="K81" s="163">
        <f>'Page 1.4'!J76</f>
        <v>-1112243.42226601</v>
      </c>
      <c r="L81" s="164"/>
      <c r="M81" s="163">
        <f>SUM(E81:L81)</f>
        <v>12844684.850817902</v>
      </c>
      <c r="O81" s="165">
        <f>+C81+M81</f>
        <v>31474465.126747265</v>
      </c>
      <c r="P81" s="166">
        <v>-63584228.196571395</v>
      </c>
      <c r="Q81" s="136">
        <f t="shared" si="23"/>
        <v>95058693.32331866</v>
      </c>
    </row>
    <row r="82" spans="1:17" ht="13.5" thickTop="1" x14ac:dyDescent="0.2">
      <c r="A82" s="133">
        <v>73</v>
      </c>
      <c r="B82" s="133"/>
      <c r="C82" s="140"/>
      <c r="D82" s="134"/>
      <c r="E82" s="140"/>
      <c r="F82" s="140"/>
      <c r="G82" s="140"/>
      <c r="H82" s="140"/>
      <c r="I82" s="140"/>
      <c r="J82" s="140"/>
      <c r="K82" s="140"/>
      <c r="M82" s="140"/>
      <c r="Q82" s="136">
        <f t="shared" si="23"/>
        <v>0</v>
      </c>
    </row>
    <row r="83" spans="1:17" ht="12" thickBot="1" x14ac:dyDescent="0.25">
      <c r="A83" s="133">
        <v>74</v>
      </c>
      <c r="B83" s="157" t="s">
        <v>226</v>
      </c>
      <c r="C83" s="163">
        <f>Summary!B84</f>
        <v>1000694.0075739436</v>
      </c>
      <c r="D83" s="138"/>
      <c r="E83" s="163">
        <f>'Page 1.4'!D80</f>
        <v>722621.60169430648</v>
      </c>
      <c r="F83" s="163">
        <f>'Page 1.4'!E80</f>
        <v>4046125.5452722097</v>
      </c>
      <c r="G83" s="163">
        <f>'Page 1.4'!F80</f>
        <v>2657127.6410807003</v>
      </c>
      <c r="H83" s="163">
        <f>'Page 1.4'!G80</f>
        <v>-131172.05956060378</v>
      </c>
      <c r="I83" s="163">
        <f>'Page 1.4'!H80</f>
        <v>-460546.83581447066</v>
      </c>
      <c r="J83" s="163">
        <f>'Page 1.4'!I80</f>
        <v>-2611147.8248524936</v>
      </c>
      <c r="K83" s="163">
        <f>'Page 1.4'!J80</f>
        <v>-394401.81487168622</v>
      </c>
      <c r="M83" s="163">
        <f>SUM(E83:L83)</f>
        <v>3828606.2529479633</v>
      </c>
      <c r="O83" s="163">
        <f>+C83+M83</f>
        <v>4829300.2605219074</v>
      </c>
      <c r="P83" s="167">
        <v>-27893216.135399766</v>
      </c>
      <c r="Q83" s="136">
        <f t="shared" si="23"/>
        <v>32722516.395921674</v>
      </c>
    </row>
    <row r="84" spans="1:17" ht="12" thickTop="1" x14ac:dyDescent="0.2"/>
    <row r="85" spans="1:17" x14ac:dyDescent="0.2">
      <c r="O85" s="135"/>
    </row>
  </sheetData>
  <mergeCells count="2">
    <mergeCell ref="A2:B2"/>
    <mergeCell ref="A3:C3"/>
  </mergeCells>
  <pageMargins left="1" right="0.77" top="0.5" bottom="0.52" header="0.39" footer="0.28000000000000003"/>
  <pageSetup scale="48" firstPageNumber="2" fitToWidth="2" orientation="portrait" useFirstPageNumber="1" r:id="rId1"/>
  <headerFooter alignWithMargins="0">
    <oddHeader>&amp;RExhibit No.__(NCS-2)
Page &amp;P</oddHeader>
  </headerFooter>
  <customProperties>
    <customPr name="_pios_id" r:id="rId2"/>
  </customProperties>
  <ignoredErrors>
    <ignoredError sqref="M28 O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81"/>
  <sheetViews>
    <sheetView zoomScaleNormal="100" workbookViewId="0">
      <pane ySplit="3" topLeftCell="A4" activePane="bottomLeft" state="frozen"/>
      <selection activeCell="F19" sqref="F19"/>
      <selection pane="bottomLeft" activeCell="G87" sqref="G87"/>
    </sheetView>
  </sheetViews>
  <sheetFormatPr defaultRowHeight="12.75" x14ac:dyDescent="0.2"/>
  <cols>
    <col min="1" max="1" width="5.140625" style="233" customWidth="1"/>
    <col min="2" max="2" width="25.140625" style="233" bestFit="1" customWidth="1"/>
    <col min="3" max="10" width="12.7109375" style="233" customWidth="1"/>
    <col min="11" max="16384" width="9.140625" style="233"/>
  </cols>
  <sheetData>
    <row r="1" spans="1:10" x14ac:dyDescent="0.2">
      <c r="B1" s="319" t="s">
        <v>203</v>
      </c>
      <c r="C1" s="319"/>
      <c r="D1" s="319"/>
      <c r="E1" s="319"/>
      <c r="F1" s="319"/>
      <c r="G1" s="319"/>
      <c r="H1" s="319"/>
      <c r="I1" s="319"/>
      <c r="J1" s="70"/>
    </row>
    <row r="3" spans="1:10" ht="51" x14ac:dyDescent="0.2">
      <c r="C3" s="234" t="s">
        <v>172</v>
      </c>
      <c r="D3" s="234" t="s">
        <v>181</v>
      </c>
      <c r="E3" s="234" t="s">
        <v>182</v>
      </c>
      <c r="F3" s="234" t="s">
        <v>183</v>
      </c>
      <c r="G3" s="234" t="s">
        <v>184</v>
      </c>
      <c r="H3" s="234" t="s">
        <v>185</v>
      </c>
      <c r="I3" s="234" t="s">
        <v>291</v>
      </c>
      <c r="J3" s="234" t="s">
        <v>287</v>
      </c>
    </row>
    <row r="5" spans="1:10" x14ac:dyDescent="0.2">
      <c r="A5" s="235">
        <v>1</v>
      </c>
      <c r="B5" s="235" t="s">
        <v>49</v>
      </c>
    </row>
    <row r="6" spans="1:10" x14ac:dyDescent="0.2">
      <c r="A6" s="235">
        <v>2</v>
      </c>
      <c r="B6" s="235" t="s">
        <v>50</v>
      </c>
      <c r="C6" s="236">
        <f>SUM(D6:J6)</f>
        <v>3905479.1195230857</v>
      </c>
      <c r="D6" s="236">
        <f>'Page 1.5'!D6+'Page 1.6'!D6</f>
        <v>3905479.1195230857</v>
      </c>
      <c r="E6" s="236">
        <f>'Page 1.5'!E6+'Page 1.6'!E6</f>
        <v>0</v>
      </c>
      <c r="F6" s="236">
        <f>'Page 1.5'!F6+'Page 1.6'!F6</f>
        <v>0</v>
      </c>
      <c r="G6" s="236">
        <f>'Page 1.5'!G6+'Page 1.6'!G6</f>
        <v>0</v>
      </c>
      <c r="H6" s="236">
        <f>'Page 1.5'!H6+'Page 1.6'!H6</f>
        <v>0</v>
      </c>
      <c r="I6" s="236">
        <f>'Page 1.5'!I6+'Page 1.6'!I6</f>
        <v>0</v>
      </c>
      <c r="J6" s="236">
        <f>'Page 1.5'!J6+'Page 1.6'!J6</f>
        <v>0</v>
      </c>
    </row>
    <row r="7" spans="1:10" x14ac:dyDescent="0.2">
      <c r="A7" s="235">
        <v>3</v>
      </c>
      <c r="B7" s="235" t="s">
        <v>51</v>
      </c>
      <c r="C7" s="236">
        <f>SUM(D7:J7)</f>
        <v>0</v>
      </c>
      <c r="D7" s="236">
        <f>'Page 1.5'!D7+'Page 1.6'!D7</f>
        <v>0</v>
      </c>
      <c r="E7" s="236">
        <f>'Page 1.5'!E7+'Page 1.6'!E7</f>
        <v>0</v>
      </c>
      <c r="F7" s="236">
        <f>'Page 1.5'!F7+'Page 1.6'!F7</f>
        <v>0</v>
      </c>
      <c r="G7" s="236">
        <f>'Page 1.5'!G7+'Page 1.6'!G7</f>
        <v>0</v>
      </c>
      <c r="H7" s="236">
        <f>'Page 1.5'!H7+'Page 1.6'!H7</f>
        <v>0</v>
      </c>
      <c r="I7" s="236">
        <f>'Page 1.5'!I7+'Page 1.6'!I7</f>
        <v>0</v>
      </c>
      <c r="J7" s="236">
        <f>'Page 1.5'!J7+'Page 1.6'!J7</f>
        <v>0</v>
      </c>
    </row>
    <row r="8" spans="1:10" x14ac:dyDescent="0.2">
      <c r="A8" s="235">
        <v>4</v>
      </c>
      <c r="B8" s="235" t="s">
        <v>52</v>
      </c>
      <c r="C8" s="236">
        <f>SUM(D8:J8)</f>
        <v>3419195.486808002</v>
      </c>
      <c r="D8" s="236">
        <f>'Page 1.5'!D8+'Page 1.6'!D8</f>
        <v>0</v>
      </c>
      <c r="E8" s="236">
        <f>'Page 1.5'!E8+'Page 1.6'!E8</f>
        <v>0</v>
      </c>
      <c r="F8" s="236">
        <f>'Page 1.5'!F8+'Page 1.6'!F8</f>
        <v>3251151.8642404899</v>
      </c>
      <c r="G8" s="236">
        <f>'Page 1.5'!G8+'Page 1.6'!G8</f>
        <v>0</v>
      </c>
      <c r="H8" s="236">
        <f>'Page 1.5'!H8+'Page 1.6'!H8</f>
        <v>0</v>
      </c>
      <c r="I8" s="236">
        <f>'Page 1.5'!I8+'Page 1.6'!I8</f>
        <v>0</v>
      </c>
      <c r="J8" s="236">
        <f>'Page 1.5'!J8+'Page 1.6'!J8</f>
        <v>168043.62256751209</v>
      </c>
    </row>
    <row r="9" spans="1:10" x14ac:dyDescent="0.2">
      <c r="A9" s="235">
        <v>5</v>
      </c>
      <c r="B9" s="235" t="s">
        <v>53</v>
      </c>
      <c r="C9" s="236">
        <f>SUM(D9:J9)</f>
        <v>-4423671.982705716</v>
      </c>
      <c r="D9" s="236">
        <f>'Page 1.5'!D9+'Page 1.6'!D9</f>
        <v>-1951030.9157781401</v>
      </c>
      <c r="E9" s="236">
        <f>'Page 1.5'!E9+'Page 1.6'!E9</f>
        <v>-158114.54708066303</v>
      </c>
      <c r="F9" s="236">
        <f>'Page 1.5'!F9+'Page 1.6'!F9</f>
        <v>679898.4167838149</v>
      </c>
      <c r="G9" s="236">
        <f>'Page 1.5'!G9+'Page 1.6'!G9</f>
        <v>0</v>
      </c>
      <c r="H9" s="236">
        <f>'Page 1.5'!H9+'Page 1.6'!H9</f>
        <v>0</v>
      </c>
      <c r="I9" s="236">
        <f>'Page 1.5'!I9+'Page 1.6'!I9</f>
        <v>-3000000</v>
      </c>
      <c r="J9" s="236">
        <f>'Page 1.5'!J9+'Page 1.6'!J9</f>
        <v>5575.0633692726551</v>
      </c>
    </row>
    <row r="10" spans="1:10" x14ac:dyDescent="0.2">
      <c r="A10" s="235">
        <v>6</v>
      </c>
      <c r="B10" s="235" t="s">
        <v>54</v>
      </c>
      <c r="C10" s="237">
        <f>SUM(C6:C9)</f>
        <v>2901002.6236253716</v>
      </c>
      <c r="D10" s="237">
        <f t="shared" ref="D10:I10" si="0">SUM(D6:D9)</f>
        <v>1954448.2037449456</v>
      </c>
      <c r="E10" s="237">
        <f t="shared" si="0"/>
        <v>-158114.54708066303</v>
      </c>
      <c r="F10" s="237">
        <f t="shared" si="0"/>
        <v>3931050.2810243047</v>
      </c>
      <c r="G10" s="237">
        <f t="shared" si="0"/>
        <v>0</v>
      </c>
      <c r="H10" s="237">
        <f t="shared" si="0"/>
        <v>0</v>
      </c>
      <c r="I10" s="237">
        <f t="shared" si="0"/>
        <v>-3000000</v>
      </c>
      <c r="J10" s="237">
        <f t="shared" ref="J10" si="1">SUM(J6:J9)</f>
        <v>173618.68593678475</v>
      </c>
    </row>
    <row r="11" spans="1:10" x14ac:dyDescent="0.2">
      <c r="A11" s="235">
        <v>7</v>
      </c>
      <c r="B11" s="235"/>
    </row>
    <row r="12" spans="1:10" x14ac:dyDescent="0.2">
      <c r="A12" s="235">
        <v>8</v>
      </c>
      <c r="B12" s="235" t="s">
        <v>55</v>
      </c>
    </row>
    <row r="13" spans="1:10" x14ac:dyDescent="0.2">
      <c r="A13" s="235">
        <v>9</v>
      </c>
      <c r="B13" s="235" t="s">
        <v>56</v>
      </c>
      <c r="C13" s="236">
        <f t="shared" ref="C13:C22" si="2">SUM(D13:J13)</f>
        <v>12888032.707594324</v>
      </c>
      <c r="D13" s="236">
        <f>'Page 1.5'!D13+'Page 1.6'!D13</f>
        <v>0</v>
      </c>
      <c r="E13" s="236">
        <f>'Page 1.5'!E13+'Page 1.6'!E13</f>
        <v>-128892.7783861834</v>
      </c>
      <c r="F13" s="236">
        <f>'Page 1.5'!F13+'Page 1.6'!F13</f>
        <v>12625462.799982119</v>
      </c>
      <c r="G13" s="236">
        <f>'Page 1.5'!G13+'Page 1.6'!G13</f>
        <v>-50321.66386051404</v>
      </c>
      <c r="H13" s="236">
        <f>'Page 1.5'!H13+'Page 1.6'!H13</f>
        <v>0</v>
      </c>
      <c r="I13" s="236">
        <f>'Page 1.5'!I13+'Page 1.6'!I13</f>
        <v>0</v>
      </c>
      <c r="J13" s="236">
        <f>'Page 1.5'!J13+'Page 1.6'!J13</f>
        <v>441784.34985890239</v>
      </c>
    </row>
    <row r="14" spans="1:10" x14ac:dyDescent="0.2">
      <c r="A14" s="235">
        <v>10</v>
      </c>
      <c r="B14" s="235" t="s">
        <v>57</v>
      </c>
      <c r="C14" s="236">
        <f t="shared" si="2"/>
        <v>0</v>
      </c>
      <c r="D14" s="236">
        <f>'Page 1.5'!D14+'Page 1.6'!D14</f>
        <v>0</v>
      </c>
      <c r="E14" s="236">
        <f>'Page 1.5'!E14+'Page 1.6'!E14</f>
        <v>0</v>
      </c>
      <c r="F14" s="236">
        <f>'Page 1.5'!F14+'Page 1.6'!F14</f>
        <v>0</v>
      </c>
      <c r="G14" s="236">
        <f>'Page 1.5'!G14+'Page 1.6'!G14</f>
        <v>0</v>
      </c>
      <c r="H14" s="236">
        <f>'Page 1.5'!H14+'Page 1.6'!H14</f>
        <v>0</v>
      </c>
      <c r="I14" s="236">
        <f>'Page 1.5'!I14+'Page 1.6'!I14</f>
        <v>0</v>
      </c>
      <c r="J14" s="236">
        <f>'Page 1.5'!J14+'Page 1.6'!J14</f>
        <v>0</v>
      </c>
    </row>
    <row r="15" spans="1:10" x14ac:dyDescent="0.2">
      <c r="A15" s="235">
        <v>11</v>
      </c>
      <c r="B15" s="235" t="s">
        <v>58</v>
      </c>
      <c r="C15" s="236">
        <f t="shared" si="2"/>
        <v>-86498.853211820824</v>
      </c>
      <c r="D15" s="236">
        <f>'Page 1.5'!D15+'Page 1.6'!D15</f>
        <v>0</v>
      </c>
      <c r="E15" s="236">
        <f>'Page 1.5'!E15+'Page 1.6'!E15</f>
        <v>-62681.640122702047</v>
      </c>
      <c r="F15" s="236">
        <f>'Page 1.5'!F15+'Page 1.6'!F15</f>
        <v>0</v>
      </c>
      <c r="G15" s="236">
        <f>'Page 1.5'!G15+'Page 1.6'!G15</f>
        <v>-16832.982510151043</v>
      </c>
      <c r="H15" s="236">
        <f>'Page 1.5'!H15+'Page 1.6'!H15</f>
        <v>0</v>
      </c>
      <c r="I15" s="236">
        <f>'Page 1.5'!I15+'Page 1.6'!I15</f>
        <v>-6984.2305789677403</v>
      </c>
      <c r="J15" s="236">
        <f>'Page 1.5'!J15+'Page 1.6'!J15</f>
        <v>0</v>
      </c>
    </row>
    <row r="16" spans="1:10" x14ac:dyDescent="0.2">
      <c r="A16" s="235">
        <v>12</v>
      </c>
      <c r="B16" s="235" t="s">
        <v>59</v>
      </c>
      <c r="C16" s="236">
        <f t="shared" si="2"/>
        <v>-19361727.985220153</v>
      </c>
      <c r="D16" s="236">
        <f>'Page 1.5'!D16+'Page 1.6'!D16</f>
        <v>0</v>
      </c>
      <c r="E16" s="236">
        <f>'Page 1.5'!E16+'Page 1.6'!E16</f>
        <v>-181667.71187549294</v>
      </c>
      <c r="F16" s="236">
        <f>'Page 1.5'!F16+'Page 1.6'!F16</f>
        <v>-19679861.922916919</v>
      </c>
      <c r="G16" s="236">
        <f>'Page 1.5'!G16+'Page 1.6'!G16</f>
        <v>-9066.7565976280148</v>
      </c>
      <c r="H16" s="236">
        <f>'Page 1.5'!H16+'Page 1.6'!H16</f>
        <v>0</v>
      </c>
      <c r="I16" s="236">
        <f>'Page 1.5'!I16+'Page 1.6'!I16</f>
        <v>0</v>
      </c>
      <c r="J16" s="236">
        <f>'Page 1.5'!J16+'Page 1.6'!J16</f>
        <v>508868.4061698888</v>
      </c>
    </row>
    <row r="17" spans="1:10" x14ac:dyDescent="0.2">
      <c r="A17" s="235">
        <v>13</v>
      </c>
      <c r="B17" s="235" t="s">
        <v>60</v>
      </c>
      <c r="C17" s="236">
        <f t="shared" si="2"/>
        <v>3664394.2424569954</v>
      </c>
      <c r="D17" s="236">
        <f>'Page 1.5'!D17+'Page 1.6'!D17</f>
        <v>-112129.56683175203</v>
      </c>
      <c r="E17" s="236">
        <f>'Page 1.5'!E17+'Page 1.6'!E17</f>
        <v>74282.338510693226</v>
      </c>
      <c r="F17" s="236">
        <f>'Page 1.5'!F17+'Page 1.6'!F17</f>
        <v>3512558.1699891733</v>
      </c>
      <c r="G17" s="236">
        <f>'Page 1.5'!G17+'Page 1.6'!G17</f>
        <v>-4683.855394548289</v>
      </c>
      <c r="H17" s="236">
        <f>'Page 1.5'!H17+'Page 1.6'!H17</f>
        <v>0</v>
      </c>
      <c r="I17" s="236">
        <f>'Page 1.5'!I17+'Page 1.6'!I17</f>
        <v>0</v>
      </c>
      <c r="J17" s="236">
        <f>'Page 1.5'!J17+'Page 1.6'!J17</f>
        <v>194367.15618342906</v>
      </c>
    </row>
    <row r="18" spans="1:10" x14ac:dyDescent="0.2">
      <c r="A18" s="235">
        <v>14</v>
      </c>
      <c r="B18" s="235" t="s">
        <v>61</v>
      </c>
      <c r="C18" s="236">
        <f t="shared" si="2"/>
        <v>-516399.50915407453</v>
      </c>
      <c r="D18" s="236">
        <f>'Page 1.5'!D18+'Page 1.6'!D18</f>
        <v>0</v>
      </c>
      <c r="E18" s="236">
        <f>'Page 1.5'!E18+'Page 1.6'!E18</f>
        <v>-497765.48932517722</v>
      </c>
      <c r="F18" s="236">
        <f>'Page 1.5'!F18+'Page 1.6'!F18</f>
        <v>0</v>
      </c>
      <c r="G18" s="236">
        <f>'Page 1.5'!G18+'Page 1.6'!G18</f>
        <v>-18634.019828897322</v>
      </c>
      <c r="H18" s="236">
        <f>'Page 1.5'!H18+'Page 1.6'!H18</f>
        <v>0</v>
      </c>
      <c r="I18" s="236">
        <f>'Page 1.5'!I18+'Page 1.6'!I18</f>
        <v>0</v>
      </c>
      <c r="J18" s="236">
        <f>'Page 1.5'!J18+'Page 1.6'!J18</f>
        <v>0</v>
      </c>
    </row>
    <row r="19" spans="1:10" x14ac:dyDescent="0.2">
      <c r="A19" s="235">
        <v>15</v>
      </c>
      <c r="B19" s="235" t="s">
        <v>62</v>
      </c>
      <c r="C19" s="236">
        <f t="shared" si="2"/>
        <v>323981.11512007628</v>
      </c>
      <c r="D19" s="236">
        <f>'Page 1.5'!D19+'Page 1.6'!D19</f>
        <v>0</v>
      </c>
      <c r="E19" s="236">
        <f>'Page 1.5'!E19+'Page 1.6'!E19</f>
        <v>334085.50444418751</v>
      </c>
      <c r="F19" s="236">
        <f>'Page 1.5'!F19+'Page 1.6'!F19</f>
        <v>0</v>
      </c>
      <c r="G19" s="236">
        <f>'Page 1.5'!G19+'Page 1.6'!G19</f>
        <v>-10104.389324111222</v>
      </c>
      <c r="H19" s="236">
        <f>'Page 1.5'!H19+'Page 1.6'!H19</f>
        <v>0</v>
      </c>
      <c r="I19" s="236">
        <f>'Page 1.5'!I19+'Page 1.6'!I19</f>
        <v>0</v>
      </c>
      <c r="J19" s="236">
        <f>'Page 1.5'!J19+'Page 1.6'!J19</f>
        <v>0</v>
      </c>
    </row>
    <row r="20" spans="1:10" x14ac:dyDescent="0.2">
      <c r="A20" s="235">
        <v>16</v>
      </c>
      <c r="B20" s="235" t="s">
        <v>63</v>
      </c>
      <c r="C20" s="236">
        <f t="shared" si="2"/>
        <v>-10695524.243914707</v>
      </c>
      <c r="D20" s="236">
        <f>'Page 1.5'!D20+'Page 1.6'!D20</f>
        <v>0</v>
      </c>
      <c r="E20" s="236">
        <f>'Page 1.5'!E20+'Page 1.6'!E20</f>
        <v>-10693976.280646814</v>
      </c>
      <c r="F20" s="236">
        <f>'Page 1.5'!F20+'Page 1.6'!F20</f>
        <v>0</v>
      </c>
      <c r="G20" s="236">
        <f>'Page 1.5'!G20+'Page 1.6'!G20</f>
        <v>-1547.9632678918319</v>
      </c>
      <c r="H20" s="236">
        <f>'Page 1.5'!H20+'Page 1.6'!H20</f>
        <v>0</v>
      </c>
      <c r="I20" s="236">
        <f>'Page 1.5'!I20+'Page 1.6'!I20</f>
        <v>0</v>
      </c>
      <c r="J20" s="236">
        <f>'Page 1.5'!J20+'Page 1.6'!J20</f>
        <v>0</v>
      </c>
    </row>
    <row r="21" spans="1:10" x14ac:dyDescent="0.2">
      <c r="A21" s="235">
        <v>17</v>
      </c>
      <c r="B21" s="235" t="s">
        <v>64</v>
      </c>
      <c r="C21" s="236">
        <f t="shared" si="2"/>
        <v>0</v>
      </c>
      <c r="D21" s="236">
        <f>'Page 1.5'!D21+'Page 1.6'!D21</f>
        <v>0</v>
      </c>
      <c r="E21" s="236">
        <f>'Page 1.5'!E21+'Page 1.6'!E21</f>
        <v>0</v>
      </c>
      <c r="F21" s="236">
        <f>'Page 1.5'!F21+'Page 1.6'!F21</f>
        <v>0</v>
      </c>
      <c r="G21" s="236">
        <f>'Page 1.5'!G21+'Page 1.6'!G21</f>
        <v>0</v>
      </c>
      <c r="H21" s="236">
        <f>'Page 1.5'!H21+'Page 1.6'!H21</f>
        <v>0</v>
      </c>
      <c r="I21" s="236">
        <f>'Page 1.5'!I21+'Page 1.6'!I21</f>
        <v>0</v>
      </c>
      <c r="J21" s="236">
        <f>'Page 1.5'!J21+'Page 1.6'!J21</f>
        <v>0</v>
      </c>
    </row>
    <row r="22" spans="1:10" x14ac:dyDescent="0.2">
      <c r="A22" s="235">
        <v>18</v>
      </c>
      <c r="B22" s="235" t="s">
        <v>65</v>
      </c>
      <c r="C22" s="238">
        <f t="shared" si="2"/>
        <v>-1614080.7278124308</v>
      </c>
      <c r="D22" s="238">
        <f>'Page 1.5'!D22+'Page 1.6'!D22</f>
        <v>0</v>
      </c>
      <c r="E22" s="238">
        <f>'Page 1.5'!E22+'Page 1.6'!E22</f>
        <v>-1761880.3280813401</v>
      </c>
      <c r="F22" s="238">
        <f>'Page 1.5'!F22+'Page 1.6'!F22</f>
        <v>0</v>
      </c>
      <c r="G22" s="238">
        <f>'Page 1.5'!G22+'Page 1.6'!G22</f>
        <v>-20966.275033748134</v>
      </c>
      <c r="H22" s="238">
        <f>'Page 1.5'!H22+'Page 1.6'!H22</f>
        <v>0</v>
      </c>
      <c r="I22" s="238">
        <f>'Page 1.5'!I22+'Page 1.6'!I22</f>
        <v>168765.87530265757</v>
      </c>
      <c r="J22" s="238">
        <f>'Page 1.5'!J22+'Page 1.6'!J22</f>
        <v>0</v>
      </c>
    </row>
    <row r="23" spans="1:10" x14ac:dyDescent="0.2">
      <c r="A23" s="235">
        <v>19</v>
      </c>
      <c r="B23" s="235" t="s">
        <v>66</v>
      </c>
      <c r="C23" s="239">
        <f>SUM(C13:C22)</f>
        <v>-15397823.254141789</v>
      </c>
      <c r="D23" s="239">
        <f t="shared" ref="D23:I23" si="3">SUM(D13:D22)</f>
        <v>-112129.56683175203</v>
      </c>
      <c r="E23" s="239">
        <f t="shared" si="3"/>
        <v>-12918496.385482829</v>
      </c>
      <c r="F23" s="239">
        <f t="shared" si="3"/>
        <v>-3541840.9529456263</v>
      </c>
      <c r="G23" s="239">
        <f t="shared" si="3"/>
        <v>-132157.9058174899</v>
      </c>
      <c r="H23" s="239">
        <f t="shared" si="3"/>
        <v>0</v>
      </c>
      <c r="I23" s="239">
        <f t="shared" si="3"/>
        <v>161781.64472368982</v>
      </c>
      <c r="J23" s="239">
        <f t="shared" ref="J23" si="4">SUM(J13:J22)</f>
        <v>1145019.9122122203</v>
      </c>
    </row>
    <row r="24" spans="1:10" x14ac:dyDescent="0.2">
      <c r="A24" s="235">
        <v>20</v>
      </c>
      <c r="B24" s="235" t="s">
        <v>67</v>
      </c>
      <c r="C24" s="236">
        <f>SUM(D24:J24)</f>
        <v>1452538.5267344275</v>
      </c>
      <c r="D24" s="236">
        <f>'Page 1.5'!D24+'Page 1.6'!D24</f>
        <v>0</v>
      </c>
      <c r="E24" s="236">
        <f>'Page 1.5'!E24+'Page 1.6'!E24</f>
        <v>0</v>
      </c>
      <c r="F24" s="236">
        <f>'Page 1.5'!F24+'Page 1.6'!F24</f>
        <v>-428046.01728697837</v>
      </c>
      <c r="G24" s="236">
        <f>'Page 1.5'!G24+'Page 1.6'!G24</f>
        <v>1428608.4764376204</v>
      </c>
      <c r="H24" s="236">
        <f>'Page 1.5'!H24+'Page 1.6'!H24</f>
        <v>0</v>
      </c>
      <c r="I24" s="236">
        <f>'Page 1.5'!I24+'Page 1.6'!I24</f>
        <v>448371.09206894884</v>
      </c>
      <c r="J24" s="236">
        <f>'Page 1.5'!J24+'Page 1.6'!J24</f>
        <v>3604.9755148369586</v>
      </c>
    </row>
    <row r="25" spans="1:10" x14ac:dyDescent="0.2">
      <c r="A25" s="235">
        <v>21</v>
      </c>
      <c r="B25" s="235" t="s">
        <v>68</v>
      </c>
      <c r="C25" s="236">
        <f>SUM(D25:J25)</f>
        <v>82361.759263031505</v>
      </c>
      <c r="D25" s="236">
        <f>'Page 1.5'!D25+'Page 1.6'!D25</f>
        <v>0</v>
      </c>
      <c r="E25" s="236">
        <f>'Page 1.5'!E25+'Page 1.6'!E25</f>
        <v>0</v>
      </c>
      <c r="F25" s="236">
        <f>'Page 1.5'!F25+'Page 1.6'!F25</f>
        <v>0</v>
      </c>
      <c r="G25" s="236">
        <f>'Page 1.5'!G25+'Page 1.6'!G25</f>
        <v>0</v>
      </c>
      <c r="H25" s="236">
        <f>'Page 1.5'!H25+'Page 1.6'!H25</f>
        <v>0</v>
      </c>
      <c r="I25" s="236">
        <f>'Page 1.5'!I25+'Page 1.6'!I25</f>
        <v>82361.759263031505</v>
      </c>
      <c r="J25" s="236">
        <f>'Page 1.5'!J25+'Page 1.6'!J25</f>
        <v>0</v>
      </c>
    </row>
    <row r="26" spans="1:10" x14ac:dyDescent="0.2">
      <c r="A26" s="235">
        <v>22</v>
      </c>
      <c r="B26" s="235" t="s">
        <v>69</v>
      </c>
      <c r="C26" s="236">
        <f>SUM(D26:J26)</f>
        <v>-700259.31651580799</v>
      </c>
      <c r="D26" s="236">
        <f>'Page 1.5'!D26+'Page 1.6'!D26</f>
        <v>0</v>
      </c>
      <c r="E26" s="236">
        <f>'Page 1.5'!E26+'Page 1.6'!E26</f>
        <v>0</v>
      </c>
      <c r="F26" s="236">
        <f>'Page 1.5'!F26+'Page 1.6'!F26</f>
        <v>-41073.316515808037</v>
      </c>
      <c r="G26" s="236">
        <f>'Page 1.5'!G26+'Page 1.6'!G26</f>
        <v>0</v>
      </c>
      <c r="H26" s="236">
        <f>'Page 1.5'!H26+'Page 1.6'!H26</f>
        <v>-659186</v>
      </c>
      <c r="I26" s="236">
        <f>'Page 1.5'!I26+'Page 1.6'!I26</f>
        <v>0</v>
      </c>
      <c r="J26" s="236">
        <f>'Page 1.5'!J26+'Page 1.6'!J26</f>
        <v>0</v>
      </c>
    </row>
    <row r="27" spans="1:10" x14ac:dyDescent="0.2">
      <c r="A27" s="235">
        <v>23</v>
      </c>
      <c r="B27" s="235" t="s">
        <v>173</v>
      </c>
      <c r="C27" s="236">
        <f>C80</f>
        <v>3828606.2529479633</v>
      </c>
      <c r="D27" s="236">
        <f>D80</f>
        <v>722621.60169430648</v>
      </c>
      <c r="E27" s="236">
        <f t="shared" ref="E27:I27" si="5">E80</f>
        <v>4046125.5452722097</v>
      </c>
      <c r="F27" s="236">
        <f t="shared" si="5"/>
        <v>2657127.6410807003</v>
      </c>
      <c r="G27" s="236">
        <f t="shared" si="5"/>
        <v>-131172.05956060378</v>
      </c>
      <c r="H27" s="236">
        <f t="shared" si="5"/>
        <v>-460546.83581447066</v>
      </c>
      <c r="I27" s="236">
        <f t="shared" si="5"/>
        <v>-2611147.8248524936</v>
      </c>
      <c r="J27" s="236">
        <f t="shared" ref="J27" si="6">J80</f>
        <v>-394401.81487168622</v>
      </c>
    </row>
    <row r="28" spans="1:10" x14ac:dyDescent="0.2">
      <c r="A28" s="235">
        <v>24</v>
      </c>
      <c r="B28" s="235" t="s">
        <v>174</v>
      </c>
      <c r="C28" s="236">
        <f>SUM(D28:J28)</f>
        <v>0</v>
      </c>
      <c r="D28" s="236">
        <v>0</v>
      </c>
      <c r="E28" s="236">
        <f t="shared" ref="E28" si="7">C227</f>
        <v>0</v>
      </c>
      <c r="F28" s="236">
        <f t="shared" ref="F28" si="8">C341</f>
        <v>0</v>
      </c>
      <c r="G28" s="236">
        <f t="shared" ref="G28" si="9">C455</f>
        <v>0</v>
      </c>
      <c r="H28" s="236">
        <f t="shared" ref="H28" si="10">C570</f>
        <v>0</v>
      </c>
      <c r="I28" s="236">
        <f t="shared" ref="I28:J28" si="11">C685</f>
        <v>0</v>
      </c>
      <c r="J28" s="236">
        <f t="shared" si="11"/>
        <v>0</v>
      </c>
    </row>
    <row r="29" spans="1:10" x14ac:dyDescent="0.2">
      <c r="A29" s="235">
        <v>25</v>
      </c>
      <c r="B29" s="235" t="s">
        <v>175</v>
      </c>
      <c r="C29" s="236">
        <f>SUM(D29:J29)</f>
        <v>954508.46636163944</v>
      </c>
      <c r="D29" s="236">
        <f>'Page 1.5'!D29+'Page 1.6'!D29</f>
        <v>295256.29879283818</v>
      </c>
      <c r="E29" s="236">
        <f>'Page 1.5'!E29+'Page 1.6'!E29</f>
        <v>0</v>
      </c>
      <c r="F29" s="236">
        <f>'Page 1.5'!F29+'Page 1.6'!F29</f>
        <v>113105.10250531929</v>
      </c>
      <c r="G29" s="236">
        <f>'Page 1.5'!G29+'Page 1.6'!G29</f>
        <v>-349784.22953036072</v>
      </c>
      <c r="H29" s="236">
        <f>'Page 1.5'!H29+'Page 1.6'!H29</f>
        <v>-898783.85953784268</v>
      </c>
      <c r="I29" s="236">
        <f>'Page 1.5'!I29+'Page 1.6'!I29</f>
        <v>1742632.2616016853</v>
      </c>
      <c r="J29" s="236">
        <f>'Page 1.5'!J29+'Page 1.6'!J29</f>
        <v>52082.892530000099</v>
      </c>
    </row>
    <row r="30" spans="1:10" x14ac:dyDescent="0.2">
      <c r="A30" s="235">
        <v>26</v>
      </c>
      <c r="B30" s="235" t="s">
        <v>73</v>
      </c>
      <c r="C30" s="236">
        <f>SUM(D30:J30)</f>
        <v>0</v>
      </c>
      <c r="D30" s="236">
        <f>'Page 1.5'!D30+'Page 1.6'!D30</f>
        <v>0</v>
      </c>
      <c r="E30" s="236">
        <f>'Page 1.5'!E30+'Page 1.6'!E30</f>
        <v>0</v>
      </c>
      <c r="F30" s="236">
        <f>'Page 1.5'!F30+'Page 1.6'!F30</f>
        <v>0</v>
      </c>
      <c r="G30" s="236">
        <f>'Page 1.5'!G30+'Page 1.6'!G30</f>
        <v>0</v>
      </c>
      <c r="H30" s="236">
        <f>'Page 1.5'!H30+'Page 1.6'!H30</f>
        <v>0</v>
      </c>
      <c r="I30" s="236">
        <f>'Page 1.5'!I30+'Page 1.6'!I30</f>
        <v>0</v>
      </c>
      <c r="J30" s="236">
        <f>'Page 1.5'!J30+'Page 1.6'!J30</f>
        <v>0</v>
      </c>
    </row>
    <row r="31" spans="1:10" x14ac:dyDescent="0.2">
      <c r="A31" s="235">
        <v>27</v>
      </c>
      <c r="B31" s="235" t="s">
        <v>74</v>
      </c>
      <c r="C31" s="236">
        <f>SUM(D31:J31)</f>
        <v>-779539.15291931701</v>
      </c>
      <c r="D31" s="236">
        <f>'Page 1.5'!D31+'Page 1.6'!D31</f>
        <v>-776048.95839665306</v>
      </c>
      <c r="E31" s="236">
        <f>'Page 1.5'!E31+'Page 1.6'!E31</f>
        <v>-7659.5617953912351</v>
      </c>
      <c r="F31" s="236">
        <f>'Page 1.5'!F31+'Page 1.6'!F31</f>
        <v>0</v>
      </c>
      <c r="G31" s="236">
        <f>'Page 1.5'!G31+'Page 1.6'!G31</f>
        <v>0</v>
      </c>
      <c r="H31" s="236">
        <f>'Page 1.5'!H31+'Page 1.6'!H31</f>
        <v>0</v>
      </c>
      <c r="I31" s="236">
        <f>'Page 1.5'!I31+'Page 1.6'!I31</f>
        <v>4169.3672727272733</v>
      </c>
      <c r="J31" s="236">
        <f>'Page 1.5'!J31+'Page 1.6'!J31</f>
        <v>0</v>
      </c>
    </row>
    <row r="32" spans="1:10" x14ac:dyDescent="0.2">
      <c r="A32" s="235">
        <v>28</v>
      </c>
      <c r="B32" s="240" t="s">
        <v>75</v>
      </c>
      <c r="C32" s="241">
        <f>SUM(C23:C31)</f>
        <v>-10559606.718269851</v>
      </c>
      <c r="D32" s="241">
        <f t="shared" ref="D32:I32" si="12">SUM(D23:D31)</f>
        <v>129699.37525873946</v>
      </c>
      <c r="E32" s="241">
        <f t="shared" si="12"/>
        <v>-8880030.4020060115</v>
      </c>
      <c r="F32" s="241">
        <f t="shared" si="12"/>
        <v>-1240727.5431623929</v>
      </c>
      <c r="G32" s="241">
        <f t="shared" si="12"/>
        <v>815494.28152916604</v>
      </c>
      <c r="H32" s="241">
        <f t="shared" si="12"/>
        <v>-2018516.6953523133</v>
      </c>
      <c r="I32" s="241">
        <f t="shared" si="12"/>
        <v>-171831.69992241092</v>
      </c>
      <c r="J32" s="241">
        <f t="shared" ref="J32" si="13">SUM(J23:J31)</f>
        <v>806305.96538537089</v>
      </c>
    </row>
    <row r="33" spans="1:10" x14ac:dyDescent="0.2">
      <c r="A33" s="235">
        <v>29</v>
      </c>
      <c r="B33" s="235"/>
    </row>
    <row r="34" spans="1:10" ht="13.5" thickBot="1" x14ac:dyDescent="0.25">
      <c r="A34" s="235">
        <v>30</v>
      </c>
      <c r="B34" s="235" t="s">
        <v>76</v>
      </c>
      <c r="C34" s="242">
        <f>C10-C32</f>
        <v>13460609.341895223</v>
      </c>
      <c r="D34" s="242">
        <f t="shared" ref="D34:I34" si="14">D10-D32</f>
        <v>1824748.828486206</v>
      </c>
      <c r="E34" s="242">
        <f t="shared" si="14"/>
        <v>8721915.8549253494</v>
      </c>
      <c r="F34" s="242">
        <f t="shared" si="14"/>
        <v>5171777.8241866976</v>
      </c>
      <c r="G34" s="242">
        <f t="shared" si="14"/>
        <v>-815494.28152916604</v>
      </c>
      <c r="H34" s="242">
        <f t="shared" si="14"/>
        <v>2018516.6953523133</v>
      </c>
      <c r="I34" s="242">
        <f t="shared" si="14"/>
        <v>-2828168.3000775892</v>
      </c>
      <c r="J34" s="242">
        <f t="shared" ref="J34" si="15">J10-J32</f>
        <v>-632687.27944858617</v>
      </c>
    </row>
    <row r="35" spans="1:10" ht="13.5" thickTop="1" x14ac:dyDescent="0.2">
      <c r="A35" s="235">
        <v>31</v>
      </c>
      <c r="B35" s="235"/>
    </row>
    <row r="36" spans="1:10" x14ac:dyDescent="0.2">
      <c r="A36" s="235">
        <v>32</v>
      </c>
      <c r="B36" s="235" t="s">
        <v>77</v>
      </c>
    </row>
    <row r="37" spans="1:10" x14ac:dyDescent="0.2">
      <c r="A37" s="235">
        <v>33</v>
      </c>
      <c r="B37" s="235" t="s">
        <v>78</v>
      </c>
      <c r="C37" s="236">
        <f t="shared" ref="C37:C47" si="16">SUM(D37:J37)</f>
        <v>62073491.812730856</v>
      </c>
      <c r="D37" s="236">
        <f>'Page 1.5'!D37+'Page 1.6'!D37</f>
        <v>0</v>
      </c>
      <c r="E37" s="236">
        <f>'Page 1.5'!E37+'Page 1.6'!E37</f>
        <v>0</v>
      </c>
      <c r="F37" s="236">
        <f>'Page 1.5'!F37+'Page 1.6'!F37</f>
        <v>-28327255.80891481</v>
      </c>
      <c r="G37" s="236">
        <f>'Page 1.5'!G37+'Page 1.6'!G37</f>
        <v>0</v>
      </c>
      <c r="H37" s="236">
        <f>'Page 1.5'!H37+'Page 1.6'!H37</f>
        <v>0</v>
      </c>
      <c r="I37" s="236">
        <f>'Page 1.5'!I37+'Page 1.6'!I37</f>
        <v>90237666.554133713</v>
      </c>
      <c r="J37" s="236">
        <f>'Page 1.5'!J37+'Page 1.6'!J37</f>
        <v>163081.06751195365</v>
      </c>
    </row>
    <row r="38" spans="1:10" x14ac:dyDescent="0.2">
      <c r="A38" s="235">
        <v>34</v>
      </c>
      <c r="B38" s="235" t="s">
        <v>79</v>
      </c>
      <c r="C38" s="236">
        <f t="shared" si="16"/>
        <v>0</v>
      </c>
      <c r="D38" s="236">
        <f>'Page 1.5'!D38+'Page 1.6'!D38</f>
        <v>0</v>
      </c>
      <c r="E38" s="236">
        <f>'Page 1.5'!E38+'Page 1.6'!E38</f>
        <v>0</v>
      </c>
      <c r="F38" s="236">
        <f>'Page 1.5'!F38+'Page 1.6'!F38</f>
        <v>0</v>
      </c>
      <c r="G38" s="236">
        <f>'Page 1.5'!G38+'Page 1.6'!G38</f>
        <v>0</v>
      </c>
      <c r="H38" s="236">
        <f>'Page 1.5'!H38+'Page 1.6'!H38</f>
        <v>0</v>
      </c>
      <c r="I38" s="236">
        <f>'Page 1.5'!I38+'Page 1.6'!I38</f>
        <v>0</v>
      </c>
      <c r="J38" s="236">
        <f>'Page 1.5'!J38+'Page 1.6'!J38</f>
        <v>0</v>
      </c>
    </row>
    <row r="39" spans="1:10" x14ac:dyDescent="0.2">
      <c r="A39" s="235">
        <v>35</v>
      </c>
      <c r="B39" s="235" t="s">
        <v>80</v>
      </c>
      <c r="C39" s="236">
        <f t="shared" si="16"/>
        <v>-5671386.2543606469</v>
      </c>
      <c r="D39" s="236">
        <f>'Page 1.5'!D39+'Page 1.6'!D39</f>
        <v>0</v>
      </c>
      <c r="E39" s="236">
        <f>'Page 1.5'!E39+'Page 1.6'!E39</f>
        <v>0</v>
      </c>
      <c r="F39" s="236">
        <f>'Page 1.5'!F39+'Page 1.6'!F39</f>
        <v>0</v>
      </c>
      <c r="G39" s="236">
        <f>'Page 1.5'!G39+'Page 1.6'!G39</f>
        <v>0</v>
      </c>
      <c r="H39" s="236">
        <f>'Page 1.5'!H39+'Page 1.6'!H39</f>
        <v>0</v>
      </c>
      <c r="I39" s="236">
        <f>'Page 1.5'!I39+'Page 1.6'!I39</f>
        <v>-5671386.2543606469</v>
      </c>
      <c r="J39" s="236">
        <f>'Page 1.5'!J39+'Page 1.6'!J39</f>
        <v>0</v>
      </c>
    </row>
    <row r="40" spans="1:10" x14ac:dyDescent="0.2">
      <c r="A40" s="235">
        <v>36</v>
      </c>
      <c r="B40" s="235" t="s">
        <v>81</v>
      </c>
      <c r="C40" s="236">
        <f t="shared" si="16"/>
        <v>0</v>
      </c>
      <c r="D40" s="236">
        <f>'Page 1.5'!D40+'Page 1.6'!D40</f>
        <v>0</v>
      </c>
      <c r="E40" s="236">
        <f>'Page 1.5'!E40+'Page 1.6'!E40</f>
        <v>0</v>
      </c>
      <c r="F40" s="236">
        <f>'Page 1.5'!F40+'Page 1.6'!F40</f>
        <v>0</v>
      </c>
      <c r="G40" s="236">
        <f>'Page 1.5'!G40+'Page 1.6'!G40</f>
        <v>0</v>
      </c>
      <c r="H40" s="236">
        <f>'Page 1.5'!H40+'Page 1.6'!H40</f>
        <v>0</v>
      </c>
      <c r="I40" s="236">
        <f>'Page 1.5'!I40+'Page 1.6'!I40</f>
        <v>0</v>
      </c>
      <c r="J40" s="236">
        <f>'Page 1.5'!J40+'Page 1.6'!J40</f>
        <v>0</v>
      </c>
    </row>
    <row r="41" spans="1:10" x14ac:dyDescent="0.2">
      <c r="A41" s="235">
        <v>37</v>
      </c>
      <c r="B41" s="235" t="s">
        <v>82</v>
      </c>
      <c r="C41" s="236">
        <f t="shared" si="16"/>
        <v>0</v>
      </c>
      <c r="D41" s="236">
        <f>'Page 1.5'!D41+'Page 1.6'!D41</f>
        <v>0</v>
      </c>
      <c r="E41" s="236">
        <f>'Page 1.5'!E41+'Page 1.6'!E41</f>
        <v>0</v>
      </c>
      <c r="F41" s="236">
        <f>'Page 1.5'!F41+'Page 1.6'!F41</f>
        <v>0</v>
      </c>
      <c r="G41" s="236">
        <f>'Page 1.5'!G41+'Page 1.6'!G41</f>
        <v>0</v>
      </c>
      <c r="H41" s="236">
        <f>'Page 1.5'!H41+'Page 1.6'!H41</f>
        <v>0</v>
      </c>
      <c r="I41" s="236">
        <f>'Page 1.5'!I41+'Page 1.6'!I41</f>
        <v>0</v>
      </c>
      <c r="J41" s="236">
        <f>'Page 1.5'!J41+'Page 1.6'!J41</f>
        <v>0</v>
      </c>
    </row>
    <row r="42" spans="1:10" x14ac:dyDescent="0.2">
      <c r="A42" s="235">
        <v>38</v>
      </c>
      <c r="B42" s="235" t="s">
        <v>83</v>
      </c>
      <c r="C42" s="236">
        <f t="shared" si="16"/>
        <v>-1743278.7185106392</v>
      </c>
      <c r="D42" s="236">
        <f>'Page 1.5'!D42+'Page 1.6'!D42</f>
        <v>0</v>
      </c>
      <c r="E42" s="236">
        <f>'Page 1.5'!E42+'Page 1.6'!E42</f>
        <v>0</v>
      </c>
      <c r="F42" s="236">
        <f>'Page 1.5'!F42+'Page 1.6'!F42</f>
        <v>0</v>
      </c>
      <c r="G42" s="236">
        <f>'Page 1.5'!G42+'Page 1.6'!G42</f>
        <v>0</v>
      </c>
      <c r="H42" s="236">
        <f>'Page 1.5'!H42+'Page 1.6'!H42</f>
        <v>0</v>
      </c>
      <c r="I42" s="236">
        <f>'Page 1.5'!I42+'Page 1.6'!I42</f>
        <v>-1743278.7185106392</v>
      </c>
      <c r="J42" s="236">
        <f>'Page 1.5'!J42+'Page 1.6'!J42</f>
        <v>0</v>
      </c>
    </row>
    <row r="43" spans="1:10" x14ac:dyDescent="0.2">
      <c r="A43" s="235">
        <v>39</v>
      </c>
      <c r="B43" s="235" t="s">
        <v>84</v>
      </c>
      <c r="C43" s="236">
        <f t="shared" si="16"/>
        <v>-6914148.5720945681</v>
      </c>
      <c r="D43" s="236">
        <f>'Page 1.5'!D43+'Page 1.6'!D43</f>
        <v>0</v>
      </c>
      <c r="E43" s="236">
        <f>'Page 1.5'!E43+'Page 1.6'!E43</f>
        <v>0</v>
      </c>
      <c r="F43" s="236">
        <f>'Page 1.5'!F43+'Page 1.6'!F43</f>
        <v>0</v>
      </c>
      <c r="G43" s="236">
        <f>'Page 1.5'!G43+'Page 1.6'!G43</f>
        <v>0</v>
      </c>
      <c r="H43" s="236">
        <f>'Page 1.5'!H43+'Page 1.6'!H43</f>
        <v>0</v>
      </c>
      <c r="I43" s="236">
        <f>'Page 1.5'!I43+'Page 1.6'!I43</f>
        <v>-6914148.5720945681</v>
      </c>
      <c r="J43" s="236">
        <f>'Page 1.5'!J43+'Page 1.6'!J43</f>
        <v>0</v>
      </c>
    </row>
    <row r="44" spans="1:10" x14ac:dyDescent="0.2">
      <c r="A44" s="235">
        <v>40</v>
      </c>
      <c r="B44" s="235" t="s">
        <v>85</v>
      </c>
      <c r="C44" s="236">
        <f t="shared" si="16"/>
        <v>-6926884.9266495155</v>
      </c>
      <c r="D44" s="236">
        <f>'Page 1.5'!D44+'Page 1.6'!D44</f>
        <v>0</v>
      </c>
      <c r="E44" s="236">
        <f>'Page 1.5'!E44+'Page 1.6'!E44</f>
        <v>0</v>
      </c>
      <c r="F44" s="236">
        <f>'Page 1.5'!F44+'Page 1.6'!F44</f>
        <v>0</v>
      </c>
      <c r="G44" s="236">
        <f>'Page 1.5'!G44+'Page 1.6'!G44</f>
        <v>0</v>
      </c>
      <c r="H44" s="236">
        <f>'Page 1.5'!H44+'Page 1.6'!H44</f>
        <v>0</v>
      </c>
      <c r="I44" s="236">
        <f>'Page 1.5'!I44+'Page 1.6'!I44</f>
        <v>-6926884.9266495155</v>
      </c>
      <c r="J44" s="236">
        <f>'Page 1.5'!J44+'Page 1.6'!J44</f>
        <v>0</v>
      </c>
    </row>
    <row r="45" spans="1:10" x14ac:dyDescent="0.2">
      <c r="A45" s="235">
        <v>41</v>
      </c>
      <c r="B45" s="235" t="s">
        <v>86</v>
      </c>
      <c r="C45" s="236">
        <f t="shared" si="16"/>
        <v>28579779.133268069</v>
      </c>
      <c r="D45" s="236">
        <f>'Page 1.5'!D45+'Page 1.6'!D45</f>
        <v>0</v>
      </c>
      <c r="E45" s="236">
        <f>'Page 1.5'!E45+'Page 1.6'!E45</f>
        <v>0</v>
      </c>
      <c r="F45" s="236">
        <f>'Page 1.5'!F45+'Page 1.6'!F45</f>
        <v>0</v>
      </c>
      <c r="G45" s="236">
        <f>'Page 1.5'!G45+'Page 1.6'!G45</f>
        <v>0</v>
      </c>
      <c r="H45" s="236">
        <f>'Page 1.5'!H45+'Page 1.6'!H45</f>
        <v>0</v>
      </c>
      <c r="I45" s="236">
        <f>'Page 1.5'!I45+'Page 1.6'!I45</f>
        <v>28579779.133268069</v>
      </c>
      <c r="J45" s="236">
        <f>'Page 1.5'!J45+'Page 1.6'!J45</f>
        <v>0</v>
      </c>
    </row>
    <row r="46" spans="1:10" x14ac:dyDescent="0.2">
      <c r="A46" s="235">
        <v>42</v>
      </c>
      <c r="B46" s="235" t="s">
        <v>176</v>
      </c>
      <c r="C46" s="236">
        <f t="shared" si="16"/>
        <v>0</v>
      </c>
      <c r="D46" s="236">
        <f>'Page 1.5'!D46+'Page 1.6'!D46</f>
        <v>0</v>
      </c>
      <c r="E46" s="236">
        <f>'Page 1.5'!E46+'Page 1.6'!E46</f>
        <v>0</v>
      </c>
      <c r="F46" s="236">
        <f>'Page 1.5'!F46+'Page 1.6'!F46</f>
        <v>0</v>
      </c>
      <c r="G46" s="236">
        <f>'Page 1.5'!G46+'Page 1.6'!G46</f>
        <v>0</v>
      </c>
      <c r="H46" s="236">
        <f>'Page 1.5'!H46+'Page 1.6'!H46</f>
        <v>0</v>
      </c>
      <c r="I46" s="236">
        <f>'Page 1.5'!I46+'Page 1.6'!I46</f>
        <v>0</v>
      </c>
      <c r="J46" s="236">
        <f>'Page 1.5'!J46+'Page 1.6'!J46</f>
        <v>0</v>
      </c>
    </row>
    <row r="47" spans="1:10" x14ac:dyDescent="0.2">
      <c r="A47" s="235">
        <v>43</v>
      </c>
      <c r="B47" s="235" t="s">
        <v>88</v>
      </c>
      <c r="C47" s="236">
        <f t="shared" si="16"/>
        <v>0</v>
      </c>
      <c r="D47" s="238">
        <f>'Page 1.5'!D47+'Page 1.6'!D47</f>
        <v>0</v>
      </c>
      <c r="E47" s="236">
        <f>'Page 1.5'!E47+'Page 1.6'!E47</f>
        <v>0</v>
      </c>
      <c r="F47" s="236">
        <f>'Page 1.5'!F47+'Page 1.6'!F47</f>
        <v>0</v>
      </c>
      <c r="G47" s="236">
        <f>'Page 1.5'!G47+'Page 1.6'!G47</f>
        <v>0</v>
      </c>
      <c r="H47" s="236">
        <f>'Page 1.5'!H47+'Page 1.6'!H47</f>
        <v>0</v>
      </c>
      <c r="I47" s="236">
        <f>'Page 1.5'!I47+'Page 1.6'!I47</f>
        <v>0</v>
      </c>
      <c r="J47" s="236">
        <f>'Page 1.5'!J47+'Page 1.6'!J47</f>
        <v>0</v>
      </c>
    </row>
    <row r="48" spans="1:10" x14ac:dyDescent="0.2">
      <c r="A48" s="235">
        <v>44</v>
      </c>
      <c r="B48" s="235" t="s">
        <v>89</v>
      </c>
      <c r="C48" s="241">
        <f>SUM(C37:C47)</f>
        <v>69397572.474383548</v>
      </c>
      <c r="D48" s="241">
        <f t="shared" ref="D48:I48" si="17">SUM(D37:D47)</f>
        <v>0</v>
      </c>
      <c r="E48" s="241">
        <f t="shared" si="17"/>
        <v>0</v>
      </c>
      <c r="F48" s="241">
        <f t="shared" si="17"/>
        <v>-28327255.80891481</v>
      </c>
      <c r="G48" s="241">
        <f t="shared" si="17"/>
        <v>0</v>
      </c>
      <c r="H48" s="241">
        <f t="shared" si="17"/>
        <v>0</v>
      </c>
      <c r="I48" s="241">
        <f t="shared" si="17"/>
        <v>97561747.215786412</v>
      </c>
      <c r="J48" s="241">
        <f t="shared" ref="J48" si="18">SUM(J37:J47)</f>
        <v>163081.06751195365</v>
      </c>
    </row>
    <row r="49" spans="1:10" x14ac:dyDescent="0.2">
      <c r="A49" s="235">
        <v>45</v>
      </c>
      <c r="B49" s="235"/>
    </row>
    <row r="50" spans="1:10" x14ac:dyDescent="0.2">
      <c r="A50" s="235">
        <v>46</v>
      </c>
      <c r="B50" s="235" t="s">
        <v>177</v>
      </c>
    </row>
    <row r="51" spans="1:10" x14ac:dyDescent="0.2">
      <c r="A51" s="235">
        <v>47</v>
      </c>
      <c r="B51" s="235" t="s">
        <v>91</v>
      </c>
      <c r="C51" s="236">
        <f t="shared" ref="C51:C57" si="19">SUM(D51:J51)</f>
        <v>-22731208.896244898</v>
      </c>
      <c r="D51" s="236">
        <f>'Page 1.5'!D51+'Page 1.6'!D51</f>
        <v>0</v>
      </c>
      <c r="E51" s="236">
        <f>'Page 1.5'!E51+'Page 1.6'!E51</f>
        <v>0</v>
      </c>
      <c r="F51" s="236">
        <f>'Page 1.5'!F51+'Page 1.6'!F51</f>
        <v>18631294.304746002</v>
      </c>
      <c r="G51" s="236">
        <f>'Page 1.5'!G51+'Page 1.6'!G51</f>
        <v>-1624818.9621658288</v>
      </c>
      <c r="H51" s="236">
        <f>'Page 1.5'!H51+'Page 1.6'!H51</f>
        <v>0</v>
      </c>
      <c r="I51" s="236">
        <f>'Page 1.5'!I51+'Page 1.6'!I51</f>
        <v>-39733986.301809914</v>
      </c>
      <c r="J51" s="236">
        <f>'Page 1.5'!J51+'Page 1.6'!J51</f>
        <v>-3697.9370151566691</v>
      </c>
    </row>
    <row r="52" spans="1:10" x14ac:dyDescent="0.2">
      <c r="A52" s="235">
        <v>48</v>
      </c>
      <c r="B52" s="235" t="s">
        <v>92</v>
      </c>
      <c r="C52" s="236">
        <f t="shared" si="19"/>
        <v>0</v>
      </c>
      <c r="D52" s="236">
        <f>'Page 1.5'!D52+'Page 1.6'!D52</f>
        <v>0</v>
      </c>
      <c r="E52" s="236">
        <f>'Page 1.5'!E52+'Page 1.6'!E52</f>
        <v>0</v>
      </c>
      <c r="F52" s="236">
        <f>'Page 1.5'!F52+'Page 1.6'!F52</f>
        <v>0</v>
      </c>
      <c r="G52" s="236">
        <f>'Page 1.5'!G52+'Page 1.6'!G52</f>
        <v>0</v>
      </c>
      <c r="H52" s="236">
        <f>'Page 1.5'!H52+'Page 1.6'!H52</f>
        <v>0</v>
      </c>
      <c r="I52" s="236">
        <f>'Page 1.5'!I52+'Page 1.6'!I52</f>
        <v>0</v>
      </c>
      <c r="J52" s="236">
        <f>'Page 1.5'!J52+'Page 1.6'!J52</f>
        <v>0</v>
      </c>
    </row>
    <row r="53" spans="1:10" x14ac:dyDescent="0.2">
      <c r="A53" s="235">
        <v>49</v>
      </c>
      <c r="B53" s="235" t="s">
        <v>93</v>
      </c>
      <c r="C53" s="236">
        <f t="shared" si="19"/>
        <v>-15341615.074920939</v>
      </c>
      <c r="D53" s="236">
        <f>'Page 1.5'!D53+'Page 1.6'!D53</f>
        <v>152820.8753697275</v>
      </c>
      <c r="E53" s="236">
        <f>'Page 1.5'!E53+'Page 1.6'!E53</f>
        <v>0</v>
      </c>
      <c r="F53" s="236">
        <f>'Page 1.5'!F53+'Page 1.6'!F53</f>
        <v>1126970.5347474767</v>
      </c>
      <c r="G53" s="236">
        <f>'Page 1.5'!G53+'Page 1.6'!G53</f>
        <v>381852.8292755853</v>
      </c>
      <c r="H53" s="236">
        <f>'Page 1.5'!H53+'Page 1.6'!H53</f>
        <v>-11054425.242497936</v>
      </c>
      <c r="I53" s="236">
        <f>'Page 1.5'!I53+'Page 1.6'!I53</f>
        <v>-5878739.0579457935</v>
      </c>
      <c r="J53" s="236">
        <f>'Page 1.5'!J53+'Page 1.6'!J53</f>
        <v>-70095.013869999326</v>
      </c>
    </row>
    <row r="54" spans="1:10" x14ac:dyDescent="0.2">
      <c r="A54" s="235">
        <v>50</v>
      </c>
      <c r="B54" s="235" t="s">
        <v>94</v>
      </c>
      <c r="C54" s="236">
        <f t="shared" si="19"/>
        <v>1645.6848</v>
      </c>
      <c r="D54" s="236">
        <f>'Page 1.5'!D54+'Page 1.6'!D54</f>
        <v>0</v>
      </c>
      <c r="E54" s="236">
        <f>'Page 1.5'!E54+'Page 1.6'!E54</f>
        <v>0</v>
      </c>
      <c r="F54" s="236">
        <f>'Page 1.5'!F54+'Page 1.6'!F54</f>
        <v>1645.6848</v>
      </c>
      <c r="G54" s="236">
        <f>'Page 1.5'!G54+'Page 1.6'!G54</f>
        <v>0</v>
      </c>
      <c r="H54" s="236">
        <f>'Page 1.5'!H54+'Page 1.6'!H54</f>
        <v>0</v>
      </c>
      <c r="I54" s="236">
        <f>'Page 1.5'!I54+'Page 1.6'!I54</f>
        <v>0</v>
      </c>
      <c r="J54" s="236">
        <f>'Page 1.5'!J54+'Page 1.6'!J54</f>
        <v>0</v>
      </c>
    </row>
    <row r="55" spans="1:10" x14ac:dyDescent="0.2">
      <c r="A55" s="235">
        <v>51</v>
      </c>
      <c r="B55" s="235" t="s">
        <v>95</v>
      </c>
      <c r="C55" s="236">
        <f t="shared" si="19"/>
        <v>-481414.22831967368</v>
      </c>
      <c r="D55" s="236">
        <f>'Page 1.5'!D55+'Page 1.6'!D55</f>
        <v>0</v>
      </c>
      <c r="E55" s="236">
        <f>'Page 1.5'!E55+'Page 1.6'!E55</f>
        <v>0</v>
      </c>
      <c r="F55" s="236">
        <f>'Page 1.5'!F55+'Page 1.6'!F55</f>
        <v>0</v>
      </c>
      <c r="G55" s="236">
        <f>'Page 1.5'!G55+'Page 1.6'!G55</f>
        <v>0</v>
      </c>
      <c r="H55" s="236">
        <f>'Page 1.5'!H55+'Page 1.6'!H55</f>
        <v>0</v>
      </c>
      <c r="I55" s="236">
        <f>'Page 1.5'!I55+'Page 1.6'!I55</f>
        <v>-481414.22831967368</v>
      </c>
      <c r="J55" s="236">
        <f>'Page 1.5'!J55+'Page 1.6'!J55</f>
        <v>0</v>
      </c>
    </row>
    <row r="56" spans="1:10" x14ac:dyDescent="0.2">
      <c r="A56" s="235">
        <v>52</v>
      </c>
      <c r="B56" s="235" t="s">
        <v>96</v>
      </c>
      <c r="C56" s="236">
        <f t="shared" si="19"/>
        <v>-3361133.729166666</v>
      </c>
      <c r="D56" s="236">
        <f>'Page 1.5'!D56+'Page 1.6'!D56</f>
        <v>0</v>
      </c>
      <c r="E56" s="236">
        <f>'Page 1.5'!E56+'Page 1.6'!E56</f>
        <v>0</v>
      </c>
      <c r="F56" s="236">
        <f>'Page 1.5'!F56+'Page 1.6'!F56</f>
        <v>0</v>
      </c>
      <c r="G56" s="236">
        <f>'Page 1.5'!G56+'Page 1.6'!G56</f>
        <v>0</v>
      </c>
      <c r="H56" s="236">
        <f>'Page 1.5'!H56+'Page 1.6'!H56</f>
        <v>0</v>
      </c>
      <c r="I56" s="236">
        <f>'Page 1.5'!I56+'Page 1.6'!I56</f>
        <v>-3361133.729166666</v>
      </c>
      <c r="J56" s="236">
        <f>'Page 1.5'!J56+'Page 1.6'!J56</f>
        <v>0</v>
      </c>
    </row>
    <row r="57" spans="1:10" x14ac:dyDescent="0.2">
      <c r="A57" s="235">
        <v>53</v>
      </c>
      <c r="B57" s="235" t="s">
        <v>178</v>
      </c>
      <c r="C57" s="236">
        <f t="shared" si="19"/>
        <v>3099080.6009537652</v>
      </c>
      <c r="D57" s="236">
        <f>'Page 1.5'!D57+'Page 1.6'!D57</f>
        <v>-402745.59474258736</v>
      </c>
      <c r="E57" s="236">
        <f>'Page 1.5'!E57+'Page 1.6'!E57</f>
        <v>0</v>
      </c>
      <c r="F57" s="236">
        <f>'Page 1.5'!F57+'Page 1.6'!F57</f>
        <v>0</v>
      </c>
      <c r="G57" s="236">
        <f>'Page 1.5'!G57+'Page 1.6'!G57</f>
        <v>0</v>
      </c>
      <c r="H57" s="236">
        <f>'Page 1.5'!H57+'Page 1.6'!H57</f>
        <v>0</v>
      </c>
      <c r="I57" s="236">
        <f>'Page 1.5'!I57+'Page 1.6'!I57</f>
        <v>3501826.1956963525</v>
      </c>
      <c r="J57" s="236">
        <f>'Page 1.5'!J57+'Page 1.6'!J57</f>
        <v>0</v>
      </c>
    </row>
    <row r="58" spans="1:10" x14ac:dyDescent="0.2">
      <c r="A58" s="235">
        <v>54</v>
      </c>
      <c r="B58" s="235"/>
      <c r="F58" s="236"/>
      <c r="G58" s="236"/>
    </row>
    <row r="59" spans="1:10" x14ac:dyDescent="0.2">
      <c r="A59" s="235">
        <v>55</v>
      </c>
      <c r="B59" s="235" t="s">
        <v>179</v>
      </c>
      <c r="C59" s="241">
        <f>SUM(C51:C58)</f>
        <v>-38814645.642898411</v>
      </c>
      <c r="D59" s="241">
        <f t="shared" ref="D59:I59" si="20">SUM(D51:D58)</f>
        <v>-249924.71937285986</v>
      </c>
      <c r="E59" s="241">
        <f t="shared" si="20"/>
        <v>0</v>
      </c>
      <c r="F59" s="241">
        <f t="shared" si="20"/>
        <v>19759910.524293479</v>
      </c>
      <c r="G59" s="241">
        <f t="shared" si="20"/>
        <v>-1242966.1328902435</v>
      </c>
      <c r="H59" s="241">
        <f t="shared" si="20"/>
        <v>-11054425.242497936</v>
      </c>
      <c r="I59" s="241">
        <f t="shared" si="20"/>
        <v>-45953447.121545695</v>
      </c>
      <c r="J59" s="241">
        <f t="shared" ref="J59" si="21">SUM(J51:J58)</f>
        <v>-73792.950885155995</v>
      </c>
    </row>
    <row r="60" spans="1:10" x14ac:dyDescent="0.2">
      <c r="A60" s="235">
        <v>56</v>
      </c>
      <c r="B60" s="235"/>
    </row>
    <row r="61" spans="1:10" ht="13.5" thickBot="1" x14ac:dyDescent="0.25">
      <c r="A61" s="235">
        <v>57</v>
      </c>
      <c r="B61" s="235" t="s">
        <v>99</v>
      </c>
      <c r="C61" s="242">
        <f>C48+C59</f>
        <v>30582926.831485137</v>
      </c>
      <c r="D61" s="242">
        <f t="shared" ref="D61:I61" si="22">D48+D59</f>
        <v>-249924.71937285986</v>
      </c>
      <c r="E61" s="242">
        <f t="shared" si="22"/>
        <v>0</v>
      </c>
      <c r="F61" s="242">
        <f t="shared" si="22"/>
        <v>-8567345.2846213318</v>
      </c>
      <c r="G61" s="242">
        <f t="shared" si="22"/>
        <v>-1242966.1328902435</v>
      </c>
      <c r="H61" s="242">
        <f t="shared" si="22"/>
        <v>-11054425.242497936</v>
      </c>
      <c r="I61" s="242">
        <f t="shared" si="22"/>
        <v>51608300.094240718</v>
      </c>
      <c r="J61" s="242">
        <f t="shared" ref="J61" si="23">J48+J59</f>
        <v>89288.116626797651</v>
      </c>
    </row>
    <row r="62" spans="1:10" ht="13.5" thickTop="1" x14ac:dyDescent="0.2">
      <c r="A62" s="235">
        <v>58</v>
      </c>
      <c r="B62" s="235"/>
    </row>
    <row r="63" spans="1:10" x14ac:dyDescent="0.2">
      <c r="A63" s="235">
        <v>59</v>
      </c>
      <c r="B63" s="243" t="s">
        <v>180</v>
      </c>
      <c r="C63" s="244">
        <f t="shared" ref="C63:I63" si="24">(((C34+Unadj_Op_revenue)/(C61+Unadj_rate_base))-Weighted_cost_debt-Weighted_cost_pref)/Percent_common-Unadj_ROE</f>
        <v>2.9582280583400525E-2</v>
      </c>
      <c r="D63" s="244">
        <f t="shared" si="24"/>
        <v>4.7492938511457319E-3</v>
      </c>
      <c r="E63" s="244">
        <f t="shared" si="24"/>
        <v>2.253527749888945E-2</v>
      </c>
      <c r="F63" s="244">
        <f t="shared" si="24"/>
        <v>1.4656120969095687E-2</v>
      </c>
      <c r="G63" s="244">
        <f t="shared" si="24"/>
        <v>-1.9455475445113377E-3</v>
      </c>
      <c r="H63" s="244">
        <f t="shared" si="24"/>
        <v>6.7738391915585158E-3</v>
      </c>
      <c r="I63" s="244">
        <f t="shared" si="24"/>
        <v>-1.3270846818126958E-2</v>
      </c>
      <c r="J63" s="244">
        <f t="shared" ref="J63" si="25">(((J34+Unadj_Op_revenue)/(J61+Unadj_rate_base))-Weighted_cost_debt-Weighted_cost_pref)/Percent_common-Unadj_ROE</f>
        <v>-1.6463421091127486E-3</v>
      </c>
    </row>
    <row r="64" spans="1:10" x14ac:dyDescent="0.2">
      <c r="A64" s="235">
        <v>60</v>
      </c>
      <c r="B64" s="245" t="s">
        <v>47</v>
      </c>
      <c r="C64" s="246">
        <f t="shared" ref="C64:I64" si="26">-(C34-(C61*Overall_ROR))/gross_up_factor</f>
        <v>-18122920.963920277</v>
      </c>
      <c r="D64" s="246">
        <f t="shared" si="26"/>
        <v>-2974728.9694139692</v>
      </c>
      <c r="E64" s="246">
        <f t="shared" si="26"/>
        <v>-14077823.993100394</v>
      </c>
      <c r="F64" s="246">
        <f t="shared" si="26"/>
        <v>-9357104.3982956242</v>
      </c>
      <c r="G64" s="246">
        <f t="shared" si="26"/>
        <v>1169813.1770287761</v>
      </c>
      <c r="H64" s="246">
        <f t="shared" si="26"/>
        <v>-4560551.5907588769</v>
      </c>
      <c r="I64" s="246">
        <f t="shared" si="26"/>
        <v>10645749.668238496</v>
      </c>
      <c r="J64" s="246">
        <f t="shared" ref="J64" si="27">-(J34-(J61*Overall_ROR))/gross_up_factor</f>
        <v>1031725.1423813128</v>
      </c>
    </row>
    <row r="65" spans="1:10" x14ac:dyDescent="0.2">
      <c r="A65" s="235">
        <v>61</v>
      </c>
      <c r="B65" s="235"/>
    </row>
    <row r="66" spans="1:10" x14ac:dyDescent="0.2">
      <c r="A66" s="235">
        <v>62</v>
      </c>
      <c r="B66" s="235" t="s">
        <v>101</v>
      </c>
    </row>
    <row r="67" spans="1:10" x14ac:dyDescent="0.2">
      <c r="A67" s="235">
        <v>63</v>
      </c>
      <c r="B67" s="235" t="s">
        <v>102</v>
      </c>
      <c r="C67" s="239">
        <f>SUM(D67:J67)</f>
        <v>18243724.061204825</v>
      </c>
      <c r="D67" s="239">
        <f t="shared" ref="D67:I67" si="28">D10-D23-D24-D25-D26-D31</f>
        <v>2842626.7289733505</v>
      </c>
      <c r="E67" s="239">
        <f t="shared" si="28"/>
        <v>12768041.400197558</v>
      </c>
      <c r="F67" s="239">
        <f t="shared" si="28"/>
        <v>7942010.5677727172</v>
      </c>
      <c r="G67" s="239">
        <f t="shared" si="28"/>
        <v>-1296450.5706201305</v>
      </c>
      <c r="H67" s="239">
        <f t="shared" si="28"/>
        <v>659186</v>
      </c>
      <c r="I67" s="239">
        <f t="shared" si="28"/>
        <v>-3696683.8633283973</v>
      </c>
      <c r="J67" s="239">
        <f t="shared" ref="J67" si="29">J10-J23-J24-J25-J26-J31</f>
        <v>-975006.20179027249</v>
      </c>
    </row>
    <row r="68" spans="1:10" x14ac:dyDescent="0.2">
      <c r="A68" s="235">
        <v>64</v>
      </c>
      <c r="B68" s="235" t="s">
        <v>103</v>
      </c>
      <c r="C68" s="239">
        <v>0</v>
      </c>
      <c r="D68" s="3">
        <f>'Page 1.5'!D68+'Page 1.6'!D68</f>
        <v>0</v>
      </c>
      <c r="E68" s="3">
        <f>'Page 1.5'!E68+'Page 1.6'!E68</f>
        <v>0</v>
      </c>
      <c r="F68" s="3">
        <f>'Page 1.5'!F68+'Page 1.6'!F68</f>
        <v>0</v>
      </c>
      <c r="G68" s="3">
        <f>'Page 1.5'!G68+'Page 1.6'!G68</f>
        <v>0</v>
      </c>
      <c r="H68" s="3">
        <f>'Page 1.5'!H68+'Page 1.6'!H68</f>
        <v>0</v>
      </c>
      <c r="I68" s="3">
        <f>'Page 1.5'!I68+'Page 1.6'!I68</f>
        <v>0</v>
      </c>
      <c r="J68" s="3">
        <f>'Page 1.5'!J68+'Page 1.6'!J68</f>
        <v>0</v>
      </c>
    </row>
    <row r="69" spans="1:10" x14ac:dyDescent="0.2">
      <c r="A69" s="235">
        <v>65</v>
      </c>
      <c r="B69" s="235" t="s">
        <v>104</v>
      </c>
      <c r="C69" s="239">
        <f>SUM(D69:J69)</f>
        <v>0</v>
      </c>
      <c r="D69" s="239">
        <f>'Page 1.5'!D69+'Page 1.6'!D69</f>
        <v>0</v>
      </c>
      <c r="E69" s="239">
        <f>'Page 1.5'!E69+'Page 1.6'!E69</f>
        <v>0</v>
      </c>
      <c r="F69" s="239">
        <f>'Page 1.5'!F69+'Page 1.6'!F69</f>
        <v>0</v>
      </c>
      <c r="G69" s="239">
        <f>'Page 1.5'!G69+'Page 1.6'!G69</f>
        <v>0</v>
      </c>
      <c r="H69" s="239">
        <f>'Page 1.5'!H69+'Page 1.6'!H69</f>
        <v>0</v>
      </c>
      <c r="I69" s="239">
        <f>'Page 1.5'!I69+'Page 1.6'!I69</f>
        <v>0</v>
      </c>
      <c r="J69" s="239">
        <f>'Page 1.5'!J69+'Page 1.6'!J69</f>
        <v>0</v>
      </c>
    </row>
    <row r="70" spans="1:10" x14ac:dyDescent="0.2">
      <c r="A70" s="235">
        <v>66</v>
      </c>
      <c r="B70" s="235" t="s">
        <v>105</v>
      </c>
      <c r="C70" s="239">
        <f>SUM(D70:J70)</f>
        <v>83843.165870714933</v>
      </c>
      <c r="D70" s="239">
        <f>'Page 1.5'!D70+'Page 1.6'!D70</f>
        <v>0</v>
      </c>
      <c r="E70" s="239">
        <f>'Page 1.5'!E70+'Page 1.6'!E70</f>
        <v>0</v>
      </c>
      <c r="F70" s="239">
        <f>'Page 1.5'!F70+'Page 1.6'!F70</f>
        <v>0</v>
      </c>
      <c r="G70" s="239">
        <f>'Page 1.5'!G70+'Page 1.6'!G70</f>
        <v>0</v>
      </c>
      <c r="H70" s="239">
        <f>'Page 1.5'!H70+'Page 1.6'!H70</f>
        <v>83843.165870714933</v>
      </c>
      <c r="I70" s="239">
        <f>'Page 1.5'!I70+'Page 1.6'!I70</f>
        <v>0</v>
      </c>
      <c r="J70" s="239">
        <f>'Page 1.5'!J70+'Page 1.6'!J70</f>
        <v>0</v>
      </c>
    </row>
    <row r="71" spans="1:10" x14ac:dyDescent="0.2">
      <c r="A71" s="235">
        <v>67</v>
      </c>
      <c r="B71" s="240" t="s">
        <v>106</v>
      </c>
      <c r="C71" s="239">
        <f>SUM(D71:J71)</f>
        <v>999582.18558350008</v>
      </c>
      <c r="D71" s="239">
        <f>'Page 1.5'!D71+'Page 1.6'!D71</f>
        <v>58.417828750555501</v>
      </c>
      <c r="E71" s="239">
        <f>'Page 1.5'!E71+'Page 1.6'!E71</f>
        <v>47838.41379794394</v>
      </c>
      <c r="F71" s="239">
        <f>'Page 1.5'!F71+'Page 1.6'!F71</f>
        <v>-52188</v>
      </c>
      <c r="G71" s="239">
        <f>'Page 1.5'!G71+'Page 1.6'!G71</f>
        <v>1049794.3729300371</v>
      </c>
      <c r="H71" s="239">
        <f>'Page 1.5'!H71+'Page 1.6'!H71</f>
        <v>0</v>
      </c>
      <c r="I71" s="239">
        <f>'Page 1.5'!I71+'Page 1.6'!I71</f>
        <v>-57815.867047495442</v>
      </c>
      <c r="J71" s="239">
        <f>'Page 1.5'!J71+'Page 1.6'!J71</f>
        <v>11894.848074263922</v>
      </c>
    </row>
    <row r="72" spans="1:10" x14ac:dyDescent="0.2">
      <c r="A72" s="235">
        <v>68</v>
      </c>
      <c r="B72" s="240" t="s">
        <v>107</v>
      </c>
      <c r="C72" s="247">
        <f>SUM(D72:J72)</f>
        <v>6314778.2300997097</v>
      </c>
      <c r="D72" s="247">
        <f>'Page 1.5'!D72+'Page 1.6'!D72</f>
        <v>778051.99910408224</v>
      </c>
      <c r="E72" s="247">
        <f>'Page 1.5'!E72+'Page 1.6'!E72</f>
        <v>1255521.1132177606</v>
      </c>
      <c r="F72" s="247">
        <f>'Page 1.5'!F72+'Page 1.6'!F72</f>
        <v>298029.30754214432</v>
      </c>
      <c r="G72" s="247">
        <f>'Page 1.5'!G72+'Page 1.6'!G72</f>
        <v>128121.11534020312</v>
      </c>
      <c r="H72" s="247">
        <f>'Page 1.5'!H72+'Page 1.6'!H72</f>
        <v>0</v>
      </c>
      <c r="I72" s="247">
        <f>'Page 1.5'!I72+'Page 1.6'!I72</f>
        <v>3705922.6263455185</v>
      </c>
      <c r="J72" s="247">
        <f>'Page 1.5'!J72+'Page 1.6'!J72</f>
        <v>149132.06855000136</v>
      </c>
    </row>
    <row r="73" spans="1:10" x14ac:dyDescent="0.2">
      <c r="A73" s="235">
        <v>69</v>
      </c>
      <c r="B73" s="240" t="s">
        <v>108</v>
      </c>
      <c r="C73" s="248">
        <f>SUM(D73:J73)</f>
        <v>12844684.850817902</v>
      </c>
      <c r="D73" s="248">
        <f>D67-D69-D70+D71-D72</f>
        <v>2064633.1476980187</v>
      </c>
      <c r="E73" s="248">
        <f t="shared" ref="E73:I73" si="30">E67-E69-E70+E71-E72</f>
        <v>11560358.700777743</v>
      </c>
      <c r="F73" s="248">
        <f t="shared" si="30"/>
        <v>7591793.2602305729</v>
      </c>
      <c r="G73" s="248">
        <f t="shared" si="30"/>
        <v>-374777.31303029653</v>
      </c>
      <c r="H73" s="248">
        <f t="shared" si="30"/>
        <v>575342.83412928507</v>
      </c>
      <c r="I73" s="248">
        <f t="shared" si="30"/>
        <v>-7460422.3567214105</v>
      </c>
      <c r="J73" s="248">
        <f t="shared" ref="J73" si="31">J67-J69-J70+J71-J72</f>
        <v>-1112243.42226601</v>
      </c>
    </row>
    <row r="74" spans="1:10" x14ac:dyDescent="0.2">
      <c r="A74" s="235">
        <v>70</v>
      </c>
      <c r="B74" s="235"/>
      <c r="C74" s="249"/>
      <c r="D74" s="249"/>
      <c r="E74" s="249"/>
      <c r="F74" s="249"/>
      <c r="G74" s="249"/>
      <c r="H74" s="249"/>
      <c r="I74" s="249"/>
      <c r="J74" s="249"/>
    </row>
    <row r="75" spans="1:10" x14ac:dyDescent="0.2">
      <c r="A75" s="235">
        <v>71</v>
      </c>
      <c r="B75" s="235" t="s">
        <v>109</v>
      </c>
      <c r="C75" s="239">
        <f>SUM(D75:J75)</f>
        <v>0</v>
      </c>
      <c r="D75" s="239">
        <f>C162</f>
        <v>0</v>
      </c>
      <c r="E75" s="239">
        <f>C277</f>
        <v>0</v>
      </c>
      <c r="F75" s="239">
        <f>C391</f>
        <v>0</v>
      </c>
      <c r="G75" s="239">
        <f>C505</f>
        <v>0</v>
      </c>
      <c r="H75" s="239">
        <f>C620</f>
        <v>0</v>
      </c>
      <c r="I75" s="239">
        <f>C735</f>
        <v>0</v>
      </c>
      <c r="J75" s="239">
        <f>D735</f>
        <v>0</v>
      </c>
    </row>
    <row r="76" spans="1:10" x14ac:dyDescent="0.2">
      <c r="A76" s="235">
        <v>72</v>
      </c>
      <c r="B76" s="235" t="s">
        <v>110</v>
      </c>
      <c r="C76" s="239">
        <f>SUM(D76:J76)</f>
        <v>12844684.850817902</v>
      </c>
      <c r="D76" s="239">
        <f>D73-D75</f>
        <v>2064633.1476980187</v>
      </c>
      <c r="E76" s="239">
        <f t="shared" ref="E76:I76" si="32">E73-E75</f>
        <v>11560358.700777743</v>
      </c>
      <c r="F76" s="239">
        <f t="shared" si="32"/>
        <v>7591793.2602305729</v>
      </c>
      <c r="G76" s="239">
        <f t="shared" si="32"/>
        <v>-374777.31303029653</v>
      </c>
      <c r="H76" s="239">
        <f t="shared" si="32"/>
        <v>575342.83412928507</v>
      </c>
      <c r="I76" s="239">
        <f t="shared" si="32"/>
        <v>-7460422.3567214105</v>
      </c>
      <c r="J76" s="239">
        <f t="shared" ref="J76" si="33">J73-J75</f>
        <v>-1112243.42226601</v>
      </c>
    </row>
    <row r="77" spans="1:10" x14ac:dyDescent="0.2">
      <c r="A77" s="235">
        <v>73</v>
      </c>
      <c r="B77" s="235"/>
    </row>
    <row r="78" spans="1:10" x14ac:dyDescent="0.2">
      <c r="A78" s="235">
        <v>74</v>
      </c>
      <c r="B78" s="235" t="s">
        <v>141</v>
      </c>
      <c r="C78" s="249">
        <f>SUM(D78:J78)</f>
        <v>4495639.697786266</v>
      </c>
      <c r="D78" s="249">
        <f>D76*0.35</f>
        <v>722621.60169430648</v>
      </c>
      <c r="E78" s="249">
        <f t="shared" ref="E78:I78" si="34">E76*0.35</f>
        <v>4046125.5452722097</v>
      </c>
      <c r="F78" s="249">
        <f t="shared" si="34"/>
        <v>2657127.6410807003</v>
      </c>
      <c r="G78" s="249">
        <f t="shared" si="34"/>
        <v>-131172.05956060378</v>
      </c>
      <c r="H78" s="249">
        <f t="shared" si="34"/>
        <v>201369.99194524976</v>
      </c>
      <c r="I78" s="249">
        <f t="shared" si="34"/>
        <v>-2611147.8248524936</v>
      </c>
      <c r="J78" s="249">
        <f t="shared" ref="J78" si="35">J76*0.35</f>
        <v>-389285.19779310346</v>
      </c>
    </row>
    <row r="79" spans="1:10" x14ac:dyDescent="0.2">
      <c r="A79" s="235">
        <v>75</v>
      </c>
      <c r="B79" s="235" t="s">
        <v>140</v>
      </c>
      <c r="C79" s="249">
        <f>SUM(D79:J79)</f>
        <v>-667033.44483830314</v>
      </c>
      <c r="D79" s="249">
        <f>'Page 1.5'!D79+'Page 1.6'!D79</f>
        <v>0</v>
      </c>
      <c r="E79" s="249">
        <f>'Page 1.5'!E79+'Page 1.6'!E79</f>
        <v>0</v>
      </c>
      <c r="F79" s="249">
        <f>'Page 1.5'!F79+'Page 1.6'!F79</f>
        <v>0</v>
      </c>
      <c r="G79" s="249">
        <f>'Page 1.5'!G79+'Page 1.6'!G79</f>
        <v>0</v>
      </c>
      <c r="H79" s="249">
        <f>'Page 1.5'!H79+'Page 1.6'!H79</f>
        <v>-661916.82775972039</v>
      </c>
      <c r="I79" s="249">
        <f>'Page 1.5'!I79+'Page 1.6'!I79</f>
        <v>0</v>
      </c>
      <c r="J79" s="249">
        <f>'Page 1.5'!J79+'Page 1.6'!J79</f>
        <v>-5116.6170785827489</v>
      </c>
    </row>
    <row r="80" spans="1:10" ht="13.5" thickBot="1" x14ac:dyDescent="0.25">
      <c r="A80" s="235">
        <v>76</v>
      </c>
      <c r="B80" s="235" t="s">
        <v>141</v>
      </c>
      <c r="C80" s="250">
        <f>SUM(D80:J80)</f>
        <v>3828606.2529479633</v>
      </c>
      <c r="D80" s="250">
        <f>D78+D79</f>
        <v>722621.60169430648</v>
      </c>
      <c r="E80" s="250">
        <f t="shared" ref="E80:I80" si="36">E78+E79</f>
        <v>4046125.5452722097</v>
      </c>
      <c r="F80" s="250">
        <f t="shared" si="36"/>
        <v>2657127.6410807003</v>
      </c>
      <c r="G80" s="250">
        <f t="shared" si="36"/>
        <v>-131172.05956060378</v>
      </c>
      <c r="H80" s="250">
        <f t="shared" si="36"/>
        <v>-460546.83581447066</v>
      </c>
      <c r="I80" s="250">
        <f t="shared" si="36"/>
        <v>-2611147.8248524936</v>
      </c>
      <c r="J80" s="250">
        <f t="shared" ref="J80" si="37">J78+J79</f>
        <v>-394401.81487168622</v>
      </c>
    </row>
    <row r="81" ht="13.5" thickTop="1" x14ac:dyDescent="0.2"/>
  </sheetData>
  <mergeCells count="1">
    <mergeCell ref="B1:I1"/>
  </mergeCells>
  <pageMargins left="0.5" right="0.5" top="0.4" bottom="0.25" header="0.25" footer="0.3"/>
  <pageSetup scale="72" orientation="portrait" r:id="rId1"/>
  <headerFooter>
    <oddHeader>&amp;R&amp;A</oddHead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81"/>
  <sheetViews>
    <sheetView workbookViewId="0">
      <pane ySplit="3" topLeftCell="A4" activePane="bottomLeft" state="frozen"/>
      <selection activeCell="J19" sqref="J19"/>
      <selection pane="bottomLeft" activeCell="F53" sqref="F53"/>
    </sheetView>
  </sheetViews>
  <sheetFormatPr defaultRowHeight="12.75" x14ac:dyDescent="0.2"/>
  <cols>
    <col min="1" max="1" width="5.140625" style="251" customWidth="1"/>
    <col min="2" max="2" width="25.140625" style="251" bestFit="1" customWidth="1"/>
    <col min="3" max="10" width="12.7109375" style="251" customWidth="1"/>
    <col min="11" max="16384" width="9.140625" style="251"/>
  </cols>
  <sheetData>
    <row r="1" spans="1:10" x14ac:dyDescent="0.2">
      <c r="B1" s="320" t="s">
        <v>204</v>
      </c>
      <c r="C1" s="320"/>
      <c r="D1" s="320"/>
      <c r="E1" s="320"/>
      <c r="F1" s="320"/>
      <c r="G1" s="320"/>
      <c r="H1" s="320"/>
      <c r="I1" s="320"/>
      <c r="J1" s="202"/>
    </row>
    <row r="3" spans="1:10" ht="51" x14ac:dyDescent="0.2">
      <c r="C3" s="252" t="s">
        <v>172</v>
      </c>
      <c r="D3" s="252" t="s">
        <v>181</v>
      </c>
      <c r="E3" s="252" t="s">
        <v>182</v>
      </c>
      <c r="F3" s="252" t="s">
        <v>183</v>
      </c>
      <c r="G3" s="252" t="s">
        <v>184</v>
      </c>
      <c r="H3" s="252" t="s">
        <v>185</v>
      </c>
      <c r="I3" s="252" t="s">
        <v>291</v>
      </c>
      <c r="J3" s="252" t="s">
        <v>287</v>
      </c>
    </row>
    <row r="5" spans="1:10" x14ac:dyDescent="0.2">
      <c r="A5" s="253">
        <v>1</v>
      </c>
      <c r="B5" s="253" t="s">
        <v>49</v>
      </c>
    </row>
    <row r="6" spans="1:10" x14ac:dyDescent="0.2">
      <c r="A6" s="253">
        <v>2</v>
      </c>
      <c r="B6" s="253" t="s">
        <v>50</v>
      </c>
      <c r="C6" s="254">
        <f>SUM(D6:J6)</f>
        <v>3905479.1195230857</v>
      </c>
      <c r="D6" s="254">
        <f>SUM('Restating Adj'!C12:K12)</f>
        <v>3905479.1195230857</v>
      </c>
      <c r="E6" s="254">
        <f>SUM('Restating Adj'!L12:AC12)</f>
        <v>0</v>
      </c>
      <c r="F6" s="254">
        <f>SUM('Restating Adj'!AD12:AG12)</f>
        <v>0</v>
      </c>
      <c r="G6" s="254">
        <f>SUM('Restating Adj'!AH12:AQ12)</f>
        <v>0</v>
      </c>
      <c r="H6" s="254">
        <f>SUM('Restating Adj'!AS12:BA12)</f>
        <v>0</v>
      </c>
      <c r="I6" s="254">
        <f>SUM('Restating Adj'!BB12:BV12)</f>
        <v>0</v>
      </c>
      <c r="J6" s="254">
        <f>SUM('Restating Adj'!BW12:BW12)</f>
        <v>0</v>
      </c>
    </row>
    <row r="7" spans="1:10" x14ac:dyDescent="0.2">
      <c r="A7" s="253">
        <v>3</v>
      </c>
      <c r="B7" s="253" t="s">
        <v>51</v>
      </c>
      <c r="C7" s="254">
        <f>SUM(D7:J7)</f>
        <v>0</v>
      </c>
      <c r="D7" s="254">
        <f>SUM('Restating Adj'!C13:K13)</f>
        <v>0</v>
      </c>
      <c r="E7" s="254">
        <f>SUM('Restating Adj'!L13:AC13)</f>
        <v>0</v>
      </c>
      <c r="F7" s="254">
        <f>SUM('Restating Adj'!AD13:AG13)</f>
        <v>0</v>
      </c>
      <c r="G7" s="254">
        <f>SUM('Restating Adj'!AH13:AQ13)</f>
        <v>0</v>
      </c>
      <c r="H7" s="254">
        <f>SUM('Restating Adj'!AS13:BA13)</f>
        <v>0</v>
      </c>
      <c r="I7" s="254">
        <f>SUM('Restating Adj'!BB13:BV13)</f>
        <v>0</v>
      </c>
      <c r="J7" s="254">
        <f>SUM('Restating Adj'!BW13:BW13)</f>
        <v>0</v>
      </c>
    </row>
    <row r="8" spans="1:10" x14ac:dyDescent="0.2">
      <c r="A8" s="253">
        <v>4</v>
      </c>
      <c r="B8" s="253" t="s">
        <v>52</v>
      </c>
      <c r="C8" s="254">
        <f>SUM(D8:J8)</f>
        <v>49115714.281319283</v>
      </c>
      <c r="D8" s="254">
        <f>SUM('Restating Adj'!C14:K14)</f>
        <v>0</v>
      </c>
      <c r="E8" s="254">
        <f>SUM('Restating Adj'!L14:AC14)</f>
        <v>0</v>
      </c>
      <c r="F8" s="254">
        <f>SUM('Restating Adj'!AD14:AG14)</f>
        <v>49115714.281319283</v>
      </c>
      <c r="G8" s="254">
        <f>SUM('Restating Adj'!AH14:AQ14)</f>
        <v>0</v>
      </c>
      <c r="H8" s="254">
        <f>SUM('Restating Adj'!AS14:BA14)</f>
        <v>0</v>
      </c>
      <c r="I8" s="254">
        <f>SUM('Restating Adj'!BB14:BV14)</f>
        <v>0</v>
      </c>
      <c r="J8" s="254">
        <f>SUM('Restating Adj'!BW14:BW14)</f>
        <v>0</v>
      </c>
    </row>
    <row r="9" spans="1:10" x14ac:dyDescent="0.2">
      <c r="A9" s="253">
        <v>5</v>
      </c>
      <c r="B9" s="253" t="s">
        <v>53</v>
      </c>
      <c r="C9" s="254">
        <f>SUM(D9:J9)</f>
        <v>-5636807.1774237705</v>
      </c>
      <c r="D9" s="254">
        <f>SUM('Restating Adj'!C15:K15)</f>
        <v>-2478692.6303431075</v>
      </c>
      <c r="E9" s="254">
        <f>SUM('Restating Adj'!L15:AC15)</f>
        <v>-158114.54708066303</v>
      </c>
      <c r="F9" s="254">
        <f>SUM('Restating Adj'!AD15:AG15)</f>
        <v>0</v>
      </c>
      <c r="G9" s="254">
        <f>SUM('Restating Adj'!AH15:AQ15)</f>
        <v>0</v>
      </c>
      <c r="H9" s="254">
        <f>SUM('Restating Adj'!AS15:BA15)</f>
        <v>0</v>
      </c>
      <c r="I9" s="254">
        <f>SUM('Restating Adj'!BB15:BV15)</f>
        <v>-3000000</v>
      </c>
      <c r="J9" s="254">
        <f>SUM('Restating Adj'!BW15:BW15)</f>
        <v>0</v>
      </c>
    </row>
    <row r="10" spans="1:10" x14ac:dyDescent="0.2">
      <c r="A10" s="253">
        <v>6</v>
      </c>
      <c r="B10" s="253" t="s">
        <v>54</v>
      </c>
      <c r="C10" s="255">
        <f>SUM(C6:C9)</f>
        <v>47384386.223418601</v>
      </c>
      <c r="D10" s="255">
        <f t="shared" ref="D10:I10" si="0">SUM(D6:D9)</f>
        <v>1426786.4891799781</v>
      </c>
      <c r="E10" s="255">
        <f t="shared" si="0"/>
        <v>-158114.54708066303</v>
      </c>
      <c r="F10" s="255">
        <f t="shared" si="0"/>
        <v>49115714.281319283</v>
      </c>
      <c r="G10" s="255">
        <f t="shared" si="0"/>
        <v>0</v>
      </c>
      <c r="H10" s="255">
        <f t="shared" si="0"/>
        <v>0</v>
      </c>
      <c r="I10" s="255">
        <f t="shared" si="0"/>
        <v>-3000000</v>
      </c>
      <c r="J10" s="255">
        <f t="shared" ref="J10" si="1">SUM(J6:J9)</f>
        <v>0</v>
      </c>
    </row>
    <row r="11" spans="1:10" x14ac:dyDescent="0.2">
      <c r="A11" s="253">
        <v>7</v>
      </c>
      <c r="B11" s="253"/>
    </row>
    <row r="12" spans="1:10" x14ac:dyDescent="0.2">
      <c r="A12" s="253">
        <v>8</v>
      </c>
      <c r="B12" s="253" t="s">
        <v>55</v>
      </c>
    </row>
    <row r="13" spans="1:10" x14ac:dyDescent="0.2">
      <c r="A13" s="253">
        <v>9</v>
      </c>
      <c r="B13" s="253" t="s">
        <v>56</v>
      </c>
      <c r="C13" s="254">
        <f t="shared" ref="C13:C22" si="2">SUM(D13:J13)</f>
        <v>2343666.6061982932</v>
      </c>
      <c r="D13" s="254">
        <f>SUM('Restating Adj'!C19:K19)</f>
        <v>0</v>
      </c>
      <c r="E13" s="254">
        <f>SUM('Restating Adj'!L19:AC19)</f>
        <v>-2820.9774436547887</v>
      </c>
      <c r="F13" s="254">
        <f>SUM('Restating Adj'!AD19:AG19)</f>
        <v>2396809.2475024615</v>
      </c>
      <c r="G13" s="254">
        <f>SUM('Restating Adj'!AH19:AQ19)</f>
        <v>-50321.66386051404</v>
      </c>
      <c r="H13" s="254">
        <f>SUM('Restating Adj'!AS19:BA19)</f>
        <v>0</v>
      </c>
      <c r="I13" s="254">
        <f>SUM('Restating Adj'!BB19:BV19)</f>
        <v>0</v>
      </c>
      <c r="J13" s="254">
        <f>SUM('Restating Adj'!BW19:BW19)</f>
        <v>0</v>
      </c>
    </row>
    <row r="14" spans="1:10" x14ac:dyDescent="0.2">
      <c r="A14" s="253">
        <v>10</v>
      </c>
      <c r="B14" s="253" t="s">
        <v>57</v>
      </c>
      <c r="C14" s="254">
        <f t="shared" si="2"/>
        <v>0</v>
      </c>
      <c r="D14" s="254">
        <f>SUM('Restating Adj'!C20:K20)</f>
        <v>0</v>
      </c>
      <c r="E14" s="254">
        <f>SUM('Restating Adj'!L20:AC20)</f>
        <v>0</v>
      </c>
      <c r="F14" s="254">
        <f>SUM('Restating Adj'!AD20:AG20)</f>
        <v>0</v>
      </c>
      <c r="G14" s="254">
        <f>SUM('Restating Adj'!AH20:AQ20)</f>
        <v>0</v>
      </c>
      <c r="H14" s="254">
        <f>SUM('Restating Adj'!AS20:BA20)</f>
        <v>0</v>
      </c>
      <c r="I14" s="254">
        <f>SUM('Restating Adj'!BB20:BV20)</f>
        <v>0</v>
      </c>
      <c r="J14" s="254">
        <f>SUM('Restating Adj'!BW20:BW20)</f>
        <v>0</v>
      </c>
    </row>
    <row r="15" spans="1:10" x14ac:dyDescent="0.2">
      <c r="A15" s="253">
        <v>11</v>
      </c>
      <c r="B15" s="253" t="s">
        <v>58</v>
      </c>
      <c r="C15" s="254">
        <f t="shared" si="2"/>
        <v>-28190.057298298914</v>
      </c>
      <c r="D15" s="254">
        <f>SUM('Restating Adj'!C21:K21)</f>
        <v>0</v>
      </c>
      <c r="E15" s="254">
        <f>SUM('Restating Adj'!L21:AC21)</f>
        <v>-4372.8442091801307</v>
      </c>
      <c r="F15" s="254">
        <f>SUM('Restating Adj'!AD21:AG21)</f>
        <v>0</v>
      </c>
      <c r="G15" s="254">
        <f>SUM('Restating Adj'!AH21:AQ21)</f>
        <v>-16832.982510151043</v>
      </c>
      <c r="H15" s="254">
        <f>SUM('Restating Adj'!AS21:BA21)</f>
        <v>0</v>
      </c>
      <c r="I15" s="254">
        <f>SUM('Restating Adj'!BB21:BV21)</f>
        <v>-6984.2305789677403</v>
      </c>
      <c r="J15" s="254">
        <f>SUM('Restating Adj'!BW21:BW21)</f>
        <v>0</v>
      </c>
    </row>
    <row r="16" spans="1:10" x14ac:dyDescent="0.2">
      <c r="A16" s="253">
        <v>12</v>
      </c>
      <c r="B16" s="253" t="s">
        <v>59</v>
      </c>
      <c r="C16" s="254">
        <f t="shared" si="2"/>
        <v>34773731.224899374</v>
      </c>
      <c r="D16" s="254">
        <f>SUM('Restating Adj'!C22:K22)</f>
        <v>0</v>
      </c>
      <c r="E16" s="254">
        <f>SUM('Restating Adj'!L22:AC22)</f>
        <v>-111314.59635637348</v>
      </c>
      <c r="F16" s="254">
        <f>SUM('Restating Adj'!AD22:AG22)</f>
        <v>34894112.577853382</v>
      </c>
      <c r="G16" s="254">
        <f>SUM('Restating Adj'!AH22:AQ22)</f>
        <v>-9066.7565976280148</v>
      </c>
      <c r="H16" s="254">
        <f>SUM('Restating Adj'!AS22:BA22)</f>
        <v>0</v>
      </c>
      <c r="I16" s="254">
        <f>SUM('Restating Adj'!BB22:BV22)</f>
        <v>0</v>
      </c>
      <c r="J16" s="254">
        <f>SUM('Restating Adj'!BW22:BW22)</f>
        <v>0</v>
      </c>
    </row>
    <row r="17" spans="1:10" x14ac:dyDescent="0.2">
      <c r="A17" s="253">
        <v>13</v>
      </c>
      <c r="B17" s="253" t="s">
        <v>60</v>
      </c>
      <c r="C17" s="254">
        <f t="shared" si="2"/>
        <v>303885.87602022506</v>
      </c>
      <c r="D17" s="254">
        <f>SUM('Restating Adj'!C23:K23)</f>
        <v>-112129.56683175203</v>
      </c>
      <c r="E17" s="254">
        <f>SUM('Restating Adj'!L23:AC23)</f>
        <v>110626.51694973001</v>
      </c>
      <c r="F17" s="254">
        <f>SUM('Restating Adj'!AD23:AG23)</f>
        <v>310072.78129679535</v>
      </c>
      <c r="G17" s="254">
        <f>SUM('Restating Adj'!AH23:AQ23)</f>
        <v>-4683.855394548289</v>
      </c>
      <c r="H17" s="254">
        <f>SUM('Restating Adj'!AS23:BA23)</f>
        <v>0</v>
      </c>
      <c r="I17" s="254">
        <f>SUM('Restating Adj'!BB23:BV23)</f>
        <v>0</v>
      </c>
      <c r="J17" s="254">
        <f>SUM('Restating Adj'!BW23:BW23)</f>
        <v>0</v>
      </c>
    </row>
    <row r="18" spans="1:10" x14ac:dyDescent="0.2">
      <c r="A18" s="253">
        <v>14</v>
      </c>
      <c r="B18" s="253" t="s">
        <v>61</v>
      </c>
      <c r="C18" s="254">
        <f t="shared" si="2"/>
        <v>-371809.61799597944</v>
      </c>
      <c r="D18" s="254">
        <f>SUM('Restating Adj'!C24:K24)</f>
        <v>0</v>
      </c>
      <c r="E18" s="254">
        <f>SUM('Restating Adj'!L24:AC24)</f>
        <v>-353175.59816708212</v>
      </c>
      <c r="F18" s="254">
        <f>SUM('Restating Adj'!AD24:AG24)</f>
        <v>0</v>
      </c>
      <c r="G18" s="254">
        <f>SUM('Restating Adj'!AH24:AQ24)</f>
        <v>-18634.019828897322</v>
      </c>
      <c r="H18" s="254">
        <f>SUM('Restating Adj'!AS24:BA24)</f>
        <v>0</v>
      </c>
      <c r="I18" s="254">
        <f>SUM('Restating Adj'!BB24:BV24)</f>
        <v>0</v>
      </c>
      <c r="J18" s="254">
        <f>SUM('Restating Adj'!BW24:BW24)</f>
        <v>0</v>
      </c>
    </row>
    <row r="19" spans="1:10" x14ac:dyDescent="0.2">
      <c r="A19" s="253">
        <v>15</v>
      </c>
      <c r="B19" s="253" t="s">
        <v>62</v>
      </c>
      <c r="C19" s="254">
        <f t="shared" si="2"/>
        <v>402258.48389767006</v>
      </c>
      <c r="D19" s="254">
        <f>SUM('Restating Adj'!C25:K25)</f>
        <v>0</v>
      </c>
      <c r="E19" s="254">
        <f>SUM('Restating Adj'!L25:AC25)</f>
        <v>412362.87322178128</v>
      </c>
      <c r="F19" s="254">
        <f>SUM('Restating Adj'!AD25:AG25)</f>
        <v>0</v>
      </c>
      <c r="G19" s="254">
        <f>SUM('Restating Adj'!AH25:AQ25)</f>
        <v>-10104.389324111222</v>
      </c>
      <c r="H19" s="254">
        <f>SUM('Restating Adj'!AS25:BA25)</f>
        <v>0</v>
      </c>
      <c r="I19" s="254">
        <f>SUM('Restating Adj'!BB25:BV25)</f>
        <v>0</v>
      </c>
      <c r="J19" s="254">
        <f>SUM('Restating Adj'!BW25:BW25)</f>
        <v>0</v>
      </c>
    </row>
    <row r="20" spans="1:10" x14ac:dyDescent="0.2">
      <c r="A20" s="253">
        <v>16</v>
      </c>
      <c r="B20" s="253" t="s">
        <v>63</v>
      </c>
      <c r="C20" s="254">
        <f t="shared" si="2"/>
        <v>-10683512.888207437</v>
      </c>
      <c r="D20" s="254">
        <f>SUM('Restating Adj'!C26:K26)</f>
        <v>0</v>
      </c>
      <c r="E20" s="254">
        <f>SUM('Restating Adj'!L26:AC26)</f>
        <v>-10681964.924939545</v>
      </c>
      <c r="F20" s="254">
        <f>SUM('Restating Adj'!AD26:AG26)</f>
        <v>0</v>
      </c>
      <c r="G20" s="254">
        <f>SUM('Restating Adj'!AH26:AQ26)</f>
        <v>-1547.9632678918319</v>
      </c>
      <c r="H20" s="254">
        <f>SUM('Restating Adj'!AS26:BA26)</f>
        <v>0</v>
      </c>
      <c r="I20" s="254">
        <f>SUM('Restating Adj'!BB26:BV26)</f>
        <v>0</v>
      </c>
      <c r="J20" s="254">
        <f>SUM('Restating Adj'!BW26:BW26)</f>
        <v>0</v>
      </c>
    </row>
    <row r="21" spans="1:10" x14ac:dyDescent="0.2">
      <c r="A21" s="253">
        <v>17</v>
      </c>
      <c r="B21" s="253" t="s">
        <v>64</v>
      </c>
      <c r="C21" s="254">
        <f t="shared" si="2"/>
        <v>0</v>
      </c>
      <c r="D21" s="254">
        <f>SUM('Restating Adj'!C27:K27)</f>
        <v>0</v>
      </c>
      <c r="E21" s="254">
        <f>SUM('Restating Adj'!L27:AC27)</f>
        <v>0</v>
      </c>
      <c r="F21" s="254">
        <f>SUM('Restating Adj'!AD27:AG27)</f>
        <v>0</v>
      </c>
      <c r="G21" s="254">
        <f>SUM('Restating Adj'!AH27:AQ27)</f>
        <v>0</v>
      </c>
      <c r="H21" s="254">
        <f>SUM('Restating Adj'!AS27:BA27)</f>
        <v>0</v>
      </c>
      <c r="I21" s="254">
        <f>SUM('Restating Adj'!BB27:BV27)</f>
        <v>0</v>
      </c>
      <c r="J21" s="254">
        <f>SUM('Restating Adj'!BW27:BW27)</f>
        <v>0</v>
      </c>
    </row>
    <row r="22" spans="1:10" x14ac:dyDescent="0.2">
      <c r="A22" s="253">
        <v>18</v>
      </c>
      <c r="B22" s="253" t="s">
        <v>65</v>
      </c>
      <c r="C22" s="256">
        <f t="shared" si="2"/>
        <v>-1473130.0604530582</v>
      </c>
      <c r="D22" s="256">
        <f>SUM('Restating Adj'!C28:K28)</f>
        <v>0</v>
      </c>
      <c r="E22" s="254">
        <f>SUM('Restating Adj'!L28:AC28)</f>
        <v>-1620929.6607219675</v>
      </c>
      <c r="F22" s="256">
        <f>SUM('Restating Adj'!AD28:AG28)</f>
        <v>0</v>
      </c>
      <c r="G22" s="256">
        <f>SUM('Restating Adj'!AH28:AQ28)</f>
        <v>-20966.275033748134</v>
      </c>
      <c r="H22" s="254">
        <f>SUM('Restating Adj'!AS28:BA28)</f>
        <v>0</v>
      </c>
      <c r="I22" s="254">
        <f>SUM('Restating Adj'!BB28:BV28)</f>
        <v>168765.87530265757</v>
      </c>
      <c r="J22" s="254">
        <f>SUM('Restating Adj'!BW28:BW28)</f>
        <v>0</v>
      </c>
    </row>
    <row r="23" spans="1:10" x14ac:dyDescent="0.2">
      <c r="A23" s="253">
        <v>19</v>
      </c>
      <c r="B23" s="253" t="s">
        <v>66</v>
      </c>
      <c r="C23" s="257">
        <f>SUM(C13:C22)</f>
        <v>25266899.567060791</v>
      </c>
      <c r="D23" s="257">
        <f t="shared" ref="D23:I23" si="3">SUM(D13:D22)</f>
        <v>-112129.56683175203</v>
      </c>
      <c r="E23" s="257">
        <f t="shared" si="3"/>
        <v>-12251589.211666292</v>
      </c>
      <c r="F23" s="257">
        <f t="shared" si="3"/>
        <v>37600994.60665264</v>
      </c>
      <c r="G23" s="257">
        <f t="shared" si="3"/>
        <v>-132157.9058174899</v>
      </c>
      <c r="H23" s="257">
        <f t="shared" si="3"/>
        <v>0</v>
      </c>
      <c r="I23" s="257">
        <f t="shared" si="3"/>
        <v>161781.64472368982</v>
      </c>
      <c r="J23" s="257">
        <f t="shared" ref="J23" si="4">SUM(J13:J22)</f>
        <v>0</v>
      </c>
    </row>
    <row r="24" spans="1:10" x14ac:dyDescent="0.2">
      <c r="A24" s="253">
        <v>20</v>
      </c>
      <c r="B24" s="253" t="s">
        <v>67</v>
      </c>
      <c r="C24" s="254">
        <f>SUM(D24:J24)</f>
        <v>982571.90635064198</v>
      </c>
      <c r="D24" s="254">
        <f>SUM('Restating Adj'!C30:K30)</f>
        <v>0</v>
      </c>
      <c r="E24" s="254">
        <f>SUM('Restating Adj'!L30:AC30)</f>
        <v>0</v>
      </c>
      <c r="F24" s="254">
        <f>SUM('Restating Adj'!AD30:AG30)</f>
        <v>-428046.01728697837</v>
      </c>
      <c r="G24" s="254">
        <f>SUM('Restating Adj'!AH30:AQ30)</f>
        <v>1428608.4764376204</v>
      </c>
      <c r="H24" s="254">
        <f>SUM('Restating Adj'!AS30:BA30)</f>
        <v>0</v>
      </c>
      <c r="I24" s="254">
        <f>SUM('Restating Adj'!BB30:BV30)</f>
        <v>-17990.552800000001</v>
      </c>
      <c r="J24" s="254">
        <f>SUM('Restating Adj'!BW30:BW30)</f>
        <v>0</v>
      </c>
    </row>
    <row r="25" spans="1:10" x14ac:dyDescent="0.2">
      <c r="A25" s="253">
        <v>21</v>
      </c>
      <c r="B25" s="253" t="s">
        <v>68</v>
      </c>
      <c r="C25" s="254">
        <f>SUM(D25:J25)</f>
        <v>0</v>
      </c>
      <c r="D25" s="254">
        <f>SUM('Restating Adj'!C31:K31)</f>
        <v>0</v>
      </c>
      <c r="E25" s="254">
        <f>SUM('Restating Adj'!L31:AC31)</f>
        <v>0</v>
      </c>
      <c r="F25" s="254">
        <f>SUM('Restating Adj'!AD31:AG31)</f>
        <v>0</v>
      </c>
      <c r="G25" s="254">
        <f>SUM('Restating Adj'!AH31:AQ31)</f>
        <v>0</v>
      </c>
      <c r="H25" s="254">
        <f>SUM('Restating Adj'!AS31:BA31)</f>
        <v>0</v>
      </c>
      <c r="I25" s="254">
        <f>SUM('Restating Adj'!BB31:BV31)</f>
        <v>0</v>
      </c>
      <c r="J25" s="254">
        <f>SUM('Restating Adj'!BW31:BW31)</f>
        <v>0</v>
      </c>
    </row>
    <row r="26" spans="1:10" x14ac:dyDescent="0.2">
      <c r="A26" s="253">
        <v>22</v>
      </c>
      <c r="B26" s="253" t="s">
        <v>69</v>
      </c>
      <c r="C26" s="254">
        <f>SUM(D26:J26)</f>
        <v>-41073.316515808037</v>
      </c>
      <c r="D26" s="254">
        <f>SUM('Restating Adj'!C32:K32)</f>
        <v>0</v>
      </c>
      <c r="E26" s="254">
        <f>SUM('Restating Adj'!L32:AC32)</f>
        <v>0</v>
      </c>
      <c r="F26" s="254">
        <f>SUM('Restating Adj'!AD32:AG32)</f>
        <v>-41073.316515808037</v>
      </c>
      <c r="G26" s="254">
        <f>SUM('Restating Adj'!AH32:AQ32)</f>
        <v>0</v>
      </c>
      <c r="H26" s="254">
        <f>SUM('Restating Adj'!AS32:BA32)</f>
        <v>0</v>
      </c>
      <c r="I26" s="254">
        <f>SUM('Restating Adj'!BB32:BV32)</f>
        <v>0</v>
      </c>
      <c r="J26" s="254">
        <f>SUM('Restating Adj'!BW32:BW32)</f>
        <v>0</v>
      </c>
    </row>
    <row r="27" spans="1:10" x14ac:dyDescent="0.2">
      <c r="A27" s="253">
        <v>23</v>
      </c>
      <c r="B27" s="253" t="s">
        <v>173</v>
      </c>
      <c r="C27" s="254">
        <f>C80</f>
        <v>7614453.0733685261</v>
      </c>
      <c r="D27" s="254">
        <f>SUM('Restating Adj'!C33:K33)</f>
        <v>538620.61960410455</v>
      </c>
      <c r="E27" s="254">
        <f t="shared" ref="E27:I27" si="5">E80</f>
        <v>3812708.034436421</v>
      </c>
      <c r="F27" s="254">
        <f t="shared" si="5"/>
        <v>4071767.5953245503</v>
      </c>
      <c r="G27" s="254">
        <f t="shared" si="5"/>
        <v>-86329.669191532696</v>
      </c>
      <c r="H27" s="254">
        <f t="shared" si="5"/>
        <v>138020.18687424995</v>
      </c>
      <c r="I27" s="254">
        <f t="shared" si="5"/>
        <v>-860333.69367926673</v>
      </c>
      <c r="J27" s="254">
        <f t="shared" ref="J27" si="6">J80</f>
        <v>0</v>
      </c>
    </row>
    <row r="28" spans="1:10" x14ac:dyDescent="0.2">
      <c r="A28" s="253">
        <v>24</v>
      </c>
      <c r="B28" s="253" t="s">
        <v>174</v>
      </c>
      <c r="C28" s="254">
        <f>SUM(D28:J28)</f>
        <v>0</v>
      </c>
      <c r="D28" s="254">
        <f>SUM('Restating Adj'!C34:K34)</f>
        <v>0</v>
      </c>
      <c r="E28" s="254">
        <f>C227</f>
        <v>0</v>
      </c>
      <c r="F28" s="254">
        <f>C341</f>
        <v>0</v>
      </c>
      <c r="G28" s="254">
        <f>C455</f>
        <v>0</v>
      </c>
      <c r="H28" s="254">
        <f>SUM('Restating Adj'!AS34:BA34)</f>
        <v>0</v>
      </c>
      <c r="I28" s="254">
        <f>C685</f>
        <v>0</v>
      </c>
      <c r="J28" s="254">
        <f>D685</f>
        <v>0</v>
      </c>
    </row>
    <row r="29" spans="1:10" x14ac:dyDescent="0.2">
      <c r="A29" s="253">
        <v>25</v>
      </c>
      <c r="B29" s="253" t="s">
        <v>175</v>
      </c>
      <c r="C29" s="254">
        <f>SUM(D29:J29)</f>
        <v>-1131640.190756897</v>
      </c>
      <c r="D29" s="254">
        <f>SUM('Restating Adj'!C35:K35)</f>
        <v>0</v>
      </c>
      <c r="E29" s="254">
        <f>SUM('Restating Adj'!L35:AC35)</f>
        <v>0</v>
      </c>
      <c r="F29" s="254">
        <f>SUM('Restating Adj'!AD35:AG35)</f>
        <v>113105.10250531929</v>
      </c>
      <c r="G29" s="254">
        <f>SUM('Restating Adj'!AH35:AQ35)</f>
        <v>-398407.46247067838</v>
      </c>
      <c r="H29" s="254">
        <f>SUM('Restating Adj'!AS35:BA35)</f>
        <v>-898783.85953784268</v>
      </c>
      <c r="I29" s="254">
        <f>SUM('Restating Adj'!BB35:BV35)</f>
        <v>52446.028746304786</v>
      </c>
      <c r="J29" s="254">
        <f>SUM('Restating Adj'!BW35:BW35)</f>
        <v>0</v>
      </c>
    </row>
    <row r="30" spans="1:10" x14ac:dyDescent="0.2">
      <c r="A30" s="253">
        <v>26</v>
      </c>
      <c r="B30" s="253" t="s">
        <v>73</v>
      </c>
      <c r="C30" s="254">
        <f>SUM(D30:J30)</f>
        <v>0</v>
      </c>
      <c r="D30" s="254">
        <f>SUM('Restating Adj'!C36:K36)</f>
        <v>0</v>
      </c>
      <c r="E30" s="254">
        <f>SUM('Restating Adj'!L36:AC36)</f>
        <v>0</v>
      </c>
      <c r="F30" s="254">
        <f>SUM('Restating Adj'!AD36:AG36)</f>
        <v>0</v>
      </c>
      <c r="G30" s="254">
        <f>SUM('Restating Adj'!AH36:AQ36)</f>
        <v>0</v>
      </c>
      <c r="H30" s="254">
        <f>SUM('Restating Adj'!AS36:BA36)</f>
        <v>0</v>
      </c>
      <c r="I30" s="254">
        <f>SUM('Restating Adj'!BB36:BV36)</f>
        <v>0</v>
      </c>
      <c r="J30" s="254">
        <f>SUM('Restating Adj'!BW36:BW36)</f>
        <v>0</v>
      </c>
    </row>
    <row r="31" spans="1:10" x14ac:dyDescent="0.2">
      <c r="A31" s="253">
        <v>27</v>
      </c>
      <c r="B31" s="253" t="s">
        <v>74</v>
      </c>
      <c r="C31" s="254">
        <f>SUM(D31:J31)</f>
        <v>-3490.1945226639618</v>
      </c>
      <c r="D31" s="254">
        <f>SUM('Restating Adj'!C37:K37)</f>
        <v>0</v>
      </c>
      <c r="E31" s="254">
        <f>SUM('Restating Adj'!L37:AC37)</f>
        <v>-7659.5617953912351</v>
      </c>
      <c r="F31" s="254">
        <f>SUM('Restating Adj'!AD37:AG37)</f>
        <v>0</v>
      </c>
      <c r="G31" s="254">
        <f>SUM('Restating Adj'!AH37:AQ37)</f>
        <v>0</v>
      </c>
      <c r="H31" s="254">
        <f>SUM('Restating Adj'!AS37:BA37)</f>
        <v>0</v>
      </c>
      <c r="I31" s="254">
        <f>SUM('Restating Adj'!BB37:BV37)</f>
        <v>4169.3672727272733</v>
      </c>
      <c r="J31" s="254">
        <f>SUM('Restating Adj'!BW37:BW37)</f>
        <v>0</v>
      </c>
    </row>
    <row r="32" spans="1:10" x14ac:dyDescent="0.2">
      <c r="A32" s="253">
        <v>28</v>
      </c>
      <c r="B32" s="258" t="s">
        <v>75</v>
      </c>
      <c r="C32" s="259">
        <f>SUM(C23:C31)</f>
        <v>32687720.844984587</v>
      </c>
      <c r="D32" s="259">
        <f t="shared" ref="D32:I32" si="7">SUM(D23:D31)</f>
        <v>426491.05277235253</v>
      </c>
      <c r="E32" s="259">
        <f t="shared" si="7"/>
        <v>-8446540.7390252613</v>
      </c>
      <c r="F32" s="259">
        <f t="shared" si="7"/>
        <v>41316747.970679723</v>
      </c>
      <c r="G32" s="259">
        <f t="shared" si="7"/>
        <v>811713.43895791937</v>
      </c>
      <c r="H32" s="259">
        <f t="shared" si="7"/>
        <v>-760763.67266359273</v>
      </c>
      <c r="I32" s="259">
        <f t="shared" si="7"/>
        <v>-659927.2057365448</v>
      </c>
      <c r="J32" s="259">
        <f t="shared" ref="J32" si="8">SUM(J23:J31)</f>
        <v>0</v>
      </c>
    </row>
    <row r="33" spans="1:10" x14ac:dyDescent="0.2">
      <c r="A33" s="253">
        <v>29</v>
      </c>
      <c r="B33" s="253"/>
    </row>
    <row r="34" spans="1:10" ht="13.5" thickBot="1" x14ac:dyDescent="0.25">
      <c r="A34" s="253">
        <v>30</v>
      </c>
      <c r="B34" s="253" t="s">
        <v>76</v>
      </c>
      <c r="C34" s="260">
        <f>C10-C32</f>
        <v>14696665.378434014</v>
      </c>
      <c r="D34" s="260">
        <f t="shared" ref="D34:I34" si="9">D10-D32</f>
        <v>1000295.4364076257</v>
      </c>
      <c r="E34" s="260">
        <f t="shared" si="9"/>
        <v>8288426.1919445982</v>
      </c>
      <c r="F34" s="260">
        <f t="shared" si="9"/>
        <v>7798966.3106395602</v>
      </c>
      <c r="G34" s="260">
        <f t="shared" si="9"/>
        <v>-811713.43895791937</v>
      </c>
      <c r="H34" s="260">
        <f t="shared" si="9"/>
        <v>760763.67266359273</v>
      </c>
      <c r="I34" s="260">
        <f t="shared" si="9"/>
        <v>-2340072.7942634551</v>
      </c>
      <c r="J34" s="260">
        <f t="shared" ref="J34" si="10">J10-J32</f>
        <v>0</v>
      </c>
    </row>
    <row r="35" spans="1:10" ht="13.5" thickTop="1" x14ac:dyDescent="0.2">
      <c r="A35" s="253">
        <v>31</v>
      </c>
      <c r="B35" s="253"/>
    </row>
    <row r="36" spans="1:10" x14ac:dyDescent="0.2">
      <c r="A36" s="253">
        <v>32</v>
      </c>
      <c r="B36" s="253" t="s">
        <v>77</v>
      </c>
    </row>
    <row r="37" spans="1:10" x14ac:dyDescent="0.2">
      <c r="A37" s="253">
        <v>33</v>
      </c>
      <c r="B37" s="253" t="s">
        <v>78</v>
      </c>
      <c r="C37" s="254">
        <f t="shared" ref="C37:C47" si="11">SUM(D37:J37)</f>
        <v>40813248.065794274</v>
      </c>
      <c r="D37" s="254">
        <f>SUM('Restating Adj'!C43:K43)</f>
        <v>0</v>
      </c>
      <c r="E37" s="254">
        <f>SUM('Restating Adj'!L43:AC43)</f>
        <v>0</v>
      </c>
      <c r="F37" s="254">
        <f>SUM('Restating Adj'!AD43:AG43)</f>
        <v>-28327255.80891481</v>
      </c>
      <c r="G37" s="254">
        <f>SUM('Restating Adj'!AH43:AQ43)</f>
        <v>0</v>
      </c>
      <c r="H37" s="254">
        <f>SUM('Restating Adj'!AS43:BA43)</f>
        <v>0</v>
      </c>
      <c r="I37" s="254">
        <f>SUM('Restating Adj'!BB43:BV43)</f>
        <v>69140503.874709085</v>
      </c>
      <c r="J37" s="254">
        <f>SUM('Restating Adj'!BW43:BW43)</f>
        <v>0</v>
      </c>
    </row>
    <row r="38" spans="1:10" x14ac:dyDescent="0.2">
      <c r="A38" s="253">
        <v>34</v>
      </c>
      <c r="B38" s="253" t="s">
        <v>79</v>
      </c>
      <c r="C38" s="254">
        <f t="shared" si="11"/>
        <v>0</v>
      </c>
      <c r="D38" s="254">
        <f>SUM('Restating Adj'!C44:K44)</f>
        <v>0</v>
      </c>
      <c r="E38" s="254">
        <f>SUM('Restating Adj'!L44:AC44)</f>
        <v>0</v>
      </c>
      <c r="F38" s="254">
        <f>SUM('Restating Adj'!AD44:AG44)</f>
        <v>0</v>
      </c>
      <c r="G38" s="254">
        <f>SUM('Restating Adj'!AH44:AQ44)</f>
        <v>0</v>
      </c>
      <c r="H38" s="254">
        <f>SUM('Restating Adj'!AS44:BA44)</f>
        <v>0</v>
      </c>
      <c r="I38" s="254">
        <f>SUM('Restating Adj'!BB44:BV44)</f>
        <v>0</v>
      </c>
      <c r="J38" s="254">
        <f>SUM('Restating Adj'!BW44:BW44)</f>
        <v>0</v>
      </c>
    </row>
    <row r="39" spans="1:10" x14ac:dyDescent="0.2">
      <c r="A39" s="253">
        <v>35</v>
      </c>
      <c r="B39" s="253" t="s">
        <v>80</v>
      </c>
      <c r="C39" s="254">
        <f t="shared" si="11"/>
        <v>-5468734.5442685261</v>
      </c>
      <c r="D39" s="254">
        <f>SUM('Restating Adj'!C45:K45)</f>
        <v>0</v>
      </c>
      <c r="E39" s="254">
        <f>SUM('Restating Adj'!L45:AC45)</f>
        <v>0</v>
      </c>
      <c r="F39" s="254">
        <f>SUM('Restating Adj'!AD45:AG45)</f>
        <v>0</v>
      </c>
      <c r="G39" s="254">
        <f>SUM('Restating Adj'!AH45:AQ45)</f>
        <v>0</v>
      </c>
      <c r="H39" s="254">
        <f>SUM('Restating Adj'!AS45:BA45)</f>
        <v>0</v>
      </c>
      <c r="I39" s="254">
        <f>SUM('Restating Adj'!BB45:BV45)</f>
        <v>-5468734.5442685261</v>
      </c>
      <c r="J39" s="254">
        <f>SUM('Restating Adj'!BW45:BW45)</f>
        <v>0</v>
      </c>
    </row>
    <row r="40" spans="1:10" x14ac:dyDescent="0.2">
      <c r="A40" s="253">
        <v>36</v>
      </c>
      <c r="B40" s="253" t="s">
        <v>81</v>
      </c>
      <c r="C40" s="254">
        <f t="shared" si="11"/>
        <v>0</v>
      </c>
      <c r="D40" s="254">
        <f>SUM('Restating Adj'!C46:K46)</f>
        <v>0</v>
      </c>
      <c r="E40" s="254">
        <f>SUM('Restating Adj'!L46:AC46)</f>
        <v>0</v>
      </c>
      <c r="F40" s="254">
        <f>SUM('Restating Adj'!AD46:AG46)</f>
        <v>0</v>
      </c>
      <c r="G40" s="254">
        <f>SUM('Restating Adj'!AH46:AQ46)</f>
        <v>0</v>
      </c>
      <c r="H40" s="254">
        <f>SUM('Restating Adj'!AS46:BA46)</f>
        <v>0</v>
      </c>
      <c r="I40" s="254">
        <f>SUM('Restating Adj'!BB46:BV46)</f>
        <v>0</v>
      </c>
      <c r="J40" s="254">
        <f>SUM('Restating Adj'!BW46:BW46)</f>
        <v>0</v>
      </c>
    </row>
    <row r="41" spans="1:10" x14ac:dyDescent="0.2">
      <c r="A41" s="253">
        <v>37</v>
      </c>
      <c r="B41" s="253" t="s">
        <v>82</v>
      </c>
      <c r="C41" s="254">
        <f t="shared" si="11"/>
        <v>0</v>
      </c>
      <c r="D41" s="254">
        <f>SUM('Restating Adj'!C47:K47)</f>
        <v>0</v>
      </c>
      <c r="E41" s="254">
        <f>SUM('Restating Adj'!L47:AC47)</f>
        <v>0</v>
      </c>
      <c r="F41" s="254">
        <f>SUM('Restating Adj'!AD47:AG47)</f>
        <v>0</v>
      </c>
      <c r="G41" s="254">
        <f>SUM('Restating Adj'!AH47:AQ47)</f>
        <v>0</v>
      </c>
      <c r="H41" s="254">
        <f>SUM('Restating Adj'!AS47:BA47)</f>
        <v>0</v>
      </c>
      <c r="I41" s="254">
        <f>SUM('Restating Adj'!BB47:BV47)</f>
        <v>0</v>
      </c>
      <c r="J41" s="254">
        <f>SUM('Restating Adj'!BW47:BW47)</f>
        <v>0</v>
      </c>
    </row>
    <row r="42" spans="1:10" x14ac:dyDescent="0.2">
      <c r="A42" s="253">
        <v>38</v>
      </c>
      <c r="B42" s="253" t="s">
        <v>83</v>
      </c>
      <c r="C42" s="254">
        <f t="shared" si="11"/>
        <v>-1743278.7185106392</v>
      </c>
      <c r="D42" s="254">
        <f>SUM('Restating Adj'!C48:K48)</f>
        <v>0</v>
      </c>
      <c r="E42" s="254">
        <f>SUM('Restating Adj'!L48:AC48)</f>
        <v>0</v>
      </c>
      <c r="F42" s="254">
        <f>SUM('Restating Adj'!AD48:AG48)</f>
        <v>0</v>
      </c>
      <c r="G42" s="254">
        <f>SUM('Restating Adj'!AH48:AQ48)</f>
        <v>0</v>
      </c>
      <c r="H42" s="254">
        <f>SUM('Restating Adj'!AS48:BA48)</f>
        <v>0</v>
      </c>
      <c r="I42" s="254">
        <f>SUM('Restating Adj'!BB48:BV48)</f>
        <v>-1743278.7185106392</v>
      </c>
      <c r="J42" s="254">
        <f>SUM('Restating Adj'!BW48:BW48)</f>
        <v>0</v>
      </c>
    </row>
    <row r="43" spans="1:10" x14ac:dyDescent="0.2">
      <c r="A43" s="253">
        <v>39</v>
      </c>
      <c r="B43" s="253" t="s">
        <v>84</v>
      </c>
      <c r="C43" s="254">
        <f t="shared" si="11"/>
        <v>-6914148.5720945681</v>
      </c>
      <c r="D43" s="254">
        <f>SUM('Restating Adj'!C49:K49)</f>
        <v>0</v>
      </c>
      <c r="E43" s="254">
        <f>SUM('Restating Adj'!L49:AC49)</f>
        <v>0</v>
      </c>
      <c r="F43" s="254">
        <f>SUM('Restating Adj'!AD49:AG49)</f>
        <v>0</v>
      </c>
      <c r="G43" s="254">
        <f>SUM('Restating Adj'!AH49:AQ49)</f>
        <v>0</v>
      </c>
      <c r="H43" s="254">
        <f>SUM('Restating Adj'!AS49:BA49)</f>
        <v>0</v>
      </c>
      <c r="I43" s="254">
        <f>SUM('Restating Adj'!BB49:BV49)</f>
        <v>-6914148.5720945681</v>
      </c>
      <c r="J43" s="254">
        <f>SUM('Restating Adj'!BW49:BW49)</f>
        <v>0</v>
      </c>
    </row>
    <row r="44" spans="1:10" x14ac:dyDescent="0.2">
      <c r="A44" s="253">
        <v>40</v>
      </c>
      <c r="B44" s="253" t="s">
        <v>85</v>
      </c>
      <c r="C44" s="254">
        <f t="shared" si="11"/>
        <v>-6926884.9266495155</v>
      </c>
      <c r="D44" s="254">
        <f>SUM('Restating Adj'!C50:K50)</f>
        <v>0</v>
      </c>
      <c r="E44" s="254">
        <f>SUM('Restating Adj'!L50:AC50)</f>
        <v>0</v>
      </c>
      <c r="F44" s="254">
        <f>SUM('Restating Adj'!AD50:AG50)</f>
        <v>0</v>
      </c>
      <c r="G44" s="254">
        <f>SUM('Restating Adj'!AH50:AQ50)</f>
        <v>0</v>
      </c>
      <c r="H44" s="254">
        <f>SUM('Restating Adj'!AS50:BA50)</f>
        <v>0</v>
      </c>
      <c r="I44" s="254">
        <f>SUM('Restating Adj'!BB50:BV50)</f>
        <v>-6926884.9266495155</v>
      </c>
      <c r="J44" s="254">
        <f>SUM('Restating Adj'!BW50:BW50)</f>
        <v>0</v>
      </c>
    </row>
    <row r="45" spans="1:10" x14ac:dyDescent="0.2">
      <c r="A45" s="253">
        <v>41</v>
      </c>
      <c r="B45" s="253" t="s">
        <v>86</v>
      </c>
      <c r="C45" s="254">
        <f t="shared" si="11"/>
        <v>28579779.133268069</v>
      </c>
      <c r="D45" s="254">
        <f>SUM('Restating Adj'!C51:K51)</f>
        <v>0</v>
      </c>
      <c r="E45" s="254">
        <f>SUM('Restating Adj'!L51:AC51)</f>
        <v>0</v>
      </c>
      <c r="F45" s="254">
        <f>SUM('Restating Adj'!AD51:AG51)</f>
        <v>0</v>
      </c>
      <c r="G45" s="254">
        <f>SUM('Restating Adj'!AH51:AQ51)</f>
        <v>0</v>
      </c>
      <c r="H45" s="254">
        <f>SUM('Restating Adj'!AS51:BA51)</f>
        <v>0</v>
      </c>
      <c r="I45" s="254">
        <f>SUM('Restating Adj'!BB51:BV51)</f>
        <v>28579779.133268069</v>
      </c>
      <c r="J45" s="254">
        <f>SUM('Restating Adj'!BW51:BW51)</f>
        <v>0</v>
      </c>
    </row>
    <row r="46" spans="1:10" x14ac:dyDescent="0.2">
      <c r="A46" s="253">
        <v>42</v>
      </c>
      <c r="B46" s="253" t="s">
        <v>176</v>
      </c>
      <c r="C46" s="254">
        <f t="shared" si="11"/>
        <v>0</v>
      </c>
      <c r="D46" s="254">
        <f>SUM('Restating Adj'!C52:K52)</f>
        <v>0</v>
      </c>
      <c r="E46" s="254">
        <f>SUM('Restating Adj'!L52:AC52)</f>
        <v>0</v>
      </c>
      <c r="F46" s="254">
        <f>SUM('Restating Adj'!AD52:AG52)</f>
        <v>0</v>
      </c>
      <c r="G46" s="254">
        <f>SUM('Restating Adj'!AH52:AQ52)</f>
        <v>0</v>
      </c>
      <c r="H46" s="254">
        <f>SUM('Restating Adj'!AS52:BA52)</f>
        <v>0</v>
      </c>
      <c r="I46" s="254">
        <f>SUM('Restating Adj'!BB52:BV52)</f>
        <v>0</v>
      </c>
      <c r="J46" s="254">
        <f>SUM('Restating Adj'!BW52:BW52)</f>
        <v>0</v>
      </c>
    </row>
    <row r="47" spans="1:10" x14ac:dyDescent="0.2">
      <c r="A47" s="253">
        <v>43</v>
      </c>
      <c r="B47" s="253" t="s">
        <v>88</v>
      </c>
      <c r="C47" s="254">
        <f t="shared" si="11"/>
        <v>0</v>
      </c>
      <c r="D47" s="261">
        <f>SUM('Restating Adj'!C53:K53)</f>
        <v>0</v>
      </c>
      <c r="E47" s="254">
        <f>SUM('Restating Adj'!L53:AC53)</f>
        <v>0</v>
      </c>
      <c r="F47" s="254">
        <f>SUM('Restating Adj'!AD53:AG53)</f>
        <v>0</v>
      </c>
      <c r="G47" s="254">
        <f>SUM('Restating Adj'!AH53:AQ53)</f>
        <v>0</v>
      </c>
      <c r="H47" s="254">
        <f>SUM('Restating Adj'!AS53:BA53)</f>
        <v>0</v>
      </c>
      <c r="I47" s="254">
        <f>SUM('Restating Adj'!BB53:BV53)</f>
        <v>0</v>
      </c>
      <c r="J47" s="254">
        <f>SUM('Restating Adj'!BW53:BW53)</f>
        <v>0</v>
      </c>
    </row>
    <row r="48" spans="1:10" x14ac:dyDescent="0.2">
      <c r="A48" s="253">
        <v>44</v>
      </c>
      <c r="B48" s="253" t="s">
        <v>89</v>
      </c>
      <c r="C48" s="259">
        <f>SUM(C37:C47)</f>
        <v>48339980.437539093</v>
      </c>
      <c r="D48" s="259">
        <f t="shared" ref="D48:I48" si="12">SUM(D37:D47)</f>
        <v>0</v>
      </c>
      <c r="E48" s="259">
        <f t="shared" si="12"/>
        <v>0</v>
      </c>
      <c r="F48" s="259">
        <f t="shared" si="12"/>
        <v>-28327255.80891481</v>
      </c>
      <c r="G48" s="259">
        <f t="shared" si="12"/>
        <v>0</v>
      </c>
      <c r="H48" s="259">
        <f t="shared" si="12"/>
        <v>0</v>
      </c>
      <c r="I48" s="259">
        <f t="shared" si="12"/>
        <v>76667236.246453896</v>
      </c>
      <c r="J48" s="259">
        <f t="shared" ref="J48" si="13">SUM(J37:J47)</f>
        <v>0</v>
      </c>
    </row>
    <row r="49" spans="1:10" x14ac:dyDescent="0.2">
      <c r="A49" s="253">
        <v>45</v>
      </c>
      <c r="B49" s="285"/>
    </row>
    <row r="50" spans="1:10" x14ac:dyDescent="0.2">
      <c r="A50" s="253">
        <v>46</v>
      </c>
      <c r="B50" s="253" t="s">
        <v>177</v>
      </c>
    </row>
    <row r="51" spans="1:10" x14ac:dyDescent="0.2">
      <c r="A51" s="253">
        <v>47</v>
      </c>
      <c r="B51" s="253" t="s">
        <v>91</v>
      </c>
      <c r="C51" s="254">
        <f t="shared" ref="C51:C57" si="14">SUM(D51:J51)</f>
        <v>-22052912.761320852</v>
      </c>
      <c r="D51" s="254">
        <f>SUM('Restating Adj'!C57:K57)</f>
        <v>0</v>
      </c>
      <c r="E51" s="254">
        <f>SUM('Restating Adj'!L57:AC57)</f>
        <v>0</v>
      </c>
      <c r="F51" s="254">
        <f>SUM('Restating Adj'!AD57:AG57)</f>
        <v>18631294.304746002</v>
      </c>
      <c r="G51" s="254">
        <f>SUM('Restating Adj'!AH57:AQ57)</f>
        <v>-1428608.4764376204</v>
      </c>
      <c r="H51" s="254">
        <f>SUM('Restating Adj'!AS57:BA57)</f>
        <v>0</v>
      </c>
      <c r="I51" s="254">
        <f>SUM('Restating Adj'!BB57:BV57)</f>
        <v>-39255598.589629233</v>
      </c>
      <c r="J51" s="254">
        <f>SUM('Restating Adj'!BW57:BW57)</f>
        <v>0</v>
      </c>
    </row>
    <row r="52" spans="1:10" x14ac:dyDescent="0.2">
      <c r="A52" s="253">
        <v>48</v>
      </c>
      <c r="B52" s="253" t="s">
        <v>92</v>
      </c>
      <c r="C52" s="254">
        <f t="shared" si="14"/>
        <v>0</v>
      </c>
      <c r="D52" s="254">
        <f>SUM('Restating Adj'!C58:K58)</f>
        <v>0</v>
      </c>
      <c r="E52" s="254">
        <f>SUM('Restating Adj'!L58:AC58)</f>
        <v>0</v>
      </c>
      <c r="F52" s="254">
        <f>SUM('Restating Adj'!AD58:AG58)</f>
        <v>0</v>
      </c>
      <c r="G52" s="254">
        <f>SUM('Restating Adj'!AH58:AQ58)</f>
        <v>0</v>
      </c>
      <c r="H52" s="254">
        <f>SUM('Restating Adj'!AS58:BA58)</f>
        <v>0</v>
      </c>
      <c r="I52" s="254">
        <f>SUM('Restating Adj'!BB58:BV58)</f>
        <v>0</v>
      </c>
      <c r="J52" s="254">
        <f>SUM('Restating Adj'!BW58:BW58)</f>
        <v>0</v>
      </c>
    </row>
    <row r="53" spans="1:10" x14ac:dyDescent="0.2">
      <c r="A53" s="253">
        <v>49</v>
      </c>
      <c r="B53" s="253" t="s">
        <v>93</v>
      </c>
      <c r="C53" s="254">
        <f t="shared" si="14"/>
        <v>-13518776.472470958</v>
      </c>
      <c r="D53" s="254">
        <f>SUM('Restating Adj'!C59:K59)</f>
        <v>0</v>
      </c>
      <c r="E53" s="254">
        <f>SUM('Restating Adj'!L59:AC59)</f>
        <v>0</v>
      </c>
      <c r="F53" s="254">
        <f>SUM('Restating Adj'!AD59:AG59)</f>
        <v>1126970.5347474767</v>
      </c>
      <c r="G53" s="254">
        <f>SUM('Restating Adj'!AH59:AQ59)</f>
        <v>398407.46247067838</v>
      </c>
      <c r="H53" s="254">
        <f>SUM('Restating Adj'!AS59:BA59)</f>
        <v>-11054425.242497936</v>
      </c>
      <c r="I53" s="254">
        <f>SUM('Restating Adj'!BB59:BV59)</f>
        <v>-3989729.2271911772</v>
      </c>
      <c r="J53" s="254">
        <f>SUM('Restating Adj'!BW59:BW59)</f>
        <v>0</v>
      </c>
    </row>
    <row r="54" spans="1:10" x14ac:dyDescent="0.2">
      <c r="A54" s="253">
        <v>50</v>
      </c>
      <c r="B54" s="253" t="s">
        <v>94</v>
      </c>
      <c r="C54" s="254">
        <f t="shared" si="14"/>
        <v>1645.6848</v>
      </c>
      <c r="D54" s="254">
        <f>SUM('Restating Adj'!C60:K60)</f>
        <v>0</v>
      </c>
      <c r="E54" s="254">
        <f>SUM('Restating Adj'!L60:AC60)</f>
        <v>0</v>
      </c>
      <c r="F54" s="254">
        <f>SUM('Restating Adj'!AD60:AG60)</f>
        <v>1645.6848</v>
      </c>
      <c r="G54" s="254">
        <f>SUM('Restating Adj'!AH60:AQ60)</f>
        <v>0</v>
      </c>
      <c r="H54" s="254">
        <f>SUM('Restating Adj'!AS60:BA60)</f>
        <v>0</v>
      </c>
      <c r="I54" s="254">
        <f>SUM('Restating Adj'!BB60:BV60)</f>
        <v>0</v>
      </c>
      <c r="J54" s="254">
        <f>SUM('Restating Adj'!BW60:BW60)</f>
        <v>0</v>
      </c>
    </row>
    <row r="55" spans="1:10" x14ac:dyDescent="0.2">
      <c r="A55" s="253">
        <v>51</v>
      </c>
      <c r="B55" s="253" t="s">
        <v>95</v>
      </c>
      <c r="C55" s="254">
        <f t="shared" si="14"/>
        <v>-481414.22831967368</v>
      </c>
      <c r="D55" s="254">
        <f>SUM('Restating Adj'!C61:K61)</f>
        <v>0</v>
      </c>
      <c r="E55" s="254">
        <f>SUM('Restating Adj'!L61:AC61)</f>
        <v>0</v>
      </c>
      <c r="F55" s="254">
        <f>SUM('Restating Adj'!AD61:AG61)</f>
        <v>0</v>
      </c>
      <c r="G55" s="254">
        <f>SUM('Restating Adj'!AH61:AQ61)</f>
        <v>0</v>
      </c>
      <c r="H55" s="254">
        <f>SUM('Restating Adj'!AS61:BA61)</f>
        <v>0</v>
      </c>
      <c r="I55" s="254">
        <f>SUM('Restating Adj'!BB61:BV61)</f>
        <v>-481414.22831967368</v>
      </c>
      <c r="J55" s="254">
        <f>SUM('Restating Adj'!BW61:BW61)</f>
        <v>0</v>
      </c>
    </row>
    <row r="56" spans="1:10" x14ac:dyDescent="0.2">
      <c r="A56" s="253">
        <v>52</v>
      </c>
      <c r="B56" s="253" t="s">
        <v>96</v>
      </c>
      <c r="C56" s="254">
        <f t="shared" si="14"/>
        <v>-3361133.729166666</v>
      </c>
      <c r="D56" s="254">
        <f>SUM('Restating Adj'!C62:K62)</f>
        <v>0</v>
      </c>
      <c r="E56" s="254">
        <f>SUM('Restating Adj'!L62:AC62)</f>
        <v>0</v>
      </c>
      <c r="F56" s="254">
        <f>SUM('Restating Adj'!AD62:AG62)</f>
        <v>0</v>
      </c>
      <c r="G56" s="254">
        <f>SUM('Restating Adj'!AH62:AQ62)</f>
        <v>0</v>
      </c>
      <c r="H56" s="254">
        <f>SUM('Restating Adj'!AS62:BA62)</f>
        <v>0</v>
      </c>
      <c r="I56" s="254">
        <f>SUM('Restating Adj'!BB62:BV62)</f>
        <v>-3361133.729166666</v>
      </c>
      <c r="J56" s="254">
        <f>SUM('Restating Adj'!BW62:BW62)</f>
        <v>0</v>
      </c>
    </row>
    <row r="57" spans="1:10" x14ac:dyDescent="0.2">
      <c r="A57" s="253">
        <v>53</v>
      </c>
      <c r="B57" s="253" t="s">
        <v>178</v>
      </c>
      <c r="C57" s="254">
        <f t="shared" si="14"/>
        <v>3501826.1956963525</v>
      </c>
      <c r="D57" s="254">
        <f>SUM('Restating Adj'!C63:K63)</f>
        <v>0</v>
      </c>
      <c r="E57" s="254">
        <f>SUM('Restating Adj'!L63:AC63)</f>
        <v>0</v>
      </c>
      <c r="F57" s="254">
        <f>SUM('Restating Adj'!AD63:AG63)</f>
        <v>0</v>
      </c>
      <c r="G57" s="254">
        <f>SUM('Restating Adj'!AH63:AQ63)</f>
        <v>0</v>
      </c>
      <c r="H57" s="254">
        <f>SUM('Restating Adj'!AS63:BA63)</f>
        <v>0</v>
      </c>
      <c r="I57" s="254">
        <f>SUM('Restating Adj'!BB63:BV63)</f>
        <v>3501826.1956963525</v>
      </c>
      <c r="J57" s="254">
        <f>SUM('Restating Adj'!BW63:BW63)</f>
        <v>0</v>
      </c>
    </row>
    <row r="58" spans="1:10" x14ac:dyDescent="0.2">
      <c r="A58" s="253">
        <v>54</v>
      </c>
      <c r="B58" s="253"/>
      <c r="F58" s="254"/>
      <c r="G58" s="254"/>
      <c r="I58" s="254"/>
      <c r="J58" s="254"/>
    </row>
    <row r="59" spans="1:10" x14ac:dyDescent="0.2">
      <c r="A59" s="253">
        <v>55</v>
      </c>
      <c r="B59" s="253" t="s">
        <v>179</v>
      </c>
      <c r="C59" s="259">
        <f>SUM(C51:C58)</f>
        <v>-35910765.310781799</v>
      </c>
      <c r="D59" s="259">
        <f t="shared" ref="D59:I59" si="15">SUM(D51:D58)</f>
        <v>0</v>
      </c>
      <c r="E59" s="259">
        <f t="shared" si="15"/>
        <v>0</v>
      </c>
      <c r="F59" s="259">
        <f t="shared" si="15"/>
        <v>19759910.524293479</v>
      </c>
      <c r="G59" s="259">
        <f t="shared" si="15"/>
        <v>-1030201.013966942</v>
      </c>
      <c r="H59" s="259">
        <f t="shared" si="15"/>
        <v>-11054425.242497936</v>
      </c>
      <c r="I59" s="259">
        <f t="shared" si="15"/>
        <v>-43586049.578610398</v>
      </c>
      <c r="J59" s="259">
        <f t="shared" ref="J59" si="16">SUM(J51:J58)</f>
        <v>0</v>
      </c>
    </row>
    <row r="60" spans="1:10" x14ac:dyDescent="0.2">
      <c r="A60" s="253">
        <v>56</v>
      </c>
      <c r="B60" s="253"/>
    </row>
    <row r="61" spans="1:10" ht="13.5" thickBot="1" x14ac:dyDescent="0.25">
      <c r="A61" s="253">
        <v>57</v>
      </c>
      <c r="B61" s="253" t="s">
        <v>99</v>
      </c>
      <c r="C61" s="260">
        <f>C48+C59</f>
        <v>12429215.126757294</v>
      </c>
      <c r="D61" s="260">
        <f t="shared" ref="D61:I61" si="17">D48+D59</f>
        <v>0</v>
      </c>
      <c r="E61" s="260">
        <f t="shared" si="17"/>
        <v>0</v>
      </c>
      <c r="F61" s="260">
        <f t="shared" si="17"/>
        <v>-8567345.2846213318</v>
      </c>
      <c r="G61" s="260">
        <f t="shared" si="17"/>
        <v>-1030201.013966942</v>
      </c>
      <c r="H61" s="260">
        <f t="shared" si="17"/>
        <v>-11054425.242497936</v>
      </c>
      <c r="I61" s="260">
        <f t="shared" si="17"/>
        <v>33081186.667843498</v>
      </c>
      <c r="J61" s="260">
        <f t="shared" ref="J61" si="18">J48+J59</f>
        <v>0</v>
      </c>
    </row>
    <row r="62" spans="1:10" ht="13.5" thickTop="1" x14ac:dyDescent="0.2">
      <c r="A62" s="253">
        <v>58</v>
      </c>
      <c r="B62" s="253"/>
    </row>
    <row r="63" spans="1:10" x14ac:dyDescent="0.2">
      <c r="A63" s="253">
        <v>59</v>
      </c>
      <c r="B63" s="262" t="s">
        <v>180</v>
      </c>
      <c r="C63" s="263">
        <f t="shared" ref="C63" si="19">(((C34+Unadj_Op_revenue)/(C61+Unadj_rate_base))-Weighted_cost_debt-Weighted_cost_pref)/Percent_common-Unadj_ROE</f>
        <v>3.5763139610078445E-2</v>
      </c>
      <c r="D63" s="263">
        <f t="shared" ref="D63:I63" si="20">(((D34+Unadj_Op_revenue)/(D61+Unadj_rate_base))-Weighted_cost_debt-Weighted_cost_pref)/Percent_common-Unadj_ROE</f>
        <v>2.5845164772587276E-3</v>
      </c>
      <c r="E63" s="263">
        <f t="shared" si="20"/>
        <v>2.1415247219916417E-2</v>
      </c>
      <c r="F63" s="263">
        <f t="shared" si="20"/>
        <v>2.1518715156857868E-2</v>
      </c>
      <c r="G63" s="263">
        <f t="shared" si="20"/>
        <v>-1.9634449936895351E-3</v>
      </c>
      <c r="H63" s="263">
        <f t="shared" si="20"/>
        <v>3.4778938728856693E-3</v>
      </c>
      <c r="I63" s="263">
        <f t="shared" si="20"/>
        <v>-1.0005865211886796E-2</v>
      </c>
      <c r="J63" s="263">
        <f t="shared" ref="J63" si="21">(((J34+Unadj_Op_revenue)/(J61+Unadj_rate_base))-Weighted_cost_debt-Weighted_cost_pref)/Percent_common-Unadj_ROE</f>
        <v>0</v>
      </c>
    </row>
    <row r="64" spans="1:10" x14ac:dyDescent="0.2">
      <c r="A64" s="253">
        <v>60</v>
      </c>
      <c r="B64" s="245" t="s">
        <v>47</v>
      </c>
      <c r="C64" s="264">
        <f t="shared" ref="C64" si="22">-(C34-(C61*Overall_ROR))/gross_up_factor</f>
        <v>-22257013.435849778</v>
      </c>
      <c r="D64" s="264">
        <f t="shared" ref="D64:I64" si="23">-(D34-(D61*Overall_ROR))/gross_up_factor</f>
        <v>-1614551.5881004368</v>
      </c>
      <c r="E64" s="264">
        <f t="shared" si="23"/>
        <v>-13378139.281647321</v>
      </c>
      <c r="F64" s="264">
        <f t="shared" si="23"/>
        <v>-13597582.949587468</v>
      </c>
      <c r="G64" s="264">
        <f t="shared" si="23"/>
        <v>1188780.1871331329</v>
      </c>
      <c r="H64" s="264">
        <f t="shared" si="23"/>
        <v>-2530444.2181679318</v>
      </c>
      <c r="I64" s="264">
        <f t="shared" si="23"/>
        <v>7674924.4145202646</v>
      </c>
      <c r="J64" s="264">
        <f t="shared" ref="J64" si="24">-(J34-(J61*Overall_ROR))/gross_up_factor</f>
        <v>0</v>
      </c>
    </row>
    <row r="65" spans="1:10" x14ac:dyDescent="0.2">
      <c r="A65" s="253">
        <v>61</v>
      </c>
      <c r="B65" s="253"/>
    </row>
    <row r="66" spans="1:10" x14ac:dyDescent="0.2">
      <c r="A66" s="253">
        <v>62</v>
      </c>
      <c r="B66" s="253" t="s">
        <v>101</v>
      </c>
    </row>
    <row r="67" spans="1:10" x14ac:dyDescent="0.2">
      <c r="A67" s="253">
        <v>63</v>
      </c>
      <c r="B67" s="253" t="s">
        <v>102</v>
      </c>
      <c r="C67" s="265">
        <f>SUM(D67:J67)</f>
        <v>21179478.261045635</v>
      </c>
      <c r="D67" s="265">
        <f t="shared" ref="D67:I67" si="25">D10-D23-D24-D25-D26-D31</f>
        <v>1538916.0560117301</v>
      </c>
      <c r="E67" s="265">
        <f t="shared" si="25"/>
        <v>12101134.226381019</v>
      </c>
      <c r="F67" s="265">
        <f t="shared" si="25"/>
        <v>11983839.008469431</v>
      </c>
      <c r="G67" s="265">
        <f t="shared" si="25"/>
        <v>-1296450.5706201305</v>
      </c>
      <c r="H67" s="265">
        <f t="shared" si="25"/>
        <v>0</v>
      </c>
      <c r="I67" s="265">
        <f t="shared" si="25"/>
        <v>-3147960.4591964167</v>
      </c>
      <c r="J67" s="265">
        <f t="shared" ref="J67" si="26">J10-J23-J24-J25-J26-J31</f>
        <v>0</v>
      </c>
    </row>
    <row r="68" spans="1:10" x14ac:dyDescent="0.2">
      <c r="A68" s="253">
        <v>64</v>
      </c>
      <c r="B68" s="253" t="s">
        <v>103</v>
      </c>
      <c r="C68" s="265">
        <v>0</v>
      </c>
      <c r="D68" s="15">
        <f>SUM('Restating Adj'!C75:J75)</f>
        <v>0</v>
      </c>
      <c r="E68" s="15">
        <f>SUM('Restating Adj'!L75:AC75)</f>
        <v>0</v>
      </c>
      <c r="F68" s="15">
        <f>SUM('Restating Adj'!AD75:AG75)</f>
        <v>0</v>
      </c>
      <c r="G68" s="15">
        <f>SUM('Restating Adj'!AH75:AQ75)</f>
        <v>0</v>
      </c>
      <c r="H68" s="15">
        <f>SUM('Restating Adj'!AS75:BA75)</f>
        <v>0</v>
      </c>
      <c r="I68" s="15">
        <f>SUM('Restating Adj'!BB75:BV75)</f>
        <v>0</v>
      </c>
      <c r="J68" s="15">
        <f>SUM('Restating Adj'!BW75:BW75)</f>
        <v>0</v>
      </c>
    </row>
    <row r="69" spans="1:10" x14ac:dyDescent="0.2">
      <c r="A69" s="253">
        <v>65</v>
      </c>
      <c r="B69" s="253" t="s">
        <v>104</v>
      </c>
      <c r="C69" s="265">
        <f>SUM(D69:J69)</f>
        <v>0</v>
      </c>
      <c r="D69" s="265">
        <f>SUM('Restating Adj'!C76:J76)</f>
        <v>0</v>
      </c>
      <c r="E69" s="254">
        <f>SUM('Restating Adj'!L76:AC76)</f>
        <v>0</v>
      </c>
      <c r="F69" s="265">
        <f>SUM('Restating Adj'!AD76:AG76)</f>
        <v>0</v>
      </c>
      <c r="G69" s="265">
        <f>SUM('Restating Adj'!AH76:AQ76)</f>
        <v>0</v>
      </c>
      <c r="H69" s="254">
        <f>SUM('Restating Adj'!AS76:BA76)</f>
        <v>0</v>
      </c>
      <c r="I69" s="254">
        <f>SUM('Restating Adj'!BB76:BV76)</f>
        <v>0</v>
      </c>
      <c r="J69" s="254">
        <f>SUM('Restating Adj'!BW76:BW76)</f>
        <v>0</v>
      </c>
    </row>
    <row r="70" spans="1:10" x14ac:dyDescent="0.2">
      <c r="A70" s="253">
        <v>66</v>
      </c>
      <c r="B70" s="253" t="s">
        <v>105</v>
      </c>
      <c r="C70" s="265">
        <f>SUM(D70:J70)</f>
        <v>-394343.39106928557</v>
      </c>
      <c r="D70" s="265">
        <f>SUM('Restating Adj'!C77:J77)</f>
        <v>0</v>
      </c>
      <c r="E70" s="254">
        <f>SUM('Restating Adj'!L77:AC77)</f>
        <v>0</v>
      </c>
      <c r="F70" s="265">
        <f>SUM('Restating Adj'!AD77:AG77)</f>
        <v>0</v>
      </c>
      <c r="G70" s="265">
        <f>SUM('Restating Adj'!AH77:AQ77)</f>
        <v>0</v>
      </c>
      <c r="H70" s="254">
        <f>SUM('Restating Adj'!AS77:BA77)</f>
        <v>-394343.39106928557</v>
      </c>
      <c r="I70" s="254">
        <f>SUM('Restating Adj'!BB77:BV77)</f>
        <v>0</v>
      </c>
      <c r="J70" s="254">
        <f>SUM('Restating Adj'!BW77:BW77)</f>
        <v>0</v>
      </c>
    </row>
    <row r="71" spans="1:10" x14ac:dyDescent="0.2">
      <c r="A71" s="253">
        <v>67</v>
      </c>
      <c r="B71" s="258" t="s">
        <v>106</v>
      </c>
      <c r="C71" s="265">
        <f>SUM(D71:J71)</f>
        <v>722834.51554850524</v>
      </c>
      <c r="D71" s="265">
        <f>SUM('Restating Adj'!C78:J78)</f>
        <v>0</v>
      </c>
      <c r="E71" s="254">
        <f>SUM('Restating Adj'!L78:AC78)</f>
        <v>47838.41379794394</v>
      </c>
      <c r="F71" s="265">
        <f>SUM('Restating Adj'!AD78:AG78)</f>
        <v>-52188</v>
      </c>
      <c r="G71" s="265">
        <f>SUM('Restating Adj'!AH78:AQ78)</f>
        <v>1049794.3729300371</v>
      </c>
      <c r="H71" s="254">
        <f>SUM('Restating Adj'!AS78:BA78)</f>
        <v>0</v>
      </c>
      <c r="I71" s="254">
        <f>SUM('Restating Adj'!BB78:BV78)</f>
        <v>-322610.27117947582</v>
      </c>
      <c r="J71" s="254">
        <f>SUM('Restating Adj'!BW78:BW78)</f>
        <v>0</v>
      </c>
    </row>
    <row r="72" spans="1:10" x14ac:dyDescent="0.2">
      <c r="A72" s="253">
        <v>68</v>
      </c>
      <c r="B72" s="258" t="s">
        <v>107</v>
      </c>
      <c r="C72" s="266">
        <f>SUM(D72:J72)</f>
        <v>541075.95803906047</v>
      </c>
      <c r="D72" s="266">
        <f>SUM('Restating Adj'!C79:J79)</f>
        <v>0</v>
      </c>
      <c r="E72" s="254">
        <f>SUM('Restating Adj'!L79:AC79)</f>
        <v>1255521.1132177606</v>
      </c>
      <c r="F72" s="266">
        <f>SUM('Restating Adj'!AD79:AG79)</f>
        <v>298029.30754214432</v>
      </c>
      <c r="G72" s="266">
        <f>SUM('Restating Adj'!AH79:AQ79)</f>
        <v>0</v>
      </c>
      <c r="H72" s="254">
        <f>SUM('Restating Adj'!AS79:BA79)</f>
        <v>0</v>
      </c>
      <c r="I72" s="254">
        <f>SUM('Restating Adj'!BB79:BV79)</f>
        <v>-1012474.4627208444</v>
      </c>
      <c r="J72" s="254">
        <f>SUM('Restating Adj'!BW79:BW79)</f>
        <v>0</v>
      </c>
    </row>
    <row r="73" spans="1:10" x14ac:dyDescent="0.2">
      <c r="A73" s="253">
        <v>69</v>
      </c>
      <c r="B73" s="258" t="s">
        <v>108</v>
      </c>
      <c r="C73" s="267">
        <f>SUM(D73:J73)</f>
        <v>21755580.209624369</v>
      </c>
      <c r="D73" s="267">
        <f>D67-D69-D70+D71-D72</f>
        <v>1538916.0560117301</v>
      </c>
      <c r="E73" s="267">
        <f t="shared" ref="E73:I73" si="27">E67-E69-E70+E71-E72</f>
        <v>10893451.526961204</v>
      </c>
      <c r="F73" s="267">
        <f t="shared" si="27"/>
        <v>11633621.700927287</v>
      </c>
      <c r="G73" s="267">
        <f t="shared" si="27"/>
        <v>-246656.19769009342</v>
      </c>
      <c r="H73" s="267">
        <f t="shared" si="27"/>
        <v>394343.39106928557</v>
      </c>
      <c r="I73" s="267">
        <f t="shared" si="27"/>
        <v>-2458096.2676550481</v>
      </c>
      <c r="J73" s="267">
        <f t="shared" ref="J73" si="28">J67-J69-J70+J71-J72</f>
        <v>0</v>
      </c>
    </row>
    <row r="74" spans="1:10" x14ac:dyDescent="0.2">
      <c r="A74" s="253">
        <v>70</v>
      </c>
      <c r="B74" s="253"/>
      <c r="C74" s="266"/>
      <c r="D74" s="266"/>
      <c r="E74" s="266"/>
      <c r="F74" s="266"/>
      <c r="G74" s="266"/>
      <c r="H74" s="266"/>
      <c r="I74" s="266"/>
      <c r="J74" s="266"/>
    </row>
    <row r="75" spans="1:10" x14ac:dyDescent="0.2">
      <c r="A75" s="253">
        <v>71</v>
      </c>
      <c r="B75" s="253" t="s">
        <v>109</v>
      </c>
      <c r="C75" s="265">
        <f>SUM(D75:J75)</f>
        <v>0</v>
      </c>
      <c r="D75" s="265">
        <f>C162</f>
        <v>0</v>
      </c>
      <c r="E75" s="265">
        <f>C277</f>
        <v>0</v>
      </c>
      <c r="F75" s="265">
        <f>C391</f>
        <v>0</v>
      </c>
      <c r="G75" s="265">
        <f>C505</f>
        <v>0</v>
      </c>
      <c r="H75" s="265">
        <f>C620</f>
        <v>0</v>
      </c>
      <c r="I75" s="265">
        <f>C735</f>
        <v>0</v>
      </c>
      <c r="J75" s="265">
        <f>D735</f>
        <v>0</v>
      </c>
    </row>
    <row r="76" spans="1:10" x14ac:dyDescent="0.2">
      <c r="A76" s="253">
        <v>72</v>
      </c>
      <c r="B76" s="253" t="s">
        <v>110</v>
      </c>
      <c r="C76" s="265">
        <f>SUM(D76:J76)</f>
        <v>21755580.209624369</v>
      </c>
      <c r="D76" s="265">
        <f>D73-D75</f>
        <v>1538916.0560117301</v>
      </c>
      <c r="E76" s="265">
        <f t="shared" ref="E76:I76" si="29">E73-E75</f>
        <v>10893451.526961204</v>
      </c>
      <c r="F76" s="265">
        <f t="shared" si="29"/>
        <v>11633621.700927287</v>
      </c>
      <c r="G76" s="265">
        <f t="shared" si="29"/>
        <v>-246656.19769009342</v>
      </c>
      <c r="H76" s="265">
        <f t="shared" si="29"/>
        <v>394343.39106928557</v>
      </c>
      <c r="I76" s="265">
        <f t="shared" si="29"/>
        <v>-2458096.2676550481</v>
      </c>
      <c r="J76" s="265">
        <f t="shared" ref="J76" si="30">J73-J75</f>
        <v>0</v>
      </c>
    </row>
    <row r="77" spans="1:10" x14ac:dyDescent="0.2">
      <c r="A77" s="253">
        <v>73</v>
      </c>
      <c r="B77" s="253"/>
    </row>
    <row r="78" spans="1:10" x14ac:dyDescent="0.2">
      <c r="A78" s="253">
        <v>74</v>
      </c>
      <c r="B78" s="253" t="s">
        <v>141</v>
      </c>
      <c r="C78" s="266">
        <f>SUM(D78:J78)</f>
        <v>7614453.0733685261</v>
      </c>
      <c r="D78" s="266">
        <f>D76*0.35</f>
        <v>538620.61960410548</v>
      </c>
      <c r="E78" s="266">
        <f t="shared" ref="E78:I78" si="31">E76*0.35</f>
        <v>3812708.034436421</v>
      </c>
      <c r="F78" s="266">
        <f t="shared" si="31"/>
        <v>4071767.5953245503</v>
      </c>
      <c r="G78" s="266">
        <f t="shared" si="31"/>
        <v>-86329.669191532696</v>
      </c>
      <c r="H78" s="266">
        <f t="shared" si="31"/>
        <v>138020.18687424995</v>
      </c>
      <c r="I78" s="266">
        <f t="shared" si="31"/>
        <v>-860333.69367926673</v>
      </c>
      <c r="J78" s="266">
        <f t="shared" ref="J78" si="32">J76*0.35</f>
        <v>0</v>
      </c>
    </row>
    <row r="79" spans="1:10" x14ac:dyDescent="0.2">
      <c r="A79" s="253">
        <v>75</v>
      </c>
      <c r="B79" s="253" t="s">
        <v>140</v>
      </c>
      <c r="C79" s="266">
        <f>SUM(D79:J79)</f>
        <v>0</v>
      </c>
      <c r="D79" s="265">
        <f>SUM('Restating Adj'!C86:J86)</f>
        <v>0</v>
      </c>
      <c r="E79" s="254">
        <f>SUM('Restating Adj'!L86:AC86)</f>
        <v>0</v>
      </c>
      <c r="F79" s="265">
        <f>SUM('Restating Adj'!AD86:AG86)</f>
        <v>0</v>
      </c>
      <c r="G79" s="265">
        <f>SUM('Restating Adj'!AH86:AQ86)</f>
        <v>0</v>
      </c>
      <c r="H79" s="254">
        <f>SUM('Restating Adj'!AS86:BA86)</f>
        <v>0</v>
      </c>
      <c r="I79" s="254">
        <f>SUM('Restating Adj'!BB86:BV86)</f>
        <v>0</v>
      </c>
      <c r="J79" s="254">
        <f>SUM('Restating Adj'!BW86:BW86)</f>
        <v>0</v>
      </c>
    </row>
    <row r="80" spans="1:10" ht="13.5" thickBot="1" x14ac:dyDescent="0.25">
      <c r="A80" s="253">
        <v>76</v>
      </c>
      <c r="B80" s="253" t="s">
        <v>141</v>
      </c>
      <c r="C80" s="268">
        <f>SUM(D80:J80)</f>
        <v>7614453.0733685261</v>
      </c>
      <c r="D80" s="268">
        <f>D78+D79</f>
        <v>538620.61960410548</v>
      </c>
      <c r="E80" s="268">
        <f t="shared" ref="E80:I80" si="33">E78+E79</f>
        <v>3812708.034436421</v>
      </c>
      <c r="F80" s="268">
        <f t="shared" si="33"/>
        <v>4071767.5953245503</v>
      </c>
      <c r="G80" s="268">
        <f t="shared" si="33"/>
        <v>-86329.669191532696</v>
      </c>
      <c r="H80" s="268">
        <f t="shared" si="33"/>
        <v>138020.18687424995</v>
      </c>
      <c r="I80" s="268">
        <f t="shared" si="33"/>
        <v>-860333.69367926673</v>
      </c>
      <c r="J80" s="268">
        <f t="shared" ref="J80" si="34">J78+J79</f>
        <v>0</v>
      </c>
    </row>
    <row r="81" ht="13.5" thickTop="1" x14ac:dyDescent="0.2"/>
  </sheetData>
  <mergeCells count="1">
    <mergeCell ref="B1:I1"/>
  </mergeCells>
  <pageMargins left="0.5" right="0.5" top="0.4" bottom="0.25" header="0.25" footer="0.3"/>
  <pageSetup scale="72" orientation="portrait" r:id="rId1"/>
  <headerFooter>
    <oddHeader>&amp;R&amp;A</oddHead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81"/>
  <sheetViews>
    <sheetView workbookViewId="0">
      <pane ySplit="3" topLeftCell="A31" activePane="bottomLeft" state="frozen"/>
      <selection activeCell="J19" sqref="J19"/>
      <selection pane="bottomLeft" activeCell="H37" sqref="H37"/>
    </sheetView>
  </sheetViews>
  <sheetFormatPr defaultRowHeight="12.75" x14ac:dyDescent="0.2"/>
  <cols>
    <col min="1" max="1" width="5.140625" style="251" customWidth="1"/>
    <col min="2" max="2" width="25.140625" style="251" bestFit="1" customWidth="1"/>
    <col min="3" max="10" width="12.7109375" style="251" customWidth="1"/>
    <col min="11" max="16384" width="9.140625" style="251"/>
  </cols>
  <sheetData>
    <row r="1" spans="1:10" x14ac:dyDescent="0.2">
      <c r="B1" s="320" t="s">
        <v>246</v>
      </c>
      <c r="C1" s="320"/>
      <c r="D1" s="320"/>
      <c r="E1" s="320"/>
      <c r="F1" s="320"/>
      <c r="G1" s="320"/>
      <c r="H1" s="320"/>
      <c r="I1" s="320"/>
      <c r="J1" s="202"/>
    </row>
    <row r="3" spans="1:10" ht="51" x14ac:dyDescent="0.2">
      <c r="C3" s="252" t="s">
        <v>172</v>
      </c>
      <c r="D3" s="252" t="s">
        <v>181</v>
      </c>
      <c r="E3" s="252" t="s">
        <v>182</v>
      </c>
      <c r="F3" s="252" t="s">
        <v>183</v>
      </c>
      <c r="G3" s="252" t="s">
        <v>184</v>
      </c>
      <c r="H3" s="252" t="s">
        <v>185</v>
      </c>
      <c r="I3" s="252" t="s">
        <v>291</v>
      </c>
      <c r="J3" s="252" t="s">
        <v>287</v>
      </c>
    </row>
    <row r="5" spans="1:10" x14ac:dyDescent="0.2">
      <c r="A5" s="253">
        <v>1</v>
      </c>
      <c r="B5" s="253" t="s">
        <v>49</v>
      </c>
    </row>
    <row r="6" spans="1:10" x14ac:dyDescent="0.2">
      <c r="A6" s="253">
        <v>2</v>
      </c>
      <c r="B6" s="253" t="s">
        <v>50</v>
      </c>
      <c r="C6" s="254">
        <f>SUM(D6:J6)</f>
        <v>0</v>
      </c>
      <c r="D6" s="254">
        <f>SUM('Pro Forma Adj'!C12:K12)</f>
        <v>0</v>
      </c>
      <c r="E6" s="254">
        <f>SUM('Pro Forma Adj'!L12:AC12)</f>
        <v>0</v>
      </c>
      <c r="F6" s="254">
        <f>SUM('Pro Forma Adj'!AD12:AG12)</f>
        <v>0</v>
      </c>
      <c r="G6" s="254">
        <f>SUM('Pro Forma Adj'!AH12:AR12)</f>
        <v>0</v>
      </c>
      <c r="H6" s="254">
        <f>SUM('Pro Forma Adj'!AS12:BA12)</f>
        <v>0</v>
      </c>
      <c r="I6" s="254">
        <f>SUM('Pro Forma Adj'!BB12:BV12)</f>
        <v>0</v>
      </c>
      <c r="J6" s="254">
        <f>SUM('Pro Forma Adj'!BW12:BX12)</f>
        <v>0</v>
      </c>
    </row>
    <row r="7" spans="1:10" x14ac:dyDescent="0.2">
      <c r="A7" s="253">
        <v>3</v>
      </c>
      <c r="B7" s="253" t="s">
        <v>51</v>
      </c>
      <c r="C7" s="254">
        <f>SUM(D7:J7)</f>
        <v>0</v>
      </c>
      <c r="D7" s="254">
        <f>SUM('Pro Forma Adj'!C13:K13)</f>
        <v>0</v>
      </c>
      <c r="E7" s="254">
        <f>SUM('Pro Forma Adj'!L13:AC13)</f>
        <v>0</v>
      </c>
      <c r="F7" s="254">
        <f>SUM('Pro Forma Adj'!AD13:AG13)</f>
        <v>0</v>
      </c>
      <c r="G7" s="254">
        <f>SUM('Pro Forma Adj'!AH13:AR13)</f>
        <v>0</v>
      </c>
      <c r="H7" s="254">
        <f>SUM('Pro Forma Adj'!AS13:BA13)</f>
        <v>0</v>
      </c>
      <c r="I7" s="254">
        <f>SUM('Pro Forma Adj'!BB13:BV13)</f>
        <v>0</v>
      </c>
      <c r="J7" s="254">
        <f>SUM('Pro Forma Adj'!BW13:BX13)</f>
        <v>0</v>
      </c>
    </row>
    <row r="8" spans="1:10" x14ac:dyDescent="0.2">
      <c r="A8" s="253">
        <v>4</v>
      </c>
      <c r="B8" s="253" t="s">
        <v>52</v>
      </c>
      <c r="C8" s="254">
        <f>SUM(D8:J8)</f>
        <v>-45696518.794511281</v>
      </c>
      <c r="D8" s="254">
        <f>SUM('Pro Forma Adj'!C14:K14)</f>
        <v>0</v>
      </c>
      <c r="E8" s="254">
        <f>SUM('Pro Forma Adj'!L14:AC14)</f>
        <v>0</v>
      </c>
      <c r="F8" s="254">
        <f>SUM('Pro Forma Adj'!AD14:AG14)</f>
        <v>-45864562.417078793</v>
      </c>
      <c r="G8" s="254">
        <f>SUM('Pro Forma Adj'!AH14:AR14)</f>
        <v>0</v>
      </c>
      <c r="H8" s="254">
        <f>SUM('Pro Forma Adj'!AS14:BA14)</f>
        <v>0</v>
      </c>
      <c r="I8" s="254">
        <f>SUM('Pro Forma Adj'!BB14:BV14)</f>
        <v>0</v>
      </c>
      <c r="J8" s="254">
        <f>SUM('Pro Forma Adj'!BW14:BX14)</f>
        <v>168043.62256751209</v>
      </c>
    </row>
    <row r="9" spans="1:10" x14ac:dyDescent="0.2">
      <c r="A9" s="253">
        <v>5</v>
      </c>
      <c r="B9" s="253" t="s">
        <v>53</v>
      </c>
      <c r="C9" s="254">
        <f>SUM(D9:J9)</f>
        <v>1213135.1947180552</v>
      </c>
      <c r="D9" s="254">
        <f>SUM('Pro Forma Adj'!C15:K15)</f>
        <v>527661.71456496755</v>
      </c>
      <c r="E9" s="254">
        <f>SUM('Pro Forma Adj'!L15:AC15)</f>
        <v>0</v>
      </c>
      <c r="F9" s="254">
        <f>SUM('Pro Forma Adj'!AD15:AG15)</f>
        <v>679898.4167838149</v>
      </c>
      <c r="G9" s="254">
        <f>SUM('Pro Forma Adj'!AH15:AR15)</f>
        <v>0</v>
      </c>
      <c r="H9" s="254">
        <f>SUM('Pro Forma Adj'!AS15:BA15)</f>
        <v>0</v>
      </c>
      <c r="I9" s="254">
        <f>SUM('Pro Forma Adj'!BB15:BV15)</f>
        <v>0</v>
      </c>
      <c r="J9" s="254">
        <f>SUM('Pro Forma Adj'!BW15:BX15)</f>
        <v>5575.0633692726551</v>
      </c>
    </row>
    <row r="10" spans="1:10" x14ac:dyDescent="0.2">
      <c r="A10" s="253">
        <v>6</v>
      </c>
      <c r="B10" s="253" t="s">
        <v>54</v>
      </c>
      <c r="C10" s="255">
        <f>SUM(C6:C9)</f>
        <v>-44483383.599793226</v>
      </c>
      <c r="D10" s="255">
        <f t="shared" ref="D10:I10" si="0">SUM(D6:D9)</f>
        <v>527661.71456496755</v>
      </c>
      <c r="E10" s="255">
        <f t="shared" si="0"/>
        <v>0</v>
      </c>
      <c r="F10" s="255">
        <f t="shared" si="0"/>
        <v>-45184664.000294976</v>
      </c>
      <c r="G10" s="255">
        <f t="shared" si="0"/>
        <v>0</v>
      </c>
      <c r="H10" s="255">
        <f t="shared" si="0"/>
        <v>0</v>
      </c>
      <c r="I10" s="255">
        <f t="shared" si="0"/>
        <v>0</v>
      </c>
      <c r="J10" s="255">
        <f t="shared" ref="J10" si="1">SUM(J6:J9)</f>
        <v>173618.68593678475</v>
      </c>
    </row>
    <row r="11" spans="1:10" x14ac:dyDescent="0.2">
      <c r="A11" s="253">
        <v>7</v>
      </c>
      <c r="B11" s="253"/>
    </row>
    <row r="12" spans="1:10" x14ac:dyDescent="0.2">
      <c r="A12" s="253">
        <v>8</v>
      </c>
      <c r="B12" s="253" t="s">
        <v>55</v>
      </c>
    </row>
    <row r="13" spans="1:10" x14ac:dyDescent="0.2">
      <c r="A13" s="253">
        <v>9</v>
      </c>
      <c r="B13" s="253" t="s">
        <v>56</v>
      </c>
      <c r="C13" s="254">
        <f t="shared" ref="C13:C22" si="2">SUM(D13:J13)</f>
        <v>10544366.101396032</v>
      </c>
      <c r="D13" s="254">
        <f>SUM('Pro Forma Adj'!C19:K19)</f>
        <v>0</v>
      </c>
      <c r="E13" s="254">
        <f>SUM('Pro Forma Adj'!L19:AC19)</f>
        <v>-126071.80094252861</v>
      </c>
      <c r="F13" s="254">
        <f>SUM('Pro Forma Adj'!AD19:AG19)</f>
        <v>10228653.552479658</v>
      </c>
      <c r="G13" s="254">
        <f>SUM('Pro Forma Adj'!AH19:AR19)</f>
        <v>0</v>
      </c>
      <c r="H13" s="254">
        <f>SUM('Pro Forma Adj'!AS19:BA19)</f>
        <v>0</v>
      </c>
      <c r="I13" s="254">
        <f>SUM('Pro Forma Adj'!BB19:BV19)</f>
        <v>0</v>
      </c>
      <c r="J13" s="254">
        <f>SUM('Pro Forma Adj'!BW19:BX19)</f>
        <v>441784.34985890239</v>
      </c>
    </row>
    <row r="14" spans="1:10" x14ac:dyDescent="0.2">
      <c r="A14" s="253">
        <v>10</v>
      </c>
      <c r="B14" s="253" t="s">
        <v>57</v>
      </c>
      <c r="C14" s="254">
        <f t="shared" si="2"/>
        <v>0</v>
      </c>
      <c r="D14" s="254">
        <f>SUM('Pro Forma Adj'!C20:K20)</f>
        <v>0</v>
      </c>
      <c r="E14" s="254">
        <f>SUM('Pro Forma Adj'!L20:AC20)</f>
        <v>0</v>
      </c>
      <c r="F14" s="254">
        <f>SUM('Pro Forma Adj'!AD20:AG20)</f>
        <v>0</v>
      </c>
      <c r="G14" s="254">
        <f>SUM('Pro Forma Adj'!AH20:AR20)</f>
        <v>0</v>
      </c>
      <c r="H14" s="254">
        <f>SUM('Pro Forma Adj'!AS20:BA20)</f>
        <v>0</v>
      </c>
      <c r="I14" s="254">
        <f>SUM('Pro Forma Adj'!BB20:BV20)</f>
        <v>0</v>
      </c>
      <c r="J14" s="254">
        <f>SUM('Pro Forma Adj'!BW20:BX20)</f>
        <v>0</v>
      </c>
    </row>
    <row r="15" spans="1:10" x14ac:dyDescent="0.2">
      <c r="A15" s="253">
        <v>11</v>
      </c>
      <c r="B15" s="253" t="s">
        <v>58</v>
      </c>
      <c r="C15" s="254">
        <f t="shared" si="2"/>
        <v>-58308.795913521913</v>
      </c>
      <c r="D15" s="254">
        <f>SUM('Pro Forma Adj'!C21:K21)</f>
        <v>0</v>
      </c>
      <c r="E15" s="254">
        <f>SUM('Pro Forma Adj'!L21:AC21)</f>
        <v>-58308.795913521913</v>
      </c>
      <c r="F15" s="254">
        <f>SUM('Pro Forma Adj'!AD21:AG21)</f>
        <v>0</v>
      </c>
      <c r="G15" s="254">
        <f>SUM('Pro Forma Adj'!AH21:AR21)</f>
        <v>0</v>
      </c>
      <c r="H15" s="254">
        <f>SUM('Pro Forma Adj'!AS21:BA21)</f>
        <v>0</v>
      </c>
      <c r="I15" s="254">
        <f>SUM('Pro Forma Adj'!BB21:BV21)</f>
        <v>0</v>
      </c>
      <c r="J15" s="254">
        <f>SUM('Pro Forma Adj'!BW21:BX21)</f>
        <v>0</v>
      </c>
    </row>
    <row r="16" spans="1:10" x14ac:dyDescent="0.2">
      <c r="A16" s="253">
        <v>12</v>
      </c>
      <c r="B16" s="253" t="s">
        <v>59</v>
      </c>
      <c r="C16" s="254">
        <f t="shared" si="2"/>
        <v>-54135459.210119531</v>
      </c>
      <c r="D16" s="254">
        <f>SUM('Pro Forma Adj'!C22:K22)</f>
        <v>0</v>
      </c>
      <c r="E16" s="254">
        <f>SUM('Pro Forma Adj'!L22:AC22)</f>
        <v>-70353.115519119441</v>
      </c>
      <c r="F16" s="254">
        <f>SUM('Pro Forma Adj'!AD22:AG22)</f>
        <v>-54573974.500770301</v>
      </c>
      <c r="G16" s="254">
        <f>SUM('Pro Forma Adj'!AH22:AR22)</f>
        <v>0</v>
      </c>
      <c r="H16" s="254">
        <f>SUM('Pro Forma Adj'!AS22:BA22)</f>
        <v>0</v>
      </c>
      <c r="I16" s="254">
        <f>SUM('Pro Forma Adj'!BB22:BV22)</f>
        <v>0</v>
      </c>
      <c r="J16" s="254">
        <f>SUM('Pro Forma Adj'!BW22:BX22)</f>
        <v>508868.4061698888</v>
      </c>
    </row>
    <row r="17" spans="1:10" x14ac:dyDescent="0.2">
      <c r="A17" s="253">
        <v>13</v>
      </c>
      <c r="B17" s="253" t="s">
        <v>60</v>
      </c>
      <c r="C17" s="254">
        <f t="shared" si="2"/>
        <v>3360508.3664367702</v>
      </c>
      <c r="D17" s="254">
        <f>SUM('Pro Forma Adj'!C23:K23)</f>
        <v>0</v>
      </c>
      <c r="E17" s="254">
        <f>SUM('Pro Forma Adj'!L23:AC23)</f>
        <v>-36344.178439036783</v>
      </c>
      <c r="F17" s="254">
        <f>SUM('Pro Forma Adj'!AD23:AG23)</f>
        <v>3202485.3886923781</v>
      </c>
      <c r="G17" s="254">
        <f>SUM('Pro Forma Adj'!AH23:AR23)</f>
        <v>0</v>
      </c>
      <c r="H17" s="254">
        <f>SUM('Pro Forma Adj'!AS23:BA23)</f>
        <v>0</v>
      </c>
      <c r="I17" s="254">
        <f>SUM('Pro Forma Adj'!BB23:BV23)</f>
        <v>0</v>
      </c>
      <c r="J17" s="254">
        <f>SUM('Pro Forma Adj'!BW23:BX23)</f>
        <v>194367.15618342906</v>
      </c>
    </row>
    <row r="18" spans="1:10" x14ac:dyDescent="0.2">
      <c r="A18" s="253">
        <v>14</v>
      </c>
      <c r="B18" s="253" t="s">
        <v>61</v>
      </c>
      <c r="C18" s="254">
        <f t="shared" si="2"/>
        <v>-144589.8911580951</v>
      </c>
      <c r="D18" s="254">
        <f>SUM('Pro Forma Adj'!C24:K24)</f>
        <v>0</v>
      </c>
      <c r="E18" s="254">
        <f>SUM('Pro Forma Adj'!L24:AC24)</f>
        <v>-144589.8911580951</v>
      </c>
      <c r="F18" s="254">
        <f>SUM('Pro Forma Adj'!AD24:AG24)</f>
        <v>0</v>
      </c>
      <c r="G18" s="254">
        <f>SUM('Pro Forma Adj'!AH24:AR24)</f>
        <v>0</v>
      </c>
      <c r="H18" s="254">
        <f>SUM('Pro Forma Adj'!AS24:BA24)</f>
        <v>0</v>
      </c>
      <c r="I18" s="254">
        <f>SUM('Pro Forma Adj'!BB24:BV24)</f>
        <v>0</v>
      </c>
      <c r="J18" s="254">
        <f>SUM('Pro Forma Adj'!BW24:BX24)</f>
        <v>0</v>
      </c>
    </row>
    <row r="19" spans="1:10" x14ac:dyDescent="0.2">
      <c r="A19" s="253">
        <v>15</v>
      </c>
      <c r="B19" s="253" t="s">
        <v>62</v>
      </c>
      <c r="C19" s="254">
        <f t="shared" si="2"/>
        <v>-78277.368777593787</v>
      </c>
      <c r="D19" s="254">
        <f>SUM('Pro Forma Adj'!C25:K25)</f>
        <v>0</v>
      </c>
      <c r="E19" s="254">
        <f>SUM('Pro Forma Adj'!L25:AC25)</f>
        <v>-78277.368777593787</v>
      </c>
      <c r="F19" s="254">
        <f>SUM('Pro Forma Adj'!AD25:AG25)</f>
        <v>0</v>
      </c>
      <c r="G19" s="254">
        <f>SUM('Pro Forma Adj'!AH25:AR25)</f>
        <v>0</v>
      </c>
      <c r="H19" s="254">
        <f>SUM('Pro Forma Adj'!AS25:BA25)</f>
        <v>0</v>
      </c>
      <c r="I19" s="254">
        <f>SUM('Pro Forma Adj'!BB25:BV25)</f>
        <v>0</v>
      </c>
      <c r="J19" s="254">
        <f>SUM('Pro Forma Adj'!BW25:BX25)</f>
        <v>0</v>
      </c>
    </row>
    <row r="20" spans="1:10" x14ac:dyDescent="0.2">
      <c r="A20" s="253">
        <v>16</v>
      </c>
      <c r="B20" s="253" t="s">
        <v>63</v>
      </c>
      <c r="C20" s="254">
        <f t="shared" si="2"/>
        <v>-12011.355707270053</v>
      </c>
      <c r="D20" s="254">
        <f>SUM('Pro Forma Adj'!C26:K26)</f>
        <v>0</v>
      </c>
      <c r="E20" s="254">
        <f>SUM('Pro Forma Adj'!L26:AC26)</f>
        <v>-12011.355707270053</v>
      </c>
      <c r="F20" s="254">
        <f>SUM('Pro Forma Adj'!AD26:AG26)</f>
        <v>0</v>
      </c>
      <c r="G20" s="254">
        <f>SUM('Pro Forma Adj'!AH26:AR26)</f>
        <v>0</v>
      </c>
      <c r="H20" s="254">
        <f>SUM('Pro Forma Adj'!AS26:BA26)</f>
        <v>0</v>
      </c>
      <c r="I20" s="254">
        <f>SUM('Pro Forma Adj'!BB26:BV26)</f>
        <v>0</v>
      </c>
      <c r="J20" s="254">
        <f>SUM('Pro Forma Adj'!BW26:BX26)</f>
        <v>0</v>
      </c>
    </row>
    <row r="21" spans="1:10" x14ac:dyDescent="0.2">
      <c r="A21" s="253">
        <v>17</v>
      </c>
      <c r="B21" s="253" t="s">
        <v>64</v>
      </c>
      <c r="C21" s="254">
        <f t="shared" si="2"/>
        <v>0</v>
      </c>
      <c r="D21" s="254">
        <f>SUM('Pro Forma Adj'!C27:K27)</f>
        <v>0</v>
      </c>
      <c r="E21" s="254">
        <f>SUM('Pro Forma Adj'!L27:AC27)</f>
        <v>0</v>
      </c>
      <c r="F21" s="254">
        <f>SUM('Pro Forma Adj'!AD27:AG27)</f>
        <v>0</v>
      </c>
      <c r="G21" s="254">
        <f>SUM('Pro Forma Adj'!AH27:AR27)</f>
        <v>0</v>
      </c>
      <c r="H21" s="254">
        <f>SUM('Pro Forma Adj'!AS27:BA27)</f>
        <v>0</v>
      </c>
      <c r="I21" s="254">
        <f>SUM('Pro Forma Adj'!BB27:BV27)</f>
        <v>0</v>
      </c>
      <c r="J21" s="254">
        <f>SUM('Pro Forma Adj'!BW27:BX27)</f>
        <v>0</v>
      </c>
    </row>
    <row r="22" spans="1:10" x14ac:dyDescent="0.2">
      <c r="A22" s="253">
        <v>18</v>
      </c>
      <c r="B22" s="253" t="s">
        <v>65</v>
      </c>
      <c r="C22" s="261">
        <f t="shared" si="2"/>
        <v>-140950.66735937251</v>
      </c>
      <c r="D22" s="254">
        <f>SUM('Pro Forma Adj'!C28:K28)</f>
        <v>0</v>
      </c>
      <c r="E22" s="254">
        <f>SUM('Pro Forma Adj'!L28:AC28)</f>
        <v>-140950.66735937251</v>
      </c>
      <c r="F22" s="256">
        <f>SUM('Pro Forma Adj'!AD28:AG28)</f>
        <v>0</v>
      </c>
      <c r="G22" s="256">
        <f>SUM('Pro Forma Adj'!AH28:AR28)</f>
        <v>0</v>
      </c>
      <c r="H22" s="256">
        <f>SUM('Pro Forma Adj'!AS28:BA28)</f>
        <v>0</v>
      </c>
      <c r="I22" s="254">
        <f>SUM('Pro Forma Adj'!BB28:BV28)</f>
        <v>0</v>
      </c>
      <c r="J22" s="254">
        <f>SUM('Pro Forma Adj'!BW28:BX28)</f>
        <v>0</v>
      </c>
    </row>
    <row r="23" spans="1:10" x14ac:dyDescent="0.2">
      <c r="A23" s="253">
        <v>19</v>
      </c>
      <c r="B23" s="253" t="s">
        <v>66</v>
      </c>
      <c r="C23" s="265">
        <f>SUM(C13:C22)</f>
        <v>-40664722.821202591</v>
      </c>
      <c r="D23" s="257">
        <f t="shared" ref="D23:I23" si="3">SUM(D13:D22)</f>
        <v>0</v>
      </c>
      <c r="E23" s="257">
        <f t="shared" si="3"/>
        <v>-666907.17381653818</v>
      </c>
      <c r="F23" s="257">
        <f t="shared" si="3"/>
        <v>-41142835.559598267</v>
      </c>
      <c r="G23" s="257">
        <f t="shared" si="3"/>
        <v>0</v>
      </c>
      <c r="H23" s="257">
        <f t="shared" si="3"/>
        <v>0</v>
      </c>
      <c r="I23" s="257">
        <f t="shared" si="3"/>
        <v>0</v>
      </c>
      <c r="J23" s="257">
        <f>SUM(J13:J22)</f>
        <v>1145019.9122122203</v>
      </c>
    </row>
    <row r="24" spans="1:10" x14ac:dyDescent="0.2">
      <c r="A24" s="253">
        <v>20</v>
      </c>
      <c r="B24" s="253" t="s">
        <v>67</v>
      </c>
      <c r="C24" s="254">
        <f>SUM(D24:J24)</f>
        <v>469966.6203837858</v>
      </c>
      <c r="D24" s="254">
        <f>SUM('Pro Forma Adj'!C30:K30)</f>
        <v>0</v>
      </c>
      <c r="E24" s="254">
        <f>SUM('Pro Forma Adj'!L30:AC30)</f>
        <v>0</v>
      </c>
      <c r="F24" s="254">
        <f>SUM('Pro Forma Adj'!AD30:AG30)</f>
        <v>0</v>
      </c>
      <c r="G24" s="254">
        <f>SUM('Pro Forma Adj'!AH30:AR30)</f>
        <v>0</v>
      </c>
      <c r="H24" s="254">
        <f>SUM('Pro Forma Adj'!AS30:BA30)</f>
        <v>0</v>
      </c>
      <c r="I24" s="254">
        <f>SUM('Pro Forma Adj'!BB30:BV30)</f>
        <v>466361.64486894885</v>
      </c>
      <c r="J24" s="254">
        <f>SUM('Pro Forma Adj'!BW30:BX30)</f>
        <v>3604.9755148369586</v>
      </c>
    </row>
    <row r="25" spans="1:10" x14ac:dyDescent="0.2">
      <c r="A25" s="253">
        <v>21</v>
      </c>
      <c r="B25" s="253" t="s">
        <v>68</v>
      </c>
      <c r="C25" s="254">
        <f>SUM(D25:J25)</f>
        <v>82361.759263031505</v>
      </c>
      <c r="D25" s="254">
        <f>SUM('Pro Forma Adj'!C31:K31)</f>
        <v>0</v>
      </c>
      <c r="E25" s="254">
        <f>SUM('Pro Forma Adj'!L31:AC31)</f>
        <v>0</v>
      </c>
      <c r="F25" s="254">
        <f>SUM('Pro Forma Adj'!AD31:AG31)</f>
        <v>0</v>
      </c>
      <c r="G25" s="254">
        <f>SUM('Pro Forma Adj'!AH31:AR31)</f>
        <v>0</v>
      </c>
      <c r="H25" s="254">
        <f>SUM('Pro Forma Adj'!AS31:BA31)</f>
        <v>0</v>
      </c>
      <c r="I25" s="254">
        <f>SUM('Pro Forma Adj'!BB31:BV31)</f>
        <v>82361.759263031505</v>
      </c>
      <c r="J25" s="254">
        <f>SUM('Pro Forma Adj'!BW31:BX31)</f>
        <v>0</v>
      </c>
    </row>
    <row r="26" spans="1:10" x14ac:dyDescent="0.2">
      <c r="A26" s="253">
        <v>22</v>
      </c>
      <c r="B26" s="253" t="s">
        <v>69</v>
      </c>
      <c r="C26" s="254">
        <f>SUM(D26:J26)</f>
        <v>-659186</v>
      </c>
      <c r="D26" s="254">
        <f>SUM('Pro Forma Adj'!C32:K32)</f>
        <v>0</v>
      </c>
      <c r="E26" s="254">
        <f>SUM('Pro Forma Adj'!L32:AC32)</f>
        <v>0</v>
      </c>
      <c r="F26" s="254">
        <f>SUM('Pro Forma Adj'!AD32:AG32)</f>
        <v>0</v>
      </c>
      <c r="G26" s="254">
        <f>SUM('Pro Forma Adj'!AH32:AR32)</f>
        <v>0</v>
      </c>
      <c r="H26" s="254">
        <f>ROUNDUP(SUM('Pro Forma Adj'!AS32:BA32),0)</f>
        <v>-659186</v>
      </c>
      <c r="I26" s="254">
        <f>SUM('Pro Forma Adj'!BB32:BV32)</f>
        <v>0</v>
      </c>
      <c r="J26" s="254">
        <f>SUM('Pro Forma Adj'!BW32:BX32)</f>
        <v>0</v>
      </c>
    </row>
    <row r="27" spans="1:10" x14ac:dyDescent="0.2">
      <c r="A27" s="253">
        <v>23</v>
      </c>
      <c r="B27" s="253" t="s">
        <v>173</v>
      </c>
      <c r="C27" s="254">
        <f>C80</f>
        <v>-3785846.8204205632</v>
      </c>
      <c r="D27" s="254">
        <f>D80</f>
        <v>184000.98209020111</v>
      </c>
      <c r="E27" s="254">
        <f t="shared" ref="E27:I27" si="4">E80</f>
        <v>233417.51083578836</v>
      </c>
      <c r="F27" s="254">
        <f t="shared" si="4"/>
        <v>-1414639.9542438481</v>
      </c>
      <c r="G27" s="254">
        <f>SUM('Pro Forma Adj'!AH33:AR33)</f>
        <v>-44842.390369071087</v>
      </c>
      <c r="H27" s="254">
        <f t="shared" si="4"/>
        <v>-598567.02268872061</v>
      </c>
      <c r="I27" s="254">
        <f t="shared" si="4"/>
        <v>-1750814.131173227</v>
      </c>
      <c r="J27" s="254">
        <f>SUM('Pro Forma Adj'!BW33:BX33)</f>
        <v>-394401.81487168616</v>
      </c>
    </row>
    <row r="28" spans="1:10" x14ac:dyDescent="0.2">
      <c r="A28" s="253">
        <v>24</v>
      </c>
      <c r="B28" s="253" t="s">
        <v>174</v>
      </c>
      <c r="C28" s="254">
        <f>SUM(D28:J28)</f>
        <v>0</v>
      </c>
      <c r="D28" s="254">
        <f>D75</f>
        <v>0</v>
      </c>
      <c r="E28" s="254">
        <f t="shared" ref="E28:J28" si="5">E75</f>
        <v>0</v>
      </c>
      <c r="F28" s="254">
        <f t="shared" si="5"/>
        <v>0</v>
      </c>
      <c r="G28" s="254">
        <f>SUM('Pro Forma Adj'!AH34:AR34)</f>
        <v>0</v>
      </c>
      <c r="H28" s="254">
        <f t="shared" si="5"/>
        <v>0</v>
      </c>
      <c r="I28" s="254">
        <f t="shared" si="5"/>
        <v>0</v>
      </c>
      <c r="J28" s="254">
        <f t="shared" si="5"/>
        <v>0</v>
      </c>
    </row>
    <row r="29" spans="1:10" x14ac:dyDescent="0.2">
      <c r="A29" s="253">
        <v>25</v>
      </c>
      <c r="B29" s="253" t="s">
        <v>175</v>
      </c>
      <c r="C29" s="254">
        <f>SUM(D29:J29)</f>
        <v>2086148.6571185363</v>
      </c>
      <c r="D29" s="254">
        <f>SUM('Pro Forma Adj'!C35:K35)</f>
        <v>295256.29879283818</v>
      </c>
      <c r="E29" s="254">
        <f>SUM('Pro Forma Adj'!L35:AC35)</f>
        <v>0</v>
      </c>
      <c r="F29" s="254">
        <f>SUM('Pro Forma Adj'!AD35:AG35)</f>
        <v>0</v>
      </c>
      <c r="G29" s="254">
        <f>SUM('Pro Forma Adj'!AH35:AR35)</f>
        <v>48623.232940317663</v>
      </c>
      <c r="H29" s="254">
        <f>SUM('Pro Forma Adj'!AS35:BA35)</f>
        <v>0</v>
      </c>
      <c r="I29" s="254">
        <f>SUM('Pro Forma Adj'!BB35:BV35)</f>
        <v>1690186.2328553805</v>
      </c>
      <c r="J29" s="254">
        <f>SUM('Pro Forma Adj'!BW35:BX35)</f>
        <v>52082.892530000099</v>
      </c>
    </row>
    <row r="30" spans="1:10" x14ac:dyDescent="0.2">
      <c r="A30" s="253">
        <v>26</v>
      </c>
      <c r="B30" s="253" t="s">
        <v>73</v>
      </c>
      <c r="C30" s="254">
        <f>SUM(D30:J30)</f>
        <v>0</v>
      </c>
      <c r="D30" s="254">
        <f>SUM('Pro Forma Adj'!C36:K36)</f>
        <v>0</v>
      </c>
      <c r="E30" s="254">
        <f>SUM('Pro Forma Adj'!L36:AC36)</f>
        <v>0</v>
      </c>
      <c r="F30" s="254">
        <f>SUM('Pro Forma Adj'!AD36:AG36)</f>
        <v>0</v>
      </c>
      <c r="G30" s="254">
        <f>SUM('Pro Forma Adj'!AH36:AR36)</f>
        <v>0</v>
      </c>
      <c r="H30" s="254">
        <f>SUM('Pro Forma Adj'!AS36:BA36)</f>
        <v>0</v>
      </c>
      <c r="I30" s="254">
        <f>SUM('Pro Forma Adj'!BB36:BV36)</f>
        <v>0</v>
      </c>
      <c r="J30" s="254">
        <f>SUM('Pro Forma Adj'!BW36:BX36)</f>
        <v>0</v>
      </c>
    </row>
    <row r="31" spans="1:10" x14ac:dyDescent="0.2">
      <c r="A31" s="253">
        <v>27</v>
      </c>
      <c r="B31" s="253" t="s">
        <v>74</v>
      </c>
      <c r="C31" s="254">
        <f>SUM(D31:J31)</f>
        <v>-776048.95839665306</v>
      </c>
      <c r="D31" s="254">
        <f>SUM('Pro Forma Adj'!C37:K37)</f>
        <v>-776048.95839665306</v>
      </c>
      <c r="E31" s="254">
        <f>SUM('Pro Forma Adj'!L37:AC37)</f>
        <v>0</v>
      </c>
      <c r="F31" s="254">
        <f>SUM('Pro Forma Adj'!AD37:AG37)</f>
        <v>0</v>
      </c>
      <c r="G31" s="254">
        <f>SUM('Pro Forma Adj'!AH37:AR37)</f>
        <v>0</v>
      </c>
      <c r="H31" s="254">
        <f>SUM('Pro Forma Adj'!AS37:BA37)</f>
        <v>0</v>
      </c>
      <c r="I31" s="254">
        <f>SUM('Pro Forma Adj'!BB37:BV37)</f>
        <v>0</v>
      </c>
      <c r="J31" s="254">
        <f>SUM('Pro Forma Adj'!BW37:BX37)</f>
        <v>0</v>
      </c>
    </row>
    <row r="32" spans="1:10" x14ac:dyDescent="0.2">
      <c r="A32" s="253">
        <v>28</v>
      </c>
      <c r="B32" s="258" t="s">
        <v>75</v>
      </c>
      <c r="C32" s="259">
        <f>SUM(C23:C31)</f>
        <v>-43247327.563254453</v>
      </c>
      <c r="D32" s="259">
        <f t="shared" ref="D32:I32" si="6">SUM(D23:D31)</f>
        <v>-296791.67751361377</v>
      </c>
      <c r="E32" s="259">
        <f t="shared" si="6"/>
        <v>-433489.66298074985</v>
      </c>
      <c r="F32" s="259">
        <f t="shared" si="6"/>
        <v>-42557475.513842113</v>
      </c>
      <c r="G32" s="259">
        <f t="shared" si="6"/>
        <v>3780.842571246576</v>
      </c>
      <c r="H32" s="259">
        <f t="shared" si="6"/>
        <v>-1257753.0226887206</v>
      </c>
      <c r="I32" s="259">
        <f t="shared" si="6"/>
        <v>488095.50581413391</v>
      </c>
      <c r="J32" s="259">
        <f t="shared" ref="J32" si="7">SUM(J23:J31)</f>
        <v>806305.965385371</v>
      </c>
    </row>
    <row r="33" spans="1:10" x14ac:dyDescent="0.2">
      <c r="A33" s="253">
        <v>29</v>
      </c>
      <c r="B33" s="253"/>
    </row>
    <row r="34" spans="1:10" ht="13.5" thickBot="1" x14ac:dyDescent="0.25">
      <c r="A34" s="253">
        <v>30</v>
      </c>
      <c r="B34" s="253" t="s">
        <v>76</v>
      </c>
      <c r="C34" s="260">
        <f>C10-C32</f>
        <v>-1236056.0365387723</v>
      </c>
      <c r="D34" s="260">
        <f t="shared" ref="D34:I34" si="8">D10-D32</f>
        <v>824453.39207858127</v>
      </c>
      <c r="E34" s="260">
        <f t="shared" si="8"/>
        <v>433489.66298074985</v>
      </c>
      <c r="F34" s="260">
        <f t="shared" si="8"/>
        <v>-2627188.4864528626</v>
      </c>
      <c r="G34" s="260">
        <f t="shared" si="8"/>
        <v>-3780.842571246576</v>
      </c>
      <c r="H34" s="260">
        <f t="shared" si="8"/>
        <v>1257753.0226887206</v>
      </c>
      <c r="I34" s="260">
        <f t="shared" si="8"/>
        <v>-488095.50581413391</v>
      </c>
      <c r="J34" s="260">
        <f t="shared" ref="J34" si="9">J10-J32</f>
        <v>-632687.27944858628</v>
      </c>
    </row>
    <row r="35" spans="1:10" ht="13.5" thickTop="1" x14ac:dyDescent="0.2">
      <c r="A35" s="253">
        <v>31</v>
      </c>
      <c r="B35" s="253"/>
    </row>
    <row r="36" spans="1:10" x14ac:dyDescent="0.2">
      <c r="A36" s="253">
        <v>32</v>
      </c>
      <c r="B36" s="253" t="s">
        <v>77</v>
      </c>
    </row>
    <row r="37" spans="1:10" x14ac:dyDescent="0.2">
      <c r="A37" s="253">
        <v>33</v>
      </c>
      <c r="B37" s="253" t="s">
        <v>78</v>
      </c>
      <c r="C37" s="254">
        <f t="shared" ref="C37:C47" si="10">SUM(D37:J37)</f>
        <v>21260243.746936575</v>
      </c>
      <c r="D37" s="254">
        <f>SUM('Pro Forma Adj'!C43:K43)</f>
        <v>0</v>
      </c>
      <c r="E37" s="254">
        <f>SUM('Pro Forma Adj'!L43:AC43)</f>
        <v>0</v>
      </c>
      <c r="F37" s="254">
        <f>SUM('Pro Forma Adj'!AD43:AG43)</f>
        <v>0</v>
      </c>
      <c r="G37" s="254">
        <f>SUM('Pro Forma Adj'!AH43:AR43)</f>
        <v>0</v>
      </c>
      <c r="H37" s="254">
        <f>SUM('Pro Forma Adj'!AS43:BA43)</f>
        <v>0</v>
      </c>
      <c r="I37" s="254">
        <f>SUM('Pro Forma Adj'!BB43:BV43)</f>
        <v>21097162.679424621</v>
      </c>
      <c r="J37" s="254">
        <f>SUM('Pro Forma Adj'!BW43:BX43)</f>
        <v>163081.06751195365</v>
      </c>
    </row>
    <row r="38" spans="1:10" x14ac:dyDescent="0.2">
      <c r="A38" s="253">
        <v>34</v>
      </c>
      <c r="B38" s="253" t="s">
        <v>79</v>
      </c>
      <c r="C38" s="254">
        <f t="shared" si="10"/>
        <v>0</v>
      </c>
      <c r="D38" s="254">
        <f>SUM('Pro Forma Adj'!C44:K44)</f>
        <v>0</v>
      </c>
      <c r="E38" s="254">
        <f>SUM('Pro Forma Adj'!L44:AC44)</f>
        <v>0</v>
      </c>
      <c r="F38" s="254">
        <f>SUM('Pro Forma Adj'!AD44:AG44)</f>
        <v>0</v>
      </c>
      <c r="G38" s="254">
        <f>SUM('Pro Forma Adj'!AH44:AR44)</f>
        <v>0</v>
      </c>
      <c r="H38" s="254">
        <f>SUM('Pro Forma Adj'!AS44:BA44)</f>
        <v>0</v>
      </c>
      <c r="I38" s="254">
        <f>SUM('Pro Forma Adj'!BB44:BV44)</f>
        <v>0</v>
      </c>
      <c r="J38" s="254">
        <f>SUM('Pro Forma Adj'!BW44:BX44)</f>
        <v>0</v>
      </c>
    </row>
    <row r="39" spans="1:10" x14ac:dyDescent="0.2">
      <c r="A39" s="253">
        <v>35</v>
      </c>
      <c r="B39" s="253" t="s">
        <v>80</v>
      </c>
      <c r="C39" s="254">
        <f t="shared" si="10"/>
        <v>-202651.71009212057</v>
      </c>
      <c r="D39" s="254">
        <f>SUM('Pro Forma Adj'!C45:K45)</f>
        <v>0</v>
      </c>
      <c r="E39" s="254">
        <f>SUM('Pro Forma Adj'!L45:AC45)</f>
        <v>0</v>
      </c>
      <c r="F39" s="254">
        <f>SUM('Pro Forma Adj'!AD45:AG45)</f>
        <v>0</v>
      </c>
      <c r="G39" s="254">
        <f>SUM('Pro Forma Adj'!AH45:AR45)</f>
        <v>0</v>
      </c>
      <c r="H39" s="254">
        <f>SUM('Pro Forma Adj'!AS45:BA45)</f>
        <v>0</v>
      </c>
      <c r="I39" s="254">
        <f>SUM('Pro Forma Adj'!BB45:BV45)</f>
        <v>-202651.71009212057</v>
      </c>
      <c r="J39" s="254">
        <f>SUM('Pro Forma Adj'!BW45:BX45)</f>
        <v>0</v>
      </c>
    </row>
    <row r="40" spans="1:10" x14ac:dyDescent="0.2">
      <c r="A40" s="253">
        <v>36</v>
      </c>
      <c r="B40" s="253" t="s">
        <v>81</v>
      </c>
      <c r="C40" s="254">
        <f t="shared" si="10"/>
        <v>0</v>
      </c>
      <c r="D40" s="254">
        <f>SUM('Pro Forma Adj'!C46:K46)</f>
        <v>0</v>
      </c>
      <c r="E40" s="254">
        <f>SUM('Pro Forma Adj'!L46:AC46)</f>
        <v>0</v>
      </c>
      <c r="F40" s="254">
        <f>SUM('Pro Forma Adj'!AD46:AG46)</f>
        <v>0</v>
      </c>
      <c r="G40" s="254">
        <f>SUM('Pro Forma Adj'!AH46:AR46)</f>
        <v>0</v>
      </c>
      <c r="H40" s="254">
        <f>SUM('Pro Forma Adj'!AS46:BA46)</f>
        <v>0</v>
      </c>
      <c r="I40" s="254">
        <f>SUM('Pro Forma Adj'!BB46:BV46)</f>
        <v>0</v>
      </c>
      <c r="J40" s="254">
        <f>SUM('Pro Forma Adj'!BW46:BX46)</f>
        <v>0</v>
      </c>
    </row>
    <row r="41" spans="1:10" x14ac:dyDescent="0.2">
      <c r="A41" s="253">
        <v>37</v>
      </c>
      <c r="B41" s="253" t="s">
        <v>82</v>
      </c>
      <c r="C41" s="254">
        <f t="shared" si="10"/>
        <v>0</v>
      </c>
      <c r="D41" s="254">
        <f>SUM('Pro Forma Adj'!C47:K47)</f>
        <v>0</v>
      </c>
      <c r="E41" s="254">
        <f>SUM('Pro Forma Adj'!L47:AC47)</f>
        <v>0</v>
      </c>
      <c r="F41" s="254">
        <f>SUM('Pro Forma Adj'!AD47:AG47)</f>
        <v>0</v>
      </c>
      <c r="G41" s="254">
        <f>SUM('Pro Forma Adj'!AH47:AR47)</f>
        <v>0</v>
      </c>
      <c r="H41" s="254">
        <f>SUM('Pro Forma Adj'!AS47:BA47)</f>
        <v>0</v>
      </c>
      <c r="I41" s="254">
        <f>SUM('Pro Forma Adj'!BB47:BV47)</f>
        <v>0</v>
      </c>
      <c r="J41" s="254">
        <f>SUM('Pro Forma Adj'!BW47:BX47)</f>
        <v>0</v>
      </c>
    </row>
    <row r="42" spans="1:10" x14ac:dyDescent="0.2">
      <c r="A42" s="253">
        <v>38</v>
      </c>
      <c r="B42" s="253" t="s">
        <v>83</v>
      </c>
      <c r="C42" s="254">
        <f t="shared" si="10"/>
        <v>0</v>
      </c>
      <c r="D42" s="254">
        <f>SUM('Pro Forma Adj'!C48:K48)</f>
        <v>0</v>
      </c>
      <c r="E42" s="254">
        <f>SUM('Pro Forma Adj'!L48:AC48)</f>
        <v>0</v>
      </c>
      <c r="F42" s="254">
        <f>SUM('Pro Forma Adj'!AD48:AG48)</f>
        <v>0</v>
      </c>
      <c r="G42" s="254">
        <f>SUM('Pro Forma Adj'!AH48:AR48)</f>
        <v>0</v>
      </c>
      <c r="H42" s="254">
        <f>SUM('Pro Forma Adj'!AS48:BA48)</f>
        <v>0</v>
      </c>
      <c r="I42" s="254">
        <f>SUM('Pro Forma Adj'!BB48:BV48)</f>
        <v>0</v>
      </c>
      <c r="J42" s="254">
        <f>SUM('Pro Forma Adj'!BW48:BX48)</f>
        <v>0</v>
      </c>
    </row>
    <row r="43" spans="1:10" x14ac:dyDescent="0.2">
      <c r="A43" s="253">
        <v>39</v>
      </c>
      <c r="B43" s="253" t="s">
        <v>84</v>
      </c>
      <c r="C43" s="254">
        <f t="shared" si="10"/>
        <v>0</v>
      </c>
      <c r="D43" s="254">
        <f>SUM('Pro Forma Adj'!C49:K49)</f>
        <v>0</v>
      </c>
      <c r="E43" s="254">
        <f>SUM('Pro Forma Adj'!L49:AC49)</f>
        <v>0</v>
      </c>
      <c r="F43" s="254">
        <f>SUM('Pro Forma Adj'!AD49:AG49)</f>
        <v>0</v>
      </c>
      <c r="G43" s="254">
        <f>SUM('Pro Forma Adj'!AH49:AR49)</f>
        <v>0</v>
      </c>
      <c r="H43" s="254">
        <f>SUM('Pro Forma Adj'!AS49:BA49)</f>
        <v>0</v>
      </c>
      <c r="I43" s="254">
        <f>SUM('Pro Forma Adj'!BB49:BV49)</f>
        <v>0</v>
      </c>
      <c r="J43" s="254">
        <f>SUM('Pro Forma Adj'!BW49:BX49)</f>
        <v>0</v>
      </c>
    </row>
    <row r="44" spans="1:10" x14ac:dyDescent="0.2">
      <c r="A44" s="253">
        <v>40</v>
      </c>
      <c r="B44" s="253" t="s">
        <v>85</v>
      </c>
      <c r="C44" s="254">
        <f t="shared" si="10"/>
        <v>0</v>
      </c>
      <c r="D44" s="254">
        <f>SUM('Pro Forma Adj'!C50:K50)</f>
        <v>0</v>
      </c>
      <c r="E44" s="254">
        <f>SUM('Pro Forma Adj'!L50:AC50)</f>
        <v>0</v>
      </c>
      <c r="F44" s="254">
        <f>SUM('Pro Forma Adj'!AD50:AG50)</f>
        <v>0</v>
      </c>
      <c r="G44" s="254">
        <f>SUM('Pro Forma Adj'!AH50:AR50)</f>
        <v>0</v>
      </c>
      <c r="H44" s="254">
        <f>SUM('Pro Forma Adj'!AS50:BA50)</f>
        <v>0</v>
      </c>
      <c r="I44" s="254">
        <f>SUM('Pro Forma Adj'!BB50:BV50)</f>
        <v>0</v>
      </c>
      <c r="J44" s="254">
        <f>SUM('Pro Forma Adj'!BW50:BX50)</f>
        <v>0</v>
      </c>
    </row>
    <row r="45" spans="1:10" x14ac:dyDescent="0.2">
      <c r="A45" s="253">
        <v>41</v>
      </c>
      <c r="B45" s="253" t="s">
        <v>86</v>
      </c>
      <c r="C45" s="254">
        <f t="shared" si="10"/>
        <v>0</v>
      </c>
      <c r="D45" s="254">
        <f>SUM('Pro Forma Adj'!C51:K51)</f>
        <v>0</v>
      </c>
      <c r="E45" s="254">
        <f>SUM('Pro Forma Adj'!L51:AC51)</f>
        <v>0</v>
      </c>
      <c r="F45" s="254">
        <f>SUM('Pro Forma Adj'!AD51:AG51)</f>
        <v>0</v>
      </c>
      <c r="G45" s="254">
        <f>SUM('Pro Forma Adj'!AH51:AR51)</f>
        <v>0</v>
      </c>
      <c r="H45" s="254">
        <f>SUM('Pro Forma Adj'!AS51:BA51)</f>
        <v>0</v>
      </c>
      <c r="I45" s="254">
        <f>SUM('Pro Forma Adj'!BB51:BV51)</f>
        <v>0</v>
      </c>
      <c r="J45" s="254">
        <f>SUM('Pro Forma Adj'!BW51:BX51)</f>
        <v>0</v>
      </c>
    </row>
    <row r="46" spans="1:10" x14ac:dyDescent="0.2">
      <c r="A46" s="253">
        <v>42</v>
      </c>
      <c r="B46" s="253" t="s">
        <v>176</v>
      </c>
      <c r="C46" s="254">
        <f t="shared" si="10"/>
        <v>0</v>
      </c>
      <c r="D46" s="254">
        <f>SUM('Pro Forma Adj'!C52:K52)</f>
        <v>0</v>
      </c>
      <c r="E46" s="254">
        <f>SUM('Pro Forma Adj'!L52:AC52)</f>
        <v>0</v>
      </c>
      <c r="F46" s="254">
        <f>SUM('Pro Forma Adj'!AD52:AG52)</f>
        <v>0</v>
      </c>
      <c r="G46" s="254">
        <f>SUM('Pro Forma Adj'!AH52:AR52)</f>
        <v>0</v>
      </c>
      <c r="H46" s="254">
        <f>SUM('Pro Forma Adj'!AS52:BA52)</f>
        <v>0</v>
      </c>
      <c r="I46" s="254">
        <f>SUM('Pro Forma Adj'!BB52:BV52)</f>
        <v>0</v>
      </c>
      <c r="J46" s="254">
        <f>SUM('Pro Forma Adj'!BW52:BX52)</f>
        <v>0</v>
      </c>
    </row>
    <row r="47" spans="1:10" x14ac:dyDescent="0.2">
      <c r="A47" s="253">
        <v>43</v>
      </c>
      <c r="B47" s="253" t="s">
        <v>88</v>
      </c>
      <c r="C47" s="254">
        <f t="shared" si="10"/>
        <v>0</v>
      </c>
      <c r="D47" s="254">
        <f>SUM('Pro Forma Adj'!C53:K53)</f>
        <v>0</v>
      </c>
      <c r="E47" s="254">
        <f>SUM('Pro Forma Adj'!L53:AC53)</f>
        <v>0</v>
      </c>
      <c r="F47" s="254">
        <f>SUM('Pro Forma Adj'!AD53:AG53)</f>
        <v>0</v>
      </c>
      <c r="G47" s="254">
        <f>SUM('Pro Forma Adj'!AH53:AR53)</f>
        <v>0</v>
      </c>
      <c r="H47" s="254">
        <f>SUM('Pro Forma Adj'!AS53:BA53)</f>
        <v>0</v>
      </c>
      <c r="I47" s="254">
        <f>SUM('Pro Forma Adj'!BB53:BV53)</f>
        <v>0</v>
      </c>
      <c r="J47" s="254">
        <f>SUM('Pro Forma Adj'!BW53:BX53)</f>
        <v>0</v>
      </c>
    </row>
    <row r="48" spans="1:10" x14ac:dyDescent="0.2">
      <c r="A48" s="253">
        <v>44</v>
      </c>
      <c r="B48" s="253" t="s">
        <v>89</v>
      </c>
      <c r="C48" s="259">
        <f>SUM(C37:C47)</f>
        <v>21057592.036844455</v>
      </c>
      <c r="D48" s="259">
        <f t="shared" ref="D48:I48" si="11">SUM(D37:D47)</f>
        <v>0</v>
      </c>
      <c r="E48" s="259">
        <f t="shared" si="11"/>
        <v>0</v>
      </c>
      <c r="F48" s="259">
        <f t="shared" si="11"/>
        <v>0</v>
      </c>
      <c r="G48" s="259">
        <f t="shared" si="11"/>
        <v>0</v>
      </c>
      <c r="H48" s="259">
        <f t="shared" si="11"/>
        <v>0</v>
      </c>
      <c r="I48" s="259">
        <f t="shared" si="11"/>
        <v>20894510.969332501</v>
      </c>
      <c r="J48" s="259">
        <f t="shared" ref="J48" si="12">SUM(J37:J47)</f>
        <v>163081.06751195365</v>
      </c>
    </row>
    <row r="49" spans="1:10" x14ac:dyDescent="0.2">
      <c r="A49" s="253">
        <v>45</v>
      </c>
      <c r="B49" s="253"/>
    </row>
    <row r="50" spans="1:10" x14ac:dyDescent="0.2">
      <c r="A50" s="253">
        <v>46</v>
      </c>
      <c r="B50" s="253" t="s">
        <v>177</v>
      </c>
    </row>
    <row r="51" spans="1:10" x14ac:dyDescent="0.2">
      <c r="A51" s="253">
        <v>47</v>
      </c>
      <c r="B51" s="253" t="s">
        <v>91</v>
      </c>
      <c r="C51" s="254">
        <f t="shared" ref="C51:C57" si="13">SUM(D51:J51)</f>
        <v>-678296.13492404297</v>
      </c>
      <c r="D51" s="254">
        <f>SUM('Pro Forma Adj'!C57:K57)</f>
        <v>0</v>
      </c>
      <c r="E51" s="254">
        <f>SUM('Pro Forma Adj'!L57:AC57)</f>
        <v>0</v>
      </c>
      <c r="F51" s="254">
        <f>SUM('Pro Forma Adj'!AD57:AG57)</f>
        <v>0</v>
      </c>
      <c r="G51" s="254">
        <f>SUM('Pro Forma Adj'!AH57:AR57)</f>
        <v>-196210.48572820838</v>
      </c>
      <c r="H51" s="254">
        <f>SUM('Pro Forma Adj'!AS57:BA57)</f>
        <v>0</v>
      </c>
      <c r="I51" s="254">
        <f>SUM('Pro Forma Adj'!BB57:BV57)</f>
        <v>-478387.71218067798</v>
      </c>
      <c r="J51" s="254">
        <f>SUM('Pro Forma Adj'!BW57:BX57)</f>
        <v>-3697.9370151566691</v>
      </c>
    </row>
    <row r="52" spans="1:10" x14ac:dyDescent="0.2">
      <c r="A52" s="253">
        <v>48</v>
      </c>
      <c r="B52" s="253" t="s">
        <v>92</v>
      </c>
      <c r="C52" s="254">
        <f t="shared" si="13"/>
        <v>0</v>
      </c>
      <c r="D52" s="254">
        <f>SUM('Pro Forma Adj'!C58:K58)</f>
        <v>0</v>
      </c>
      <c r="E52" s="254">
        <f>SUM('Pro Forma Adj'!L58:AC58)</f>
        <v>0</v>
      </c>
      <c r="F52" s="254">
        <f>SUM('Pro Forma Adj'!AD58:AG58)</f>
        <v>0</v>
      </c>
      <c r="G52" s="254">
        <f>SUM('Pro Forma Adj'!AH58:AR58)</f>
        <v>0</v>
      </c>
      <c r="H52" s="254">
        <f>SUM('Pro Forma Adj'!AS58:BA58)</f>
        <v>0</v>
      </c>
      <c r="I52" s="254">
        <f>SUM('Pro Forma Adj'!BB58:BV58)</f>
        <v>0</v>
      </c>
      <c r="J52" s="254">
        <f>SUM('Pro Forma Adj'!BW58:BX58)</f>
        <v>0</v>
      </c>
    </row>
    <row r="53" spans="1:10" x14ac:dyDescent="0.2">
      <c r="A53" s="253">
        <v>49</v>
      </c>
      <c r="B53" s="253" t="s">
        <v>93</v>
      </c>
      <c r="C53" s="254">
        <f t="shared" si="13"/>
        <v>-1822838.6024499815</v>
      </c>
      <c r="D53" s="254">
        <f>SUM('Pro Forma Adj'!C59:K59)</f>
        <v>152820.8753697275</v>
      </c>
      <c r="E53" s="254">
        <f>SUM('Pro Forma Adj'!L59:AC59)</f>
        <v>0</v>
      </c>
      <c r="F53" s="254">
        <f>SUM('Pro Forma Adj'!AD59:AG59)</f>
        <v>0</v>
      </c>
      <c r="G53" s="254">
        <f>SUM('Pro Forma Adj'!AH59:AR59)</f>
        <v>-16554.633195093058</v>
      </c>
      <c r="H53" s="254">
        <f>SUM('Pro Forma Adj'!AS59:BA59)</f>
        <v>0</v>
      </c>
      <c r="I53" s="254">
        <f>SUM('Pro Forma Adj'!BB59:BV59)</f>
        <v>-1889009.8307546165</v>
      </c>
      <c r="J53" s="254">
        <f>SUM('Pro Forma Adj'!BW59:BX59)</f>
        <v>-70095.013869999326</v>
      </c>
    </row>
    <row r="54" spans="1:10" x14ac:dyDescent="0.2">
      <c r="A54" s="253">
        <v>50</v>
      </c>
      <c r="B54" s="253" t="s">
        <v>94</v>
      </c>
      <c r="C54" s="254">
        <f t="shared" si="13"/>
        <v>0</v>
      </c>
      <c r="D54" s="254">
        <f>SUM('Pro Forma Adj'!C60:K60)</f>
        <v>0</v>
      </c>
      <c r="E54" s="254">
        <f>SUM('Pro Forma Adj'!L60:AC60)</f>
        <v>0</v>
      </c>
      <c r="F54" s="254">
        <f>SUM('Pro Forma Adj'!AD60:AG60)</f>
        <v>0</v>
      </c>
      <c r="G54" s="254">
        <f>SUM('Pro Forma Adj'!AH60:AR60)</f>
        <v>0</v>
      </c>
      <c r="H54" s="254">
        <f>SUM('Pro Forma Adj'!AS60:BA60)</f>
        <v>0</v>
      </c>
      <c r="I54" s="254">
        <f>SUM('Pro Forma Adj'!BB60:BV60)</f>
        <v>0</v>
      </c>
      <c r="J54" s="254">
        <f>SUM('Pro Forma Adj'!BW60:BX60)</f>
        <v>0</v>
      </c>
    </row>
    <row r="55" spans="1:10" x14ac:dyDescent="0.2">
      <c r="A55" s="253">
        <v>51</v>
      </c>
      <c r="B55" s="253" t="s">
        <v>95</v>
      </c>
      <c r="C55" s="254">
        <f t="shared" si="13"/>
        <v>0</v>
      </c>
      <c r="D55" s="254">
        <f>SUM('Pro Forma Adj'!C61:K61)</f>
        <v>0</v>
      </c>
      <c r="E55" s="254">
        <f>SUM('Pro Forma Adj'!L61:AC61)</f>
        <v>0</v>
      </c>
      <c r="F55" s="254">
        <f>SUM('Pro Forma Adj'!AD61:AG61)</f>
        <v>0</v>
      </c>
      <c r="G55" s="254">
        <f>SUM('Pro Forma Adj'!AH61:AR61)</f>
        <v>0</v>
      </c>
      <c r="H55" s="254">
        <f>SUM('Pro Forma Adj'!AS61:BA61)</f>
        <v>0</v>
      </c>
      <c r="I55" s="254">
        <f>SUM('Pro Forma Adj'!BB61:BV61)</f>
        <v>0</v>
      </c>
      <c r="J55" s="254">
        <f>SUM('Pro Forma Adj'!BW61:BX61)</f>
        <v>0</v>
      </c>
    </row>
    <row r="56" spans="1:10" x14ac:dyDescent="0.2">
      <c r="A56" s="253">
        <v>52</v>
      </c>
      <c r="B56" s="253" t="s">
        <v>96</v>
      </c>
      <c r="C56" s="254">
        <f t="shared" si="13"/>
        <v>0</v>
      </c>
      <c r="D56" s="254">
        <f>SUM('Pro Forma Adj'!C62:K62)</f>
        <v>0</v>
      </c>
      <c r="E56" s="254">
        <f>SUM('Pro Forma Adj'!L62:AC62)</f>
        <v>0</v>
      </c>
      <c r="F56" s="254">
        <f>SUM('Pro Forma Adj'!AD62:AG62)</f>
        <v>0</v>
      </c>
      <c r="G56" s="254">
        <f>SUM('Pro Forma Adj'!AH62:AR62)</f>
        <v>0</v>
      </c>
      <c r="H56" s="254">
        <f>SUM('Pro Forma Adj'!AS62:BA62)</f>
        <v>0</v>
      </c>
      <c r="I56" s="254">
        <f>SUM('Pro Forma Adj'!BB62:BV62)</f>
        <v>0</v>
      </c>
      <c r="J56" s="254">
        <f>SUM('Pro Forma Adj'!BW62:BX62)</f>
        <v>0</v>
      </c>
    </row>
    <row r="57" spans="1:10" x14ac:dyDescent="0.2">
      <c r="A57" s="253">
        <v>53</v>
      </c>
      <c r="B57" s="253" t="s">
        <v>178</v>
      </c>
      <c r="C57" s="254">
        <f t="shared" si="13"/>
        <v>-402745.59474258736</v>
      </c>
      <c r="D57" s="254">
        <f>SUM('Pro Forma Adj'!C63:K63)</f>
        <v>-402745.59474258736</v>
      </c>
      <c r="E57" s="254">
        <f>SUM('Pro Forma Adj'!L63:AC63)</f>
        <v>0</v>
      </c>
      <c r="F57" s="254">
        <f>SUM('Pro Forma Adj'!AD63:AG63)</f>
        <v>0</v>
      </c>
      <c r="G57" s="254">
        <f>SUM('Pro Forma Adj'!AH63:AR63)</f>
        <v>0</v>
      </c>
      <c r="H57" s="254">
        <f>SUM('Pro Forma Adj'!AS63:BA63)</f>
        <v>0</v>
      </c>
      <c r="I57" s="254">
        <f>SUM('Pro Forma Adj'!BB63:BV63)</f>
        <v>0</v>
      </c>
      <c r="J57" s="254">
        <f>SUM('Pro Forma Adj'!BW63:BX63)</f>
        <v>0</v>
      </c>
    </row>
    <row r="58" spans="1:10" x14ac:dyDescent="0.2">
      <c r="A58" s="253">
        <v>54</v>
      </c>
      <c r="B58" s="253"/>
      <c r="E58" s="254"/>
      <c r="F58" s="254"/>
      <c r="G58" s="254">
        <f>SUM('Pro Forma Adj'!AH64:AR64)</f>
        <v>0</v>
      </c>
    </row>
    <row r="59" spans="1:10" x14ac:dyDescent="0.2">
      <c r="A59" s="253">
        <v>55</v>
      </c>
      <c r="B59" s="253" t="s">
        <v>179</v>
      </c>
      <c r="C59" s="259">
        <f>SUM(C51:C58)</f>
        <v>-2903880.3321166118</v>
      </c>
      <c r="D59" s="259">
        <f t="shared" ref="D59:I59" si="14">SUM(D51:D58)</f>
        <v>-249924.71937285986</v>
      </c>
      <c r="E59" s="259">
        <f t="shared" si="14"/>
        <v>0</v>
      </c>
      <c r="F59" s="259">
        <f t="shared" si="14"/>
        <v>0</v>
      </c>
      <c r="G59" s="259">
        <f t="shared" si="14"/>
        <v>-212765.11892330143</v>
      </c>
      <c r="H59" s="259">
        <f t="shared" si="14"/>
        <v>0</v>
      </c>
      <c r="I59" s="259">
        <f t="shared" si="14"/>
        <v>-2367397.5429352946</v>
      </c>
      <c r="J59" s="259">
        <f t="shared" ref="J59" si="15">SUM(J51:J58)</f>
        <v>-73792.950885155995</v>
      </c>
    </row>
    <row r="60" spans="1:10" x14ac:dyDescent="0.2">
      <c r="A60" s="253">
        <v>56</v>
      </c>
      <c r="B60" s="253"/>
    </row>
    <row r="61" spans="1:10" ht="13.5" thickBot="1" x14ac:dyDescent="0.25">
      <c r="A61" s="253">
        <v>57</v>
      </c>
      <c r="B61" s="253" t="s">
        <v>99</v>
      </c>
      <c r="C61" s="260">
        <f>C48+C59</f>
        <v>18153711.704727843</v>
      </c>
      <c r="D61" s="260">
        <f t="shared" ref="D61:I61" si="16">D48+D59</f>
        <v>-249924.71937285986</v>
      </c>
      <c r="E61" s="260">
        <f t="shared" si="16"/>
        <v>0</v>
      </c>
      <c r="F61" s="260">
        <f t="shared" si="16"/>
        <v>0</v>
      </c>
      <c r="G61" s="260">
        <f t="shared" si="16"/>
        <v>-212765.11892330143</v>
      </c>
      <c r="H61" s="260">
        <f t="shared" si="16"/>
        <v>0</v>
      </c>
      <c r="I61" s="260">
        <f t="shared" si="16"/>
        <v>18527113.426397208</v>
      </c>
      <c r="J61" s="260">
        <f t="shared" ref="J61" si="17">J48+J59</f>
        <v>89288.116626797651</v>
      </c>
    </row>
    <row r="62" spans="1:10" ht="13.5" thickTop="1" x14ac:dyDescent="0.2">
      <c r="A62" s="253">
        <v>58</v>
      </c>
      <c r="B62" s="253"/>
    </row>
    <row r="63" spans="1:10" x14ac:dyDescent="0.2">
      <c r="A63" s="253">
        <v>59</v>
      </c>
      <c r="B63" s="262" t="s">
        <v>180</v>
      </c>
      <c r="C63" s="263">
        <f t="shared" ref="C63:I63" si="18">(((C34+Restated_Op_revenue)/(C61+Restated_rate_base))-Weighted_cost_debt-Weighted_cost_pref)/Percent_common-Restated_ROE</f>
        <v>-6.1808590266778651E-3</v>
      </c>
      <c r="D63" s="263">
        <f t="shared" si="18"/>
        <v>2.1415221311682359E-3</v>
      </c>
      <c r="E63" s="263">
        <f t="shared" si="18"/>
        <v>1.1026438072883477E-3</v>
      </c>
      <c r="F63" s="263">
        <f t="shared" si="18"/>
        <v>-6.6826348182033729E-3</v>
      </c>
      <c r="G63" s="263">
        <f t="shared" si="18"/>
        <v>2.762421544823257E-5</v>
      </c>
      <c r="H63" s="263">
        <f t="shared" si="18"/>
        <v>3.1992771685249582E-3</v>
      </c>
      <c r="I63" s="263">
        <f t="shared" si="18"/>
        <v>-4.3823908584951915E-3</v>
      </c>
      <c r="J63" s="263">
        <f t="shared" ref="J63" si="19">(((J34+Restated_Op_revenue)/(J61+Restated_rate_base))-Weighted_cost_debt-Weighted_cost_pref)/Percent_common-Restated_ROE</f>
        <v>-1.6247761017320062E-3</v>
      </c>
    </row>
    <row r="64" spans="1:10" x14ac:dyDescent="0.2">
      <c r="A64" s="253">
        <v>60</v>
      </c>
      <c r="B64" s="245" t="s">
        <v>47</v>
      </c>
      <c r="C64" s="264">
        <f t="shared" ref="C64:I64" si="20">-(C34-(C61*Overall_ROR))/gross_up_factor</f>
        <v>4134092.4719294724</v>
      </c>
      <c r="D64" s="264">
        <f t="shared" si="20"/>
        <v>-1360177.381313534</v>
      </c>
      <c r="E64" s="264">
        <f t="shared" si="20"/>
        <v>-699684.71145307051</v>
      </c>
      <c r="F64" s="264">
        <f t="shared" si="20"/>
        <v>4240478.5512918448</v>
      </c>
      <c r="G64" s="264">
        <f t="shared" si="20"/>
        <v>-18967.010104357076</v>
      </c>
      <c r="H64" s="264">
        <f t="shared" si="20"/>
        <v>-2030107.3725909458</v>
      </c>
      <c r="I64" s="264">
        <f t="shared" si="20"/>
        <v>2970825.2537182309</v>
      </c>
      <c r="J64" s="264">
        <f t="shared" ref="J64" si="21">-(J34-(J61*Overall_ROR))/gross_up_factor</f>
        <v>1031725.1423813129</v>
      </c>
    </row>
    <row r="65" spans="1:10" x14ac:dyDescent="0.2">
      <c r="A65" s="253">
        <v>61</v>
      </c>
      <c r="B65" s="253"/>
    </row>
    <row r="66" spans="1:10" x14ac:dyDescent="0.2">
      <c r="A66" s="253">
        <v>62</v>
      </c>
      <c r="B66" s="253" t="s">
        <v>101</v>
      </c>
    </row>
    <row r="67" spans="1:10" x14ac:dyDescent="0.2">
      <c r="A67" s="253">
        <v>63</v>
      </c>
      <c r="B67" s="253" t="s">
        <v>102</v>
      </c>
      <c r="C67" s="265">
        <f>SUM(D67:J67)</f>
        <v>-2935754.1998408027</v>
      </c>
      <c r="D67" s="265">
        <f t="shared" ref="D67:I67" si="22">D10-D23-D24-D25-D26-D31</f>
        <v>1303710.6729616206</v>
      </c>
      <c r="E67" s="265">
        <f t="shared" si="22"/>
        <v>666907.17381653818</v>
      </c>
      <c r="F67" s="265">
        <f t="shared" si="22"/>
        <v>-4041828.4406967089</v>
      </c>
      <c r="G67" s="265">
        <f t="shared" si="22"/>
        <v>0</v>
      </c>
      <c r="H67" s="265">
        <f t="shared" si="22"/>
        <v>659186</v>
      </c>
      <c r="I67" s="265">
        <f t="shared" si="22"/>
        <v>-548723.40413198038</v>
      </c>
      <c r="J67" s="265">
        <f t="shared" ref="J67" si="23">J10-J23-J24-J25-J26-J31</f>
        <v>-975006.20179027249</v>
      </c>
    </row>
    <row r="68" spans="1:10" x14ac:dyDescent="0.2">
      <c r="A68" s="253">
        <v>64</v>
      </c>
      <c r="B68" s="253" t="s">
        <v>103</v>
      </c>
      <c r="C68" s="265">
        <v>0</v>
      </c>
      <c r="D68" s="254">
        <f>SUM('Pro Forma Adj'!C75:K75)</f>
        <v>0</v>
      </c>
      <c r="E68" s="254">
        <f>SUM('Pro Forma Adj'!L75:AC75)</f>
        <v>0</v>
      </c>
      <c r="F68" s="254">
        <f>SUM('Pro Forma Adj'!AD75:AG75)</f>
        <v>0</v>
      </c>
      <c r="G68" s="254">
        <f>SUM('Pro Forma Adj'!AH75:AR75)</f>
        <v>0</v>
      </c>
      <c r="H68" s="254">
        <f>SUM('Pro Forma Adj'!AS75:BA75)</f>
        <v>0</v>
      </c>
      <c r="I68" s="254">
        <f>SUM('Pro Forma Adj'!BB75:BV75)</f>
        <v>0</v>
      </c>
      <c r="J68" s="254">
        <f>SUM('Pro Forma Adj'!BW75:BX75)</f>
        <v>0</v>
      </c>
    </row>
    <row r="69" spans="1:10" x14ac:dyDescent="0.2">
      <c r="A69" s="253">
        <v>65</v>
      </c>
      <c r="B69" s="253" t="s">
        <v>104</v>
      </c>
      <c r="C69" s="265">
        <f>SUM(D69:J69)</f>
        <v>0</v>
      </c>
      <c r="D69" s="254">
        <f>SUM('Pro Forma Adj'!C76:K76)</f>
        <v>0</v>
      </c>
      <c r="E69" s="254">
        <f>SUM('Pro Forma Adj'!L76:AC76)</f>
        <v>0</v>
      </c>
      <c r="F69" s="265">
        <f>SUM('Pro Forma Adj'!AD76:AG76)</f>
        <v>0</v>
      </c>
      <c r="G69" s="265">
        <f>SUM('Pro Forma Adj'!AH76:AR76)</f>
        <v>0</v>
      </c>
      <c r="H69" s="265">
        <f>SUM('Pro Forma Adj'!AS76:BA76)</f>
        <v>0</v>
      </c>
      <c r="I69" s="254">
        <f>SUM('Pro Forma Adj'!BB76:BV76)</f>
        <v>0</v>
      </c>
      <c r="J69" s="254">
        <f>SUM('Pro Forma Adj'!BW76:BX76)</f>
        <v>0</v>
      </c>
    </row>
    <row r="70" spans="1:10" x14ac:dyDescent="0.2">
      <c r="A70" s="253">
        <v>66</v>
      </c>
      <c r="B70" s="253" t="s">
        <v>105</v>
      </c>
      <c r="C70" s="265">
        <f>SUM(D70:J70)</f>
        <v>478186.5569400005</v>
      </c>
      <c r="D70" s="254">
        <f>SUM('Pro Forma Adj'!C77:K77)</f>
        <v>0</v>
      </c>
      <c r="E70" s="254">
        <f>SUM('Pro Forma Adj'!L77:AC77)</f>
        <v>0</v>
      </c>
      <c r="F70" s="265">
        <f>SUM('Pro Forma Adj'!AD77:AG77)</f>
        <v>0</v>
      </c>
      <c r="G70" s="265">
        <f>SUM('Pro Forma Adj'!AH77:AR77)</f>
        <v>0</v>
      </c>
      <c r="H70" s="265">
        <f>SUM('Pro Forma Adj'!AS77:BA77)</f>
        <v>478186.5569400005</v>
      </c>
      <c r="I70" s="254">
        <f>SUM('Pro Forma Adj'!BB77:BV77)</f>
        <v>0</v>
      </c>
      <c r="J70" s="254">
        <f>SUM('Pro Forma Adj'!BW77:BX77)</f>
        <v>0</v>
      </c>
    </row>
    <row r="71" spans="1:10" x14ac:dyDescent="0.2">
      <c r="A71" s="253">
        <v>67</v>
      </c>
      <c r="B71" s="258" t="s">
        <v>106</v>
      </c>
      <c r="C71" s="265">
        <f>SUM(D71:J71)</f>
        <v>276747.67003499484</v>
      </c>
      <c r="D71" s="254">
        <f>SUM('Pro Forma Adj'!C78:K78)</f>
        <v>58.417828750555501</v>
      </c>
      <c r="E71" s="254">
        <f>SUM('Pro Forma Adj'!L78:AC78)</f>
        <v>0</v>
      </c>
      <c r="F71" s="265">
        <f>SUM('Pro Forma Adj'!AD78:AG78)</f>
        <v>0</v>
      </c>
      <c r="G71" s="265">
        <f>SUM('Pro Forma Adj'!AH78:AR78)</f>
        <v>0</v>
      </c>
      <c r="H71" s="265">
        <f>SUM('Pro Forma Adj'!AS78:BA78)</f>
        <v>0</v>
      </c>
      <c r="I71" s="254">
        <f>SUM('Pro Forma Adj'!BB78:BV78)</f>
        <v>264794.40413198038</v>
      </c>
      <c r="J71" s="254">
        <f>SUM('Pro Forma Adj'!BW78:BX78)</f>
        <v>11894.848074263922</v>
      </c>
    </row>
    <row r="72" spans="1:10" x14ac:dyDescent="0.2">
      <c r="A72" s="253">
        <v>68</v>
      </c>
      <c r="B72" s="258" t="s">
        <v>107</v>
      </c>
      <c r="C72" s="269">
        <f>SUM(D72:J72)</f>
        <v>5773702.2720606495</v>
      </c>
      <c r="D72" s="254">
        <f>SUM('Pro Forma Adj'!C79:K79)</f>
        <v>778051.99910408224</v>
      </c>
      <c r="E72" s="254">
        <f>SUM('Pro Forma Adj'!L79:AC79)</f>
        <v>0</v>
      </c>
      <c r="F72" s="269">
        <f>SUM('Pro Forma Adj'!AD79:AG79)</f>
        <v>0</v>
      </c>
      <c r="G72" s="269">
        <f>SUM('Pro Forma Adj'!AH79:AR79)</f>
        <v>128121.11534020312</v>
      </c>
      <c r="H72" s="269">
        <f>SUM('Pro Forma Adj'!AS79:BA79)</f>
        <v>0</v>
      </c>
      <c r="I72" s="254">
        <f>SUM('Pro Forma Adj'!BB79:BV79)</f>
        <v>4718397.0890663629</v>
      </c>
      <c r="J72" s="254">
        <f>SUM('Pro Forma Adj'!BW79:BX79)</f>
        <v>149132.06855000136</v>
      </c>
    </row>
    <row r="73" spans="1:10" x14ac:dyDescent="0.2">
      <c r="A73" s="253">
        <v>69</v>
      </c>
      <c r="B73" s="258" t="s">
        <v>108</v>
      </c>
      <c r="C73" s="256">
        <f>SUM(D73:J73)</f>
        <v>-8910895.3588064574</v>
      </c>
      <c r="D73" s="267">
        <f>D67-D69-D70+D71-D72</f>
        <v>525717.09168628894</v>
      </c>
      <c r="E73" s="267">
        <f>E67-E69-E70+E71-E72</f>
        <v>666907.17381653818</v>
      </c>
      <c r="F73" s="256">
        <f t="shared" ref="F73:I73" si="24">F67-F69-F70+F71-F72</f>
        <v>-4041828.4406967089</v>
      </c>
      <c r="G73" s="256">
        <f t="shared" si="24"/>
        <v>-128121.11534020312</v>
      </c>
      <c r="H73" s="256">
        <f t="shared" si="24"/>
        <v>180999.4430599995</v>
      </c>
      <c r="I73" s="267">
        <f t="shared" si="24"/>
        <v>-5002326.0890663629</v>
      </c>
      <c r="J73" s="267">
        <f t="shared" ref="J73" si="25">J67-J69-J70+J71-J72</f>
        <v>-1112243.42226601</v>
      </c>
    </row>
    <row r="74" spans="1:10" x14ac:dyDescent="0.2">
      <c r="A74" s="253">
        <v>70</v>
      </c>
      <c r="B74" s="253"/>
      <c r="C74" s="266"/>
      <c r="D74" s="266"/>
      <c r="E74" s="266"/>
      <c r="F74" s="266"/>
      <c r="G74" s="266"/>
      <c r="H74" s="266"/>
      <c r="I74" s="266"/>
      <c r="J74" s="266"/>
    </row>
    <row r="75" spans="1:10" x14ac:dyDescent="0.2">
      <c r="A75" s="253">
        <v>71</v>
      </c>
      <c r="B75" s="253" t="s">
        <v>109</v>
      </c>
      <c r="C75" s="265">
        <f>SUM(D75:J75)</f>
        <v>0</v>
      </c>
      <c r="D75" s="265">
        <f>C162</f>
        <v>0</v>
      </c>
      <c r="E75" s="265">
        <f>C277</f>
        <v>0</v>
      </c>
      <c r="F75" s="265">
        <f>C391</f>
        <v>0</v>
      </c>
      <c r="G75" s="265">
        <f>C505</f>
        <v>0</v>
      </c>
      <c r="H75" s="265">
        <f>C620</f>
        <v>0</v>
      </c>
      <c r="I75" s="265">
        <f>C735</f>
        <v>0</v>
      </c>
      <c r="J75" s="265">
        <f>D735</f>
        <v>0</v>
      </c>
    </row>
    <row r="76" spans="1:10" x14ac:dyDescent="0.2">
      <c r="A76" s="253">
        <v>72</v>
      </c>
      <c r="B76" s="253" t="s">
        <v>110</v>
      </c>
      <c r="C76" s="265">
        <f>SUM(D76:J76)</f>
        <v>-8910895.3588064574</v>
      </c>
      <c r="D76" s="265">
        <f>D73-D75</f>
        <v>525717.09168628894</v>
      </c>
      <c r="E76" s="265">
        <f t="shared" ref="E76:I76" si="26">E73-E75</f>
        <v>666907.17381653818</v>
      </c>
      <c r="F76" s="265">
        <f t="shared" si="26"/>
        <v>-4041828.4406967089</v>
      </c>
      <c r="G76" s="265">
        <f t="shared" si="26"/>
        <v>-128121.11534020312</v>
      </c>
      <c r="H76" s="265">
        <f t="shared" si="26"/>
        <v>180999.4430599995</v>
      </c>
      <c r="I76" s="265">
        <f t="shared" si="26"/>
        <v>-5002326.0890663629</v>
      </c>
      <c r="J76" s="265">
        <f t="shared" ref="J76" si="27">J73-J75</f>
        <v>-1112243.42226601</v>
      </c>
    </row>
    <row r="77" spans="1:10" x14ac:dyDescent="0.2">
      <c r="A77" s="253">
        <v>73</v>
      </c>
      <c r="B77" s="253"/>
      <c r="D77" s="270"/>
      <c r="E77" s="270"/>
      <c r="F77" s="270"/>
      <c r="G77" s="270"/>
      <c r="H77" s="270"/>
      <c r="I77" s="270"/>
      <c r="J77" s="270"/>
    </row>
    <row r="78" spans="1:10" x14ac:dyDescent="0.2">
      <c r="A78" s="253">
        <v>74</v>
      </c>
      <c r="B78" s="253" t="s">
        <v>141</v>
      </c>
      <c r="C78" s="266">
        <f>SUM(D78:J78)</f>
        <v>-3118813.3755822601</v>
      </c>
      <c r="D78" s="266">
        <f>D76*0.35</f>
        <v>184000.98209020111</v>
      </c>
      <c r="E78" s="266">
        <f t="shared" ref="E78:I78" si="28">E76*0.35</f>
        <v>233417.51083578836</v>
      </c>
      <c r="F78" s="266">
        <f t="shared" si="28"/>
        <v>-1414639.9542438481</v>
      </c>
      <c r="G78" s="266">
        <f t="shared" si="28"/>
        <v>-44842.390369071087</v>
      </c>
      <c r="H78" s="266">
        <f t="shared" si="28"/>
        <v>63349.805070999821</v>
      </c>
      <c r="I78" s="266">
        <f t="shared" si="28"/>
        <v>-1750814.131173227</v>
      </c>
      <c r="J78" s="266">
        <f t="shared" ref="J78" si="29">J76*0.35</f>
        <v>-389285.19779310346</v>
      </c>
    </row>
    <row r="79" spans="1:10" x14ac:dyDescent="0.2">
      <c r="A79" s="253">
        <v>75</v>
      </c>
      <c r="B79" s="253" t="s">
        <v>140</v>
      </c>
      <c r="C79" s="266">
        <f>SUM(D79:J79)</f>
        <v>-667033.44483830314</v>
      </c>
      <c r="D79" s="254">
        <f>SUM('Pro Forma Adj'!C86:K86)</f>
        <v>0</v>
      </c>
      <c r="E79" s="254">
        <f>SUM('Pro Forma Adj'!L86:AC86)</f>
        <v>0</v>
      </c>
      <c r="F79" s="265">
        <f>SUM('Pro Forma Adj'!AD86:AG86)</f>
        <v>0</v>
      </c>
      <c r="G79" s="265">
        <f>SUM('Pro Forma Adj'!AH86:AR86)</f>
        <v>0</v>
      </c>
      <c r="H79" s="265">
        <f>SUM('Pro Forma Adj'!AS86:BA86)</f>
        <v>-661916.82775972039</v>
      </c>
      <c r="I79" s="254">
        <f>SUM('Pro Forma Adj'!BB86:BV86)</f>
        <v>0</v>
      </c>
      <c r="J79" s="254">
        <f>SUM('Pro Forma Adj'!BW86:BX86)</f>
        <v>-5116.6170785827489</v>
      </c>
    </row>
    <row r="80" spans="1:10" ht="13.5" thickBot="1" x14ac:dyDescent="0.25">
      <c r="A80" s="253">
        <v>76</v>
      </c>
      <c r="B80" s="253" t="s">
        <v>141</v>
      </c>
      <c r="C80" s="268">
        <f>SUM(D80:J80)</f>
        <v>-3785846.8204205632</v>
      </c>
      <c r="D80" s="268">
        <f>D78+D79</f>
        <v>184000.98209020111</v>
      </c>
      <c r="E80" s="268">
        <f t="shared" ref="E80:I80" si="30">E78+E79</f>
        <v>233417.51083578836</v>
      </c>
      <c r="F80" s="268">
        <f t="shared" si="30"/>
        <v>-1414639.9542438481</v>
      </c>
      <c r="G80" s="268">
        <f t="shared" si="30"/>
        <v>-44842.390369071087</v>
      </c>
      <c r="H80" s="268">
        <f t="shared" si="30"/>
        <v>-598567.02268872061</v>
      </c>
      <c r="I80" s="268">
        <f t="shared" si="30"/>
        <v>-1750814.131173227</v>
      </c>
      <c r="J80" s="268">
        <f>J78+J79</f>
        <v>-394401.81487168622</v>
      </c>
    </row>
    <row r="81" ht="13.5" thickTop="1" x14ac:dyDescent="0.2"/>
  </sheetData>
  <mergeCells count="1">
    <mergeCell ref="B1:I1"/>
  </mergeCells>
  <pageMargins left="0.5" right="0.5" top="0.4" bottom="0.25" header="0.25" footer="0.3"/>
  <pageSetup scale="72" orientation="portrait" r:id="rId1"/>
  <headerFooter>
    <oddHeader>&amp;R&amp;A</oddHeader>
  </headerFooter>
  <customProperties>
    <customPr name="_pios_id" r:id="rId2"/>
  </customProperties>
  <ignoredErrors>
    <ignoredError sqref="C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2014-05-01T07:00:00+00:00</OpenedDate>
    <Date1 xmlns="dc463f71-b30c-4ab2-9473-d307f9d35888">2015-03-30T07:00:00+00:00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512B6C-B73F-46D1-B04E-3A8B6B482F0F}"/>
</file>

<file path=customXml/itemProps2.xml><?xml version="1.0" encoding="utf-8"?>
<ds:datastoreItem xmlns:ds="http://schemas.openxmlformats.org/officeDocument/2006/customXml" ds:itemID="{958BAC96-AE76-471E-9021-4D6CBBA2A175}"/>
</file>

<file path=customXml/itemProps3.xml><?xml version="1.0" encoding="utf-8"?>
<ds:datastoreItem xmlns:ds="http://schemas.openxmlformats.org/officeDocument/2006/customXml" ds:itemID="{C86CE6FF-5691-4DA4-8A28-FCACC40B7EE1}"/>
</file>

<file path=customXml/itemProps4.xml><?xml version="1.0" encoding="utf-8"?>
<ds:datastoreItem xmlns:ds="http://schemas.openxmlformats.org/officeDocument/2006/customXml" ds:itemID="{C0CE093E-93A9-4C32-A7C0-B322D1FC8E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31</vt:i4>
      </vt:variant>
    </vt:vector>
  </HeadingPairs>
  <TitlesOfParts>
    <vt:vector size="43" baseType="lpstr">
      <vt:lpstr>Summary</vt:lpstr>
      <vt:lpstr>Total Adj</vt:lpstr>
      <vt:lpstr>Restating Adj</vt:lpstr>
      <vt:lpstr>Pro Forma Adj</vt:lpstr>
      <vt:lpstr>Interest Calc</vt:lpstr>
      <vt:lpstr>Variables</vt:lpstr>
      <vt:lpstr>Check Sheet</vt:lpstr>
      <vt:lpstr>Rev Req Adj Summary</vt:lpstr>
      <vt:lpstr>Summarized Adjustments</vt:lpstr>
      <vt:lpstr>Page 1.4</vt:lpstr>
      <vt:lpstr>Page 1.5</vt:lpstr>
      <vt:lpstr>Page 1.6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'Page 1.4'!Print_Area</vt:lpstr>
      <vt:lpstr>'Page 1.5'!Print_Area</vt:lpstr>
      <vt:lpstr>'Page 1.6'!Print_Area</vt:lpstr>
      <vt:lpstr>'Pro Forma Adj'!Print_Area</vt:lpstr>
      <vt:lpstr>'Restating Adj'!Print_Area</vt:lpstr>
      <vt:lpstr>'Rev Req Adj Summary'!Print_Area</vt:lpstr>
      <vt:lpstr>'Total Adj'!Print_Area</vt:lpstr>
      <vt:lpstr>'Pro Forma Adj'!Print_Titles</vt:lpstr>
      <vt:lpstr>'Restating Adj'!Print_Titles</vt:lpstr>
      <vt:lpstr>'Summarized Adjustments'!Print_Titles</vt:lpstr>
      <vt:lpstr>'Total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</cp:lastModifiedBy>
  <cp:lastPrinted>2015-03-26T21:06:53Z</cp:lastPrinted>
  <dcterms:created xsi:type="dcterms:W3CDTF">2009-02-17T19:17:29Z</dcterms:created>
  <dcterms:modified xsi:type="dcterms:W3CDTF">2015-03-26T23:39:37Z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